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theme/themeOverride1.xml" ContentType="application/vnd.openxmlformats-officedocument.themeOverride+xml"/>
  <Override PartName="/xl/pivotTables/pivotTable1.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6.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0.xml" ContentType="application/vnd.openxmlformats-officedocument.drawing+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OneDrive_RP\OneDrive - Renaissance Planning Group\mobility_fee_summary\docs\"/>
    </mc:Choice>
  </mc:AlternateContent>
  <xr:revisionPtr revIDLastSave="0" documentId="13_ncr:1_{296379BC-B906-4ADE-84BE-C83B98027853}" xr6:coauthVersionLast="47" xr6:coauthVersionMax="47" xr10:uidLastSave="{00000000-0000-0000-0000-000000000000}"/>
  <bookViews>
    <workbookView xWindow="28680" yWindow="-120" windowWidth="29040" windowHeight="15990" firstSheet="4" activeTab="5" xr2:uid="{D0CD6E8B-E281-2E4F-8FFA-CCECDBBCC66F}"/>
  </bookViews>
  <sheets>
    <sheet name="TOC" sheetId="38" r:id="rId1"/>
    <sheet name="ContextAreas_Map" sheetId="61" r:id="rId2"/>
    <sheet name="Calc_Worksheet" sheetId="62" r:id="rId3"/>
    <sheet name="FEE_ByContextArea" sheetId="49" r:id="rId4"/>
    <sheet name="FEE_ByContextArea_ByMode" sheetId="50" r:id="rId5"/>
    <sheet name="FEE_ByContextArea_ByMode_CODE" sheetId="78" r:id="rId6"/>
    <sheet name="RIF_FEE_RATIO" sheetId="64" r:id="rId7"/>
    <sheet name="FEE_1_In" sheetId="42" r:id="rId8"/>
    <sheet name="FEE_2_In" sheetId="44" r:id="rId9"/>
    <sheet name="FEE_2_Out" sheetId="43" r:id="rId10"/>
    <sheet name="FEE_3_In" sheetId="46" r:id="rId11"/>
    <sheet name="FEE_3_Out" sheetId="45" r:id="rId12"/>
    <sheet name="FEE_4_In" sheetId="48" r:id="rId13"/>
    <sheet name="FEE_4_Out" sheetId="47" r:id="rId14"/>
    <sheet name="AreaModeSharesandPMT" sheetId="71" r:id="rId15"/>
    <sheet name="ITE_LUC_Rates" sheetId="34" r:id="rId16"/>
    <sheet name="Road_Sort_VMT" sheetId="70" r:id="rId17"/>
    <sheet name="ITECountywide" sheetId="32" r:id="rId18"/>
    <sheet name="Passby_Length_Adj" sheetId="39" r:id="rId19"/>
    <sheet name="HillsboroughLength_PassBy" sheetId="69" r:id="rId20"/>
    <sheet name="ITE_PassBy" sheetId="68" r:id="rId21"/>
    <sheet name="SurveyTripLengthsAndPassBy" sheetId="55" r:id="rId22"/>
    <sheet name="2045_24hr_all_productions" sheetId="40" r:id="rId23"/>
    <sheet name="PMT_Pivot" sheetId="67" r:id="rId24"/>
    <sheet name="2045_24hr_all_attractions" sheetId="41" r:id="rId25"/>
    <sheet name="RoadCapCost" sheetId="7" r:id="rId26"/>
    <sheet name="TransitCapCost" sheetId="9" r:id="rId27"/>
    <sheet name="WalkBikeCapCost" sheetId="10" r:id="rId28"/>
    <sheet name="Credits" sheetId="59" r:id="rId29"/>
    <sheet name="CurrentFee_RIF" sheetId="8" r:id="rId30"/>
    <sheet name="RoadFeeCalc" sheetId="57" r:id="rId31"/>
    <sheet name="RIFvMIF (Simple)" sheetId="56" r:id="rId32"/>
    <sheet name="RIFvMIF (Scenario1)" sheetId="63" r:id="rId33"/>
    <sheet name="RIFvMIF(Scenario2)" sheetId="72" r:id="rId34"/>
    <sheet name="RIFvMIF(Scenario3)" sheetId="73" r:id="rId35"/>
    <sheet name="RIFvMIF (Scenario1) (RoadsOnly)" sheetId="74" r:id="rId36"/>
    <sheet name="RIFvMIF (Scenario1) (BW_Only)" sheetId="77" r:id="rId37"/>
    <sheet name="ImpTypePct" sheetId="58" r:id="rId38"/>
    <sheet name="Average_Fee_Vs_RIF" sheetId="65" r:id="rId39"/>
    <sheet name="FEE_1_Out" sheetId="33" r:id="rId40"/>
  </sheets>
  <calcPr calcId="191028"/>
  <pivotCaches>
    <pivotCache cacheId="0" r:id="rId4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3" i="78" l="1"/>
  <c r="AN3" i="78"/>
  <c r="AO3" i="78"/>
  <c r="AP3" i="78"/>
  <c r="AQ3" i="78"/>
  <c r="AR3" i="78"/>
  <c r="AS3" i="78"/>
  <c r="AT3" i="78"/>
  <c r="AU3" i="78"/>
  <c r="AV3" i="78"/>
  <c r="AW3" i="78"/>
  <c r="AX3" i="78"/>
  <c r="AY3" i="78"/>
  <c r="AZ3" i="78"/>
  <c r="BA3" i="78"/>
  <c r="BB3" i="78"/>
  <c r="BC3" i="78"/>
  <c r="BD3" i="78"/>
  <c r="BE3" i="78"/>
  <c r="BF3" i="78"/>
  <c r="BG3" i="78"/>
  <c r="BH3" i="78"/>
  <c r="BI3" i="78"/>
  <c r="BJ3" i="78"/>
  <c r="BK3" i="78"/>
  <c r="BL3" i="78"/>
  <c r="BM3" i="78"/>
  <c r="BN3" i="78"/>
  <c r="BO3" i="78"/>
  <c r="BP3" i="78"/>
  <c r="BQ3" i="78"/>
  <c r="BR3" i="78"/>
  <c r="AM4" i="78"/>
  <c r="AN4" i="78"/>
  <c r="AO4" i="78"/>
  <c r="AP4" i="78"/>
  <c r="AQ4" i="78"/>
  <c r="AR4" i="78"/>
  <c r="AS4" i="78"/>
  <c r="AT4" i="78"/>
  <c r="AU4" i="78"/>
  <c r="AV4" i="78"/>
  <c r="AW4" i="78"/>
  <c r="AX4" i="78"/>
  <c r="AY4" i="78"/>
  <c r="AZ4" i="78"/>
  <c r="BA4" i="78"/>
  <c r="BB4" i="78"/>
  <c r="BC4" i="78"/>
  <c r="BD4" i="78"/>
  <c r="BE4" i="78"/>
  <c r="BF4" i="78"/>
  <c r="BG4" i="78"/>
  <c r="BH4" i="78"/>
  <c r="BI4" i="78"/>
  <c r="BJ4" i="78"/>
  <c r="BK4" i="78"/>
  <c r="BL4" i="78"/>
  <c r="BM4" i="78"/>
  <c r="BN4" i="78"/>
  <c r="BO4" i="78"/>
  <c r="BP4" i="78"/>
  <c r="BQ4" i="78"/>
  <c r="BR4" i="78"/>
  <c r="AM5" i="78"/>
  <c r="AN5" i="78"/>
  <c r="AO5" i="78"/>
  <c r="AP5" i="78"/>
  <c r="AQ5" i="78"/>
  <c r="AR5" i="78"/>
  <c r="AS5" i="78"/>
  <c r="AT5" i="78"/>
  <c r="AU5" i="78"/>
  <c r="AV5" i="78"/>
  <c r="AW5" i="78"/>
  <c r="AX5" i="78"/>
  <c r="AY5" i="78"/>
  <c r="AZ5" i="78"/>
  <c r="BA5" i="78"/>
  <c r="BB5" i="78"/>
  <c r="BC5" i="78"/>
  <c r="BD5" i="78"/>
  <c r="BE5" i="78"/>
  <c r="BF5" i="78"/>
  <c r="BG5" i="78"/>
  <c r="BH5" i="78"/>
  <c r="BI5" i="78"/>
  <c r="BJ5" i="78"/>
  <c r="BK5" i="78"/>
  <c r="BL5" i="78"/>
  <c r="BM5" i="78"/>
  <c r="BN5" i="78"/>
  <c r="BO5" i="78"/>
  <c r="BP5" i="78"/>
  <c r="BQ5" i="78"/>
  <c r="BR5" i="78"/>
  <c r="AM6" i="78"/>
  <c r="AN6" i="78"/>
  <c r="AO6" i="78"/>
  <c r="AP6" i="78"/>
  <c r="AQ6" i="78"/>
  <c r="AR6" i="78"/>
  <c r="AS6" i="78"/>
  <c r="AT6" i="78"/>
  <c r="AU6" i="78"/>
  <c r="AV6" i="78"/>
  <c r="AW6" i="78"/>
  <c r="AX6" i="78"/>
  <c r="AY6" i="78"/>
  <c r="AZ6" i="78"/>
  <c r="BA6" i="78"/>
  <c r="BB6" i="78"/>
  <c r="BC6" i="78"/>
  <c r="BD6" i="78"/>
  <c r="BE6" i="78"/>
  <c r="BF6" i="78"/>
  <c r="BG6" i="78"/>
  <c r="BH6" i="78"/>
  <c r="BI6" i="78"/>
  <c r="BJ6" i="78"/>
  <c r="BK6" i="78"/>
  <c r="BL6" i="78"/>
  <c r="BM6" i="78"/>
  <c r="BN6" i="78"/>
  <c r="BO6" i="78"/>
  <c r="BP6" i="78"/>
  <c r="BQ6" i="78"/>
  <c r="BR6" i="78"/>
  <c r="AM7" i="78"/>
  <c r="AN7" i="78"/>
  <c r="AO7" i="78"/>
  <c r="AP7" i="78"/>
  <c r="AQ7" i="78"/>
  <c r="AR7" i="78"/>
  <c r="AS7" i="78"/>
  <c r="AT7" i="78"/>
  <c r="AU7" i="78"/>
  <c r="AV7" i="78"/>
  <c r="AW7" i="78"/>
  <c r="AX7" i="78"/>
  <c r="AY7" i="78"/>
  <c r="AZ7" i="78"/>
  <c r="BA7" i="78"/>
  <c r="BB7" i="78"/>
  <c r="BC7" i="78"/>
  <c r="BD7" i="78"/>
  <c r="BE7" i="78"/>
  <c r="BF7" i="78"/>
  <c r="BG7" i="78"/>
  <c r="BH7" i="78"/>
  <c r="BI7" i="78"/>
  <c r="BJ7" i="78"/>
  <c r="BK7" i="78"/>
  <c r="BL7" i="78"/>
  <c r="BM7" i="78"/>
  <c r="BN7" i="78"/>
  <c r="BO7" i="78"/>
  <c r="BP7" i="78"/>
  <c r="BQ7" i="78"/>
  <c r="BR7" i="78"/>
  <c r="AM8" i="78"/>
  <c r="AN8" i="78"/>
  <c r="AO8" i="78"/>
  <c r="AP8" i="78"/>
  <c r="AQ8" i="78"/>
  <c r="AR8" i="78"/>
  <c r="AS8" i="78"/>
  <c r="AT8" i="78"/>
  <c r="AU8" i="78"/>
  <c r="AV8" i="78"/>
  <c r="AW8" i="78"/>
  <c r="AX8" i="78"/>
  <c r="AY8" i="78"/>
  <c r="AZ8" i="78"/>
  <c r="BA8" i="78"/>
  <c r="BB8" i="78"/>
  <c r="BC8" i="78"/>
  <c r="BD8" i="78"/>
  <c r="BE8" i="78"/>
  <c r="BF8" i="78"/>
  <c r="BG8" i="78"/>
  <c r="BH8" i="78"/>
  <c r="BI8" i="78"/>
  <c r="BJ8" i="78"/>
  <c r="BK8" i="78"/>
  <c r="BL8" i="78"/>
  <c r="BM8" i="78"/>
  <c r="BN8" i="78"/>
  <c r="BO8" i="78"/>
  <c r="BP8" i="78"/>
  <c r="BQ8" i="78"/>
  <c r="BR8" i="78"/>
  <c r="AM9" i="78"/>
  <c r="AN9" i="78"/>
  <c r="AO9" i="78"/>
  <c r="AP9" i="78"/>
  <c r="AQ9" i="78"/>
  <c r="AR9" i="78"/>
  <c r="AS9" i="78"/>
  <c r="AT9" i="78"/>
  <c r="AU9" i="78"/>
  <c r="AV9" i="78"/>
  <c r="AW9" i="78"/>
  <c r="AX9" i="78"/>
  <c r="AY9" i="78"/>
  <c r="AZ9" i="78"/>
  <c r="BA9" i="78"/>
  <c r="BB9" i="78"/>
  <c r="BC9" i="78"/>
  <c r="BD9" i="78"/>
  <c r="BE9" i="78"/>
  <c r="BF9" i="78"/>
  <c r="BG9" i="78"/>
  <c r="BH9" i="78"/>
  <c r="BI9" i="78"/>
  <c r="BJ9" i="78"/>
  <c r="BK9" i="78"/>
  <c r="BL9" i="78"/>
  <c r="BM9" i="78"/>
  <c r="BN9" i="78"/>
  <c r="BO9" i="78"/>
  <c r="BP9" i="78"/>
  <c r="BQ9" i="78"/>
  <c r="BR9" i="78"/>
  <c r="AM10" i="78"/>
  <c r="AN10" i="78"/>
  <c r="AO10" i="78"/>
  <c r="AP10" i="78"/>
  <c r="AQ10" i="78"/>
  <c r="AR10" i="78"/>
  <c r="AS10" i="78"/>
  <c r="AT10" i="78"/>
  <c r="AU10" i="78"/>
  <c r="AV10" i="78"/>
  <c r="AW10" i="78"/>
  <c r="AX10" i="78"/>
  <c r="AY10" i="78"/>
  <c r="AZ10" i="78"/>
  <c r="BA10" i="78"/>
  <c r="BB10" i="78"/>
  <c r="BC10" i="78"/>
  <c r="BD10" i="78"/>
  <c r="BE10" i="78"/>
  <c r="BF10" i="78"/>
  <c r="BG10" i="78"/>
  <c r="BH10" i="78"/>
  <c r="BI10" i="78"/>
  <c r="BJ10" i="78"/>
  <c r="BK10" i="78"/>
  <c r="BL10" i="78"/>
  <c r="BM10" i="78"/>
  <c r="BN10" i="78"/>
  <c r="BO10" i="78"/>
  <c r="BP10" i="78"/>
  <c r="BQ10" i="78"/>
  <c r="BR10" i="78"/>
  <c r="AM11" i="78"/>
  <c r="AN11" i="78"/>
  <c r="AO11" i="78"/>
  <c r="AP11" i="78"/>
  <c r="AQ11" i="78"/>
  <c r="AR11" i="78"/>
  <c r="AS11" i="78"/>
  <c r="AT11" i="78"/>
  <c r="AU11" i="78"/>
  <c r="AV11" i="78"/>
  <c r="AW11" i="78"/>
  <c r="AX11" i="78"/>
  <c r="AY11" i="78"/>
  <c r="AZ11" i="78"/>
  <c r="BA11" i="78"/>
  <c r="BB11" i="78"/>
  <c r="BC11" i="78"/>
  <c r="BD11" i="78"/>
  <c r="BE11" i="78"/>
  <c r="BF11" i="78"/>
  <c r="BG11" i="78"/>
  <c r="BH11" i="78"/>
  <c r="BI11" i="78"/>
  <c r="BJ11" i="78"/>
  <c r="BK11" i="78"/>
  <c r="BL11" i="78"/>
  <c r="BM11" i="78"/>
  <c r="BN11" i="78"/>
  <c r="BO11" i="78"/>
  <c r="BP11" i="78"/>
  <c r="BQ11" i="78"/>
  <c r="BR11" i="78"/>
  <c r="AM12" i="78"/>
  <c r="AN12" i="78"/>
  <c r="AO12" i="78"/>
  <c r="AP12" i="78"/>
  <c r="AQ12" i="78"/>
  <c r="AR12" i="78"/>
  <c r="AS12" i="78"/>
  <c r="AT12" i="78"/>
  <c r="AU12" i="78"/>
  <c r="AV12" i="78"/>
  <c r="AW12" i="78"/>
  <c r="AX12" i="78"/>
  <c r="AY12" i="78"/>
  <c r="AZ12" i="78"/>
  <c r="BA12" i="78"/>
  <c r="BB12" i="78"/>
  <c r="BC12" i="78"/>
  <c r="BD12" i="78"/>
  <c r="BE12" i="78"/>
  <c r="BF12" i="78"/>
  <c r="BG12" i="78"/>
  <c r="BH12" i="78"/>
  <c r="BI12" i="78"/>
  <c r="BJ12" i="78"/>
  <c r="BK12" i="78"/>
  <c r="BL12" i="78"/>
  <c r="BM12" i="78"/>
  <c r="BN12" i="78"/>
  <c r="BO12" i="78"/>
  <c r="BP12" i="78"/>
  <c r="BQ12" i="78"/>
  <c r="BR12" i="78"/>
  <c r="AM13" i="78"/>
  <c r="AN13" i="78"/>
  <c r="AO13" i="78"/>
  <c r="AP13" i="78"/>
  <c r="AQ13" i="78"/>
  <c r="AR13" i="78"/>
  <c r="AS13" i="78"/>
  <c r="AT13" i="78"/>
  <c r="AU13" i="78"/>
  <c r="AV13" i="78"/>
  <c r="AW13" i="78"/>
  <c r="AX13" i="78"/>
  <c r="AY13" i="78"/>
  <c r="AZ13" i="78"/>
  <c r="BA13" i="78"/>
  <c r="BB13" i="78"/>
  <c r="BC13" i="78"/>
  <c r="BD13" i="78"/>
  <c r="BE13" i="78"/>
  <c r="BF13" i="78"/>
  <c r="BG13" i="78"/>
  <c r="BH13" i="78"/>
  <c r="BI13" i="78"/>
  <c r="BJ13" i="78"/>
  <c r="BK13" i="78"/>
  <c r="BL13" i="78"/>
  <c r="BM13" i="78"/>
  <c r="BN13" i="78"/>
  <c r="BO13" i="78"/>
  <c r="BP13" i="78"/>
  <c r="BQ13" i="78"/>
  <c r="BR13" i="78"/>
  <c r="AM14" i="78"/>
  <c r="AN14" i="78"/>
  <c r="AO14" i="78"/>
  <c r="AP14" i="78"/>
  <c r="AQ14" i="78"/>
  <c r="AR14" i="78"/>
  <c r="AS14" i="78"/>
  <c r="AT14" i="78"/>
  <c r="AU14" i="78"/>
  <c r="AV14" i="78"/>
  <c r="AW14" i="78"/>
  <c r="AX14" i="78"/>
  <c r="AY14" i="78"/>
  <c r="AZ14" i="78"/>
  <c r="BA14" i="78"/>
  <c r="BB14" i="78"/>
  <c r="BC14" i="78"/>
  <c r="BD14" i="78"/>
  <c r="BE14" i="78"/>
  <c r="BF14" i="78"/>
  <c r="BG14" i="78"/>
  <c r="BH14" i="78"/>
  <c r="BI14" i="78"/>
  <c r="BJ14" i="78"/>
  <c r="BK14" i="78"/>
  <c r="BL14" i="78"/>
  <c r="BM14" i="78"/>
  <c r="BN14" i="78"/>
  <c r="BO14" i="78"/>
  <c r="BP14" i="78"/>
  <c r="BQ14" i="78"/>
  <c r="BR14" i="78"/>
  <c r="AM15" i="78"/>
  <c r="AN15" i="78"/>
  <c r="AO15" i="78"/>
  <c r="AP15" i="78"/>
  <c r="AQ15" i="78"/>
  <c r="AR15" i="78"/>
  <c r="AS15" i="78"/>
  <c r="AT15" i="78"/>
  <c r="AU15" i="78"/>
  <c r="AV15" i="78"/>
  <c r="AW15" i="78"/>
  <c r="AX15" i="78"/>
  <c r="AY15" i="78"/>
  <c r="AZ15" i="78"/>
  <c r="BA15" i="78"/>
  <c r="BB15" i="78"/>
  <c r="BC15" i="78"/>
  <c r="BD15" i="78"/>
  <c r="BE15" i="78"/>
  <c r="BF15" i="78"/>
  <c r="BG15" i="78"/>
  <c r="BH15" i="78"/>
  <c r="BI15" i="78"/>
  <c r="BJ15" i="78"/>
  <c r="BK15" i="78"/>
  <c r="BL15" i="78"/>
  <c r="BM15" i="78"/>
  <c r="BN15" i="78"/>
  <c r="BO15" i="78"/>
  <c r="BP15" i="78"/>
  <c r="BQ15" i="78"/>
  <c r="BR15" i="78"/>
  <c r="AM16" i="78"/>
  <c r="AN16" i="78"/>
  <c r="AO16" i="78"/>
  <c r="AP16" i="78"/>
  <c r="AQ16" i="78"/>
  <c r="AR16" i="78"/>
  <c r="AS16" i="78"/>
  <c r="AT16" i="78"/>
  <c r="AU16" i="78"/>
  <c r="AV16" i="78"/>
  <c r="AW16" i="78"/>
  <c r="AX16" i="78"/>
  <c r="AY16" i="78"/>
  <c r="AZ16" i="78"/>
  <c r="BA16" i="78"/>
  <c r="BB16" i="78"/>
  <c r="BC16" i="78"/>
  <c r="BD16" i="78"/>
  <c r="BE16" i="78"/>
  <c r="BF16" i="78"/>
  <c r="BG16" i="78"/>
  <c r="BH16" i="78"/>
  <c r="BI16" i="78"/>
  <c r="BJ16" i="78"/>
  <c r="BK16" i="78"/>
  <c r="BL16" i="78"/>
  <c r="BM16" i="78"/>
  <c r="BN16" i="78"/>
  <c r="BO16" i="78"/>
  <c r="BP16" i="78"/>
  <c r="BQ16" i="78"/>
  <c r="BR16" i="78"/>
  <c r="AM17" i="78"/>
  <c r="AN17" i="78"/>
  <c r="AO17" i="78"/>
  <c r="AP17" i="78"/>
  <c r="AQ17" i="78"/>
  <c r="AR17" i="78"/>
  <c r="AS17" i="78"/>
  <c r="AT17" i="78"/>
  <c r="AU17" i="78"/>
  <c r="AV17" i="78"/>
  <c r="AW17" i="78"/>
  <c r="AX17" i="78"/>
  <c r="AY17" i="78"/>
  <c r="AZ17" i="78"/>
  <c r="BA17" i="78"/>
  <c r="BB17" i="78"/>
  <c r="BC17" i="78"/>
  <c r="BD17" i="78"/>
  <c r="BE17" i="78"/>
  <c r="BF17" i="78"/>
  <c r="BG17" i="78"/>
  <c r="BH17" i="78"/>
  <c r="BI17" i="78"/>
  <c r="BJ17" i="78"/>
  <c r="BK17" i="78"/>
  <c r="BL17" i="78"/>
  <c r="BM17" i="78"/>
  <c r="BN17" i="78"/>
  <c r="BO17" i="78"/>
  <c r="BP17" i="78"/>
  <c r="BQ17" i="78"/>
  <c r="BR17" i="78"/>
  <c r="AM18" i="78"/>
  <c r="AN18" i="78"/>
  <c r="AO18" i="78"/>
  <c r="AP18" i="78"/>
  <c r="AQ18" i="78"/>
  <c r="AR18" i="78"/>
  <c r="AS18" i="78"/>
  <c r="AT18" i="78"/>
  <c r="AU18" i="78"/>
  <c r="AV18" i="78"/>
  <c r="AW18" i="78"/>
  <c r="AX18" i="78"/>
  <c r="AY18" i="78"/>
  <c r="AZ18" i="78"/>
  <c r="BA18" i="78"/>
  <c r="BB18" i="78"/>
  <c r="BC18" i="78"/>
  <c r="BD18" i="78"/>
  <c r="BE18" i="78"/>
  <c r="BF18" i="78"/>
  <c r="BG18" i="78"/>
  <c r="BH18" i="78"/>
  <c r="BI18" i="78"/>
  <c r="BJ18" i="78"/>
  <c r="BK18" i="78"/>
  <c r="BL18" i="78"/>
  <c r="BM18" i="78"/>
  <c r="BN18" i="78"/>
  <c r="BO18" i="78"/>
  <c r="BP18" i="78"/>
  <c r="BQ18" i="78"/>
  <c r="BR18" i="78"/>
  <c r="AM19" i="78"/>
  <c r="AN19" i="78"/>
  <c r="AO19" i="78"/>
  <c r="AP19" i="78"/>
  <c r="AQ19" i="78"/>
  <c r="AR19" i="78"/>
  <c r="AS19" i="78"/>
  <c r="AT19" i="78"/>
  <c r="AU19" i="78"/>
  <c r="AV19" i="78"/>
  <c r="AW19" i="78"/>
  <c r="AX19" i="78"/>
  <c r="AY19" i="78"/>
  <c r="AZ19" i="78"/>
  <c r="BA19" i="78"/>
  <c r="BB19" i="78"/>
  <c r="BC19" i="78"/>
  <c r="BD19" i="78"/>
  <c r="BE19" i="78"/>
  <c r="BF19" i="78"/>
  <c r="BG19" i="78"/>
  <c r="BH19" i="78"/>
  <c r="BI19" i="78"/>
  <c r="BJ19" i="78"/>
  <c r="BK19" i="78"/>
  <c r="BL19" i="78"/>
  <c r="BM19" i="78"/>
  <c r="BN19" i="78"/>
  <c r="BO19" i="78"/>
  <c r="BP19" i="78"/>
  <c r="BQ19" i="78"/>
  <c r="BR19" i="78"/>
  <c r="AM20" i="78"/>
  <c r="AN20" i="78"/>
  <c r="AO20" i="78"/>
  <c r="AP20" i="78"/>
  <c r="AQ20" i="78"/>
  <c r="AR20" i="78"/>
  <c r="AS20" i="78"/>
  <c r="AT20" i="78"/>
  <c r="AU20" i="78"/>
  <c r="AV20" i="78"/>
  <c r="AW20" i="78"/>
  <c r="AX20" i="78"/>
  <c r="AY20" i="78"/>
  <c r="AZ20" i="78"/>
  <c r="BA20" i="78"/>
  <c r="BB20" i="78"/>
  <c r="BC20" i="78"/>
  <c r="BD20" i="78"/>
  <c r="BE20" i="78"/>
  <c r="BF20" i="78"/>
  <c r="BG20" i="78"/>
  <c r="BH20" i="78"/>
  <c r="BI20" i="78"/>
  <c r="BJ20" i="78"/>
  <c r="BK20" i="78"/>
  <c r="BL20" i="78"/>
  <c r="BM20" i="78"/>
  <c r="BN20" i="78"/>
  <c r="BO20" i="78"/>
  <c r="BP20" i="78"/>
  <c r="BQ20" i="78"/>
  <c r="BR20" i="78"/>
  <c r="AM21" i="78"/>
  <c r="AN21" i="78"/>
  <c r="AO21" i="78"/>
  <c r="AP21" i="78"/>
  <c r="AQ21" i="78"/>
  <c r="AR21" i="78"/>
  <c r="AS21" i="78"/>
  <c r="AT21" i="78"/>
  <c r="AU21" i="78"/>
  <c r="AV21" i="78"/>
  <c r="AW21" i="78"/>
  <c r="AX21" i="78"/>
  <c r="AY21" i="78"/>
  <c r="AZ21" i="78"/>
  <c r="BA21" i="78"/>
  <c r="BB21" i="78"/>
  <c r="BC21" i="78"/>
  <c r="BD21" i="78"/>
  <c r="BE21" i="78"/>
  <c r="BF21" i="78"/>
  <c r="BG21" i="78"/>
  <c r="BH21" i="78"/>
  <c r="BI21" i="78"/>
  <c r="BJ21" i="78"/>
  <c r="BK21" i="78"/>
  <c r="BL21" i="78"/>
  <c r="BM21" i="78"/>
  <c r="BN21" i="78"/>
  <c r="BO21" i="78"/>
  <c r="BP21" i="78"/>
  <c r="BQ21" i="78"/>
  <c r="BR21" i="78"/>
  <c r="AM22" i="78"/>
  <c r="AN22" i="78"/>
  <c r="AO22" i="78"/>
  <c r="AP22" i="78"/>
  <c r="AQ22" i="78"/>
  <c r="AR22" i="78"/>
  <c r="AS22" i="78"/>
  <c r="AT22" i="78"/>
  <c r="AU22" i="78"/>
  <c r="AV22" i="78"/>
  <c r="AW22" i="78"/>
  <c r="AX22" i="78"/>
  <c r="AY22" i="78"/>
  <c r="AZ22" i="78"/>
  <c r="BA22" i="78"/>
  <c r="BB22" i="78"/>
  <c r="BC22" i="78"/>
  <c r="BD22" i="78"/>
  <c r="BE22" i="78"/>
  <c r="BF22" i="78"/>
  <c r="BG22" i="78"/>
  <c r="BH22" i="78"/>
  <c r="BI22" i="78"/>
  <c r="BJ22" i="78"/>
  <c r="BK22" i="78"/>
  <c r="BL22" i="78"/>
  <c r="BM22" i="78"/>
  <c r="BN22" i="78"/>
  <c r="BO22" i="78"/>
  <c r="BP22" i="78"/>
  <c r="BQ22" i="78"/>
  <c r="BR22" i="78"/>
  <c r="AM23" i="78"/>
  <c r="AN23" i="78"/>
  <c r="AO23" i="78"/>
  <c r="AP23" i="78"/>
  <c r="AQ23" i="78"/>
  <c r="AR23" i="78"/>
  <c r="AS23" i="78"/>
  <c r="AT23" i="78"/>
  <c r="AU23" i="78"/>
  <c r="AV23" i="78"/>
  <c r="AW23" i="78"/>
  <c r="AX23" i="78"/>
  <c r="AY23" i="78"/>
  <c r="AZ23" i="78"/>
  <c r="BA23" i="78"/>
  <c r="BB23" i="78"/>
  <c r="BC23" i="78"/>
  <c r="BD23" i="78"/>
  <c r="BE23" i="78"/>
  <c r="BF23" i="78"/>
  <c r="BG23" i="78"/>
  <c r="BH23" i="78"/>
  <c r="BI23" i="78"/>
  <c r="BJ23" i="78"/>
  <c r="BK23" i="78"/>
  <c r="BL23" i="78"/>
  <c r="BM23" i="78"/>
  <c r="BN23" i="78"/>
  <c r="BO23" i="78"/>
  <c r="BP23" i="78"/>
  <c r="BQ23" i="78"/>
  <c r="BR23" i="78"/>
  <c r="AM24" i="78"/>
  <c r="AN24" i="78"/>
  <c r="AO24" i="78"/>
  <c r="AP24" i="78"/>
  <c r="AQ24" i="78"/>
  <c r="AR24" i="78"/>
  <c r="AS24" i="78"/>
  <c r="AT24" i="78"/>
  <c r="AU24" i="78"/>
  <c r="AV24" i="78"/>
  <c r="AW24" i="78"/>
  <c r="AX24" i="78"/>
  <c r="AY24" i="78"/>
  <c r="AZ24" i="78"/>
  <c r="BA24" i="78"/>
  <c r="BB24" i="78"/>
  <c r="BC24" i="78"/>
  <c r="BD24" i="78"/>
  <c r="BE24" i="78"/>
  <c r="BF24" i="78"/>
  <c r="BG24" i="78"/>
  <c r="BH24" i="78"/>
  <c r="BI24" i="78"/>
  <c r="BJ24" i="78"/>
  <c r="BK24" i="78"/>
  <c r="BL24" i="78"/>
  <c r="BM24" i="78"/>
  <c r="BN24" i="78"/>
  <c r="BO24" i="78"/>
  <c r="BP24" i="78"/>
  <c r="BQ24" i="78"/>
  <c r="BR24" i="78"/>
  <c r="AM25" i="78"/>
  <c r="AN25" i="78"/>
  <c r="AO25" i="78"/>
  <c r="AP25" i="78"/>
  <c r="AQ25" i="78"/>
  <c r="AR25" i="78"/>
  <c r="AS25" i="78"/>
  <c r="AT25" i="78"/>
  <c r="AU25" i="78"/>
  <c r="AV25" i="78"/>
  <c r="AW25" i="78"/>
  <c r="AX25" i="78"/>
  <c r="AY25" i="78"/>
  <c r="AZ25" i="78"/>
  <c r="BA25" i="78"/>
  <c r="BB25" i="78"/>
  <c r="BC25" i="78"/>
  <c r="BD25" i="78"/>
  <c r="BE25" i="78"/>
  <c r="BF25" i="78"/>
  <c r="BG25" i="78"/>
  <c r="BH25" i="78"/>
  <c r="BI25" i="78"/>
  <c r="BJ25" i="78"/>
  <c r="BK25" i="78"/>
  <c r="BL25" i="78"/>
  <c r="BM25" i="78"/>
  <c r="BN25" i="78"/>
  <c r="BO25" i="78"/>
  <c r="BP25" i="78"/>
  <c r="BQ25" i="78"/>
  <c r="BR25" i="78"/>
  <c r="AM26" i="78"/>
  <c r="AN26" i="78"/>
  <c r="AO26" i="78"/>
  <c r="AP26" i="78"/>
  <c r="AQ26" i="78"/>
  <c r="AR26" i="78"/>
  <c r="AS26" i="78"/>
  <c r="AT26" i="78"/>
  <c r="AU26" i="78"/>
  <c r="AV26" i="78"/>
  <c r="AW26" i="78"/>
  <c r="AX26" i="78"/>
  <c r="AY26" i="78"/>
  <c r="AZ26" i="78"/>
  <c r="BA26" i="78"/>
  <c r="BB26" i="78"/>
  <c r="BC26" i="78"/>
  <c r="BD26" i="78"/>
  <c r="BE26" i="78"/>
  <c r="BF26" i="78"/>
  <c r="BG26" i="78"/>
  <c r="BH26" i="78"/>
  <c r="BI26" i="78"/>
  <c r="BJ26" i="78"/>
  <c r="BK26" i="78"/>
  <c r="BL26" i="78"/>
  <c r="BM26" i="78"/>
  <c r="BN26" i="78"/>
  <c r="BO26" i="78"/>
  <c r="BP26" i="78"/>
  <c r="BQ26" i="78"/>
  <c r="BR26" i="78"/>
  <c r="AM27" i="78"/>
  <c r="AN27" i="78"/>
  <c r="AO27" i="78"/>
  <c r="AP27" i="78"/>
  <c r="AQ27" i="78"/>
  <c r="AR27" i="78"/>
  <c r="AS27" i="78"/>
  <c r="AT27" i="78"/>
  <c r="AU27" i="78"/>
  <c r="AV27" i="78"/>
  <c r="AW27" i="78"/>
  <c r="AX27" i="78"/>
  <c r="AY27" i="78"/>
  <c r="AZ27" i="78"/>
  <c r="BA27" i="78"/>
  <c r="BB27" i="78"/>
  <c r="BC27" i="78"/>
  <c r="BD27" i="78"/>
  <c r="BE27" i="78"/>
  <c r="BF27" i="78"/>
  <c r="BG27" i="78"/>
  <c r="BH27" i="78"/>
  <c r="BI27" i="78"/>
  <c r="BJ27" i="78"/>
  <c r="BK27" i="78"/>
  <c r="BL27" i="78"/>
  <c r="BM27" i="78"/>
  <c r="BN27" i="78"/>
  <c r="BO27" i="78"/>
  <c r="BP27" i="78"/>
  <c r="BQ27" i="78"/>
  <c r="BR27" i="78"/>
  <c r="AM28" i="78"/>
  <c r="AN28" i="78"/>
  <c r="AO28" i="78"/>
  <c r="AP28" i="78"/>
  <c r="AQ28" i="78"/>
  <c r="AR28" i="78"/>
  <c r="AS28" i="78"/>
  <c r="AT28" i="78"/>
  <c r="AU28" i="78"/>
  <c r="AV28" i="78"/>
  <c r="AW28" i="78"/>
  <c r="AX28" i="78"/>
  <c r="AY28" i="78"/>
  <c r="AZ28" i="78"/>
  <c r="BA28" i="78"/>
  <c r="BB28" i="78"/>
  <c r="BC28" i="78"/>
  <c r="BD28" i="78"/>
  <c r="BE28" i="78"/>
  <c r="BF28" i="78"/>
  <c r="BG28" i="78"/>
  <c r="BH28" i="78"/>
  <c r="BI28" i="78"/>
  <c r="BJ28" i="78"/>
  <c r="BK28" i="78"/>
  <c r="BL28" i="78"/>
  <c r="BM28" i="78"/>
  <c r="BN28" i="78"/>
  <c r="BO28" i="78"/>
  <c r="BP28" i="78"/>
  <c r="BQ28" i="78"/>
  <c r="BR28" i="78"/>
  <c r="AM29" i="78"/>
  <c r="AN29" i="78"/>
  <c r="AO29" i="78"/>
  <c r="AP29" i="78"/>
  <c r="AQ29" i="78"/>
  <c r="AR29" i="78"/>
  <c r="AS29" i="78"/>
  <c r="AT29" i="78"/>
  <c r="AU29" i="78"/>
  <c r="AV29" i="78"/>
  <c r="AW29" i="78"/>
  <c r="AX29" i="78"/>
  <c r="AY29" i="78"/>
  <c r="AZ29" i="78"/>
  <c r="BA29" i="78"/>
  <c r="BB29" i="78"/>
  <c r="BC29" i="78"/>
  <c r="BD29" i="78"/>
  <c r="BE29" i="78"/>
  <c r="BF29" i="78"/>
  <c r="BG29" i="78"/>
  <c r="BH29" i="78"/>
  <c r="BI29" i="78"/>
  <c r="BJ29" i="78"/>
  <c r="BK29" i="78"/>
  <c r="BL29" i="78"/>
  <c r="BM29" i="78"/>
  <c r="BN29" i="78"/>
  <c r="BO29" i="78"/>
  <c r="BP29" i="78"/>
  <c r="BQ29" i="78"/>
  <c r="BR29" i="78"/>
  <c r="AM30" i="78"/>
  <c r="AN30" i="78"/>
  <c r="AO30" i="78"/>
  <c r="AP30" i="78"/>
  <c r="AQ30" i="78"/>
  <c r="AR30" i="78"/>
  <c r="AS30" i="78"/>
  <c r="AT30" i="78"/>
  <c r="AU30" i="78"/>
  <c r="AV30" i="78"/>
  <c r="AW30" i="78"/>
  <c r="AX30" i="78"/>
  <c r="AY30" i="78"/>
  <c r="AZ30" i="78"/>
  <c r="BA30" i="78"/>
  <c r="BB30" i="78"/>
  <c r="BC30" i="78"/>
  <c r="BD30" i="78"/>
  <c r="BE30" i="78"/>
  <c r="BF30" i="78"/>
  <c r="BG30" i="78"/>
  <c r="BH30" i="78"/>
  <c r="BI30" i="78"/>
  <c r="BJ30" i="78"/>
  <c r="BK30" i="78"/>
  <c r="BL30" i="78"/>
  <c r="BM30" i="78"/>
  <c r="BN30" i="78"/>
  <c r="BO30" i="78"/>
  <c r="BP30" i="78"/>
  <c r="BQ30" i="78"/>
  <c r="BR30" i="78"/>
  <c r="AM31" i="78"/>
  <c r="AN31" i="78"/>
  <c r="AO31" i="78"/>
  <c r="AP31" i="78"/>
  <c r="AQ31" i="78"/>
  <c r="AR31" i="78"/>
  <c r="AS31" i="78"/>
  <c r="AT31" i="78"/>
  <c r="AU31" i="78"/>
  <c r="AV31" i="78"/>
  <c r="AW31" i="78"/>
  <c r="AX31" i="78"/>
  <c r="AY31" i="78"/>
  <c r="AZ31" i="78"/>
  <c r="BA31" i="78"/>
  <c r="BB31" i="78"/>
  <c r="BC31" i="78"/>
  <c r="BD31" i="78"/>
  <c r="BE31" i="78"/>
  <c r="BF31" i="78"/>
  <c r="BG31" i="78"/>
  <c r="BH31" i="78"/>
  <c r="BI31" i="78"/>
  <c r="BJ31" i="78"/>
  <c r="BK31" i="78"/>
  <c r="BL31" i="78"/>
  <c r="BM31" i="78"/>
  <c r="BN31" i="78"/>
  <c r="BO31" i="78"/>
  <c r="BP31" i="78"/>
  <c r="BQ31" i="78"/>
  <c r="BR31" i="78"/>
  <c r="AM32" i="78"/>
  <c r="AN32" i="78"/>
  <c r="AO32" i="78"/>
  <c r="AP32" i="78"/>
  <c r="AQ32" i="78"/>
  <c r="AR32" i="78"/>
  <c r="AS32" i="78"/>
  <c r="AT32" i="78"/>
  <c r="AU32" i="78"/>
  <c r="AV32" i="78"/>
  <c r="AW32" i="78"/>
  <c r="AX32" i="78"/>
  <c r="AY32" i="78"/>
  <c r="AZ32" i="78"/>
  <c r="BA32" i="78"/>
  <c r="BB32" i="78"/>
  <c r="BC32" i="78"/>
  <c r="BD32" i="78"/>
  <c r="BE32" i="78"/>
  <c r="BF32" i="78"/>
  <c r="BG32" i="78"/>
  <c r="BH32" i="78"/>
  <c r="BI32" i="78"/>
  <c r="BJ32" i="78"/>
  <c r="BK32" i="78"/>
  <c r="BL32" i="78"/>
  <c r="BM32" i="78"/>
  <c r="BN32" i="78"/>
  <c r="BO32" i="78"/>
  <c r="BP32" i="78"/>
  <c r="BQ32" i="78"/>
  <c r="BR32" i="78"/>
  <c r="AM33" i="78"/>
  <c r="AN33" i="78"/>
  <c r="AO33" i="78"/>
  <c r="AP33" i="78"/>
  <c r="AQ33" i="78"/>
  <c r="AR33" i="78"/>
  <c r="AS33" i="78"/>
  <c r="AT33" i="78"/>
  <c r="AU33" i="78"/>
  <c r="AV33" i="78"/>
  <c r="AW33" i="78"/>
  <c r="AX33" i="78"/>
  <c r="AY33" i="78"/>
  <c r="AZ33" i="78"/>
  <c r="BA33" i="78"/>
  <c r="BB33" i="78"/>
  <c r="BC33" i="78"/>
  <c r="BD33" i="78"/>
  <c r="BE33" i="78"/>
  <c r="BF33" i="78"/>
  <c r="BG33" i="78"/>
  <c r="BH33" i="78"/>
  <c r="BI33" i="78"/>
  <c r="BJ33" i="78"/>
  <c r="BK33" i="78"/>
  <c r="BL33" i="78"/>
  <c r="BM33" i="78"/>
  <c r="BN33" i="78"/>
  <c r="BO33" i="78"/>
  <c r="BP33" i="78"/>
  <c r="BQ33" i="78"/>
  <c r="BR33" i="78"/>
  <c r="AM34" i="78"/>
  <c r="AN34" i="78"/>
  <c r="AO34" i="78"/>
  <c r="AP34" i="78"/>
  <c r="AQ34" i="78"/>
  <c r="AR34" i="78"/>
  <c r="AS34" i="78"/>
  <c r="AT34" i="78"/>
  <c r="AU34" i="78"/>
  <c r="AV34" i="78"/>
  <c r="AW34" i="78"/>
  <c r="AX34" i="78"/>
  <c r="AY34" i="78"/>
  <c r="AZ34" i="78"/>
  <c r="BA34" i="78"/>
  <c r="BB34" i="78"/>
  <c r="BC34" i="78"/>
  <c r="BD34" i="78"/>
  <c r="BE34" i="78"/>
  <c r="BF34" i="78"/>
  <c r="BG34" i="78"/>
  <c r="BH34" i="78"/>
  <c r="BI34" i="78"/>
  <c r="BJ34" i="78"/>
  <c r="BK34" i="78"/>
  <c r="BL34" i="78"/>
  <c r="BM34" i="78"/>
  <c r="BN34" i="78"/>
  <c r="BO34" i="78"/>
  <c r="BP34" i="78"/>
  <c r="BQ34" i="78"/>
  <c r="BR34" i="78"/>
  <c r="AM35" i="78"/>
  <c r="AN35" i="78"/>
  <c r="AO35" i="78"/>
  <c r="AP35" i="78"/>
  <c r="AQ35" i="78"/>
  <c r="AR35" i="78"/>
  <c r="AS35" i="78"/>
  <c r="AT35" i="78"/>
  <c r="AU35" i="78"/>
  <c r="AV35" i="78"/>
  <c r="AW35" i="78"/>
  <c r="AX35" i="78"/>
  <c r="AY35" i="78"/>
  <c r="AZ35" i="78"/>
  <c r="BA35" i="78"/>
  <c r="BB35" i="78"/>
  <c r="BC35" i="78"/>
  <c r="BD35" i="78"/>
  <c r="BE35" i="78"/>
  <c r="BF35" i="78"/>
  <c r="BG35" i="78"/>
  <c r="BH35" i="78"/>
  <c r="BI35" i="78"/>
  <c r="BJ35" i="78"/>
  <c r="BK35" i="78"/>
  <c r="BL35" i="78"/>
  <c r="BM35" i="78"/>
  <c r="BN35" i="78"/>
  <c r="BO35" i="78"/>
  <c r="BP35" i="78"/>
  <c r="BQ35" i="78"/>
  <c r="BR35" i="78"/>
  <c r="AM36" i="78"/>
  <c r="AN36" i="78"/>
  <c r="AO36" i="78"/>
  <c r="AP36" i="78"/>
  <c r="AQ36" i="78"/>
  <c r="AR36" i="78"/>
  <c r="AS36" i="78"/>
  <c r="AT36" i="78"/>
  <c r="AU36" i="78"/>
  <c r="AV36" i="78"/>
  <c r="AW36" i="78"/>
  <c r="AX36" i="78"/>
  <c r="AY36" i="78"/>
  <c r="AZ36" i="78"/>
  <c r="BA36" i="78"/>
  <c r="BB36" i="78"/>
  <c r="BC36" i="78"/>
  <c r="BD36" i="78"/>
  <c r="BE36" i="78"/>
  <c r="BF36" i="78"/>
  <c r="BG36" i="78"/>
  <c r="BH36" i="78"/>
  <c r="BI36" i="78"/>
  <c r="BJ36" i="78"/>
  <c r="BK36" i="78"/>
  <c r="BL36" i="78"/>
  <c r="BM36" i="78"/>
  <c r="BN36" i="78"/>
  <c r="BO36" i="78"/>
  <c r="BP36" i="78"/>
  <c r="BQ36" i="78"/>
  <c r="BR36" i="78"/>
  <c r="AM37" i="78"/>
  <c r="AN37" i="78"/>
  <c r="AO37" i="78"/>
  <c r="AP37" i="78"/>
  <c r="AQ37" i="78"/>
  <c r="AR37" i="78"/>
  <c r="AS37" i="78"/>
  <c r="AT37" i="78"/>
  <c r="AU37" i="78"/>
  <c r="AV37" i="78"/>
  <c r="AW37" i="78"/>
  <c r="AX37" i="78"/>
  <c r="AY37" i="78"/>
  <c r="AZ37" i="78"/>
  <c r="BA37" i="78"/>
  <c r="BB37" i="78"/>
  <c r="BC37" i="78"/>
  <c r="BD37" i="78"/>
  <c r="BE37" i="78"/>
  <c r="BF37" i="78"/>
  <c r="BG37" i="78"/>
  <c r="BH37" i="78"/>
  <c r="BI37" i="78"/>
  <c r="BJ37" i="78"/>
  <c r="BK37" i="78"/>
  <c r="BL37" i="78"/>
  <c r="BM37" i="78"/>
  <c r="BN37" i="78"/>
  <c r="BO37" i="78"/>
  <c r="BP37" i="78"/>
  <c r="BQ37" i="78"/>
  <c r="BR37" i="78"/>
  <c r="AM38" i="78"/>
  <c r="AN38" i="78"/>
  <c r="AO38" i="78"/>
  <c r="AP38" i="78"/>
  <c r="AQ38" i="78"/>
  <c r="AR38" i="78"/>
  <c r="AS38" i="78"/>
  <c r="AT38" i="78"/>
  <c r="AU38" i="78"/>
  <c r="AV38" i="78"/>
  <c r="AW38" i="78"/>
  <c r="AX38" i="78"/>
  <c r="AY38" i="78"/>
  <c r="AZ38" i="78"/>
  <c r="BA38" i="78"/>
  <c r="BB38" i="78"/>
  <c r="BC38" i="78"/>
  <c r="BD38" i="78"/>
  <c r="BE38" i="78"/>
  <c r="BF38" i="78"/>
  <c r="BG38" i="78"/>
  <c r="BH38" i="78"/>
  <c r="BI38" i="78"/>
  <c r="BJ38" i="78"/>
  <c r="BK38" i="78"/>
  <c r="BL38" i="78"/>
  <c r="BM38" i="78"/>
  <c r="BN38" i="78"/>
  <c r="BO38" i="78"/>
  <c r="BP38" i="78"/>
  <c r="BQ38" i="78"/>
  <c r="BR38" i="78"/>
  <c r="AM39" i="78"/>
  <c r="AN39" i="78"/>
  <c r="AO39" i="78"/>
  <c r="AP39" i="78"/>
  <c r="AQ39" i="78"/>
  <c r="AR39" i="78"/>
  <c r="AS39" i="78"/>
  <c r="AT39" i="78"/>
  <c r="AU39" i="78"/>
  <c r="AV39" i="78"/>
  <c r="AW39" i="78"/>
  <c r="AX39" i="78"/>
  <c r="AY39" i="78"/>
  <c r="AZ39" i="78"/>
  <c r="BA39" i="78"/>
  <c r="BB39" i="78"/>
  <c r="BC39" i="78"/>
  <c r="BD39" i="78"/>
  <c r="BE39" i="78"/>
  <c r="BF39" i="78"/>
  <c r="BG39" i="78"/>
  <c r="BH39" i="78"/>
  <c r="BI39" i="78"/>
  <c r="BJ39" i="78"/>
  <c r="BK39" i="78"/>
  <c r="BL39" i="78"/>
  <c r="BM39" i="78"/>
  <c r="BN39" i="78"/>
  <c r="BO39" i="78"/>
  <c r="BP39" i="78"/>
  <c r="BQ39" i="78"/>
  <c r="BR39" i="78"/>
  <c r="AM40" i="78"/>
  <c r="AN40" i="78"/>
  <c r="AO40" i="78"/>
  <c r="AP40" i="78"/>
  <c r="AQ40" i="78"/>
  <c r="AR40" i="78"/>
  <c r="AS40" i="78"/>
  <c r="AT40" i="78"/>
  <c r="AU40" i="78"/>
  <c r="AV40" i="78"/>
  <c r="AW40" i="78"/>
  <c r="AX40" i="78"/>
  <c r="AY40" i="78"/>
  <c r="AZ40" i="78"/>
  <c r="BA40" i="78"/>
  <c r="BB40" i="78"/>
  <c r="BC40" i="78"/>
  <c r="BD40" i="78"/>
  <c r="BE40" i="78"/>
  <c r="BF40" i="78"/>
  <c r="BG40" i="78"/>
  <c r="BH40" i="78"/>
  <c r="BI40" i="78"/>
  <c r="BJ40" i="78"/>
  <c r="BK40" i="78"/>
  <c r="BL40" i="78"/>
  <c r="BM40" i="78"/>
  <c r="BN40" i="78"/>
  <c r="BO40" i="78"/>
  <c r="BP40" i="78"/>
  <c r="BQ40" i="78"/>
  <c r="BR40" i="78"/>
  <c r="AM41" i="78"/>
  <c r="AN41" i="78"/>
  <c r="AO41" i="78"/>
  <c r="AP41" i="78"/>
  <c r="AQ41" i="78"/>
  <c r="AR41" i="78"/>
  <c r="AS41" i="78"/>
  <c r="AT41" i="78"/>
  <c r="AU41" i="78"/>
  <c r="AV41" i="78"/>
  <c r="AW41" i="78"/>
  <c r="AX41" i="78"/>
  <c r="AY41" i="78"/>
  <c r="AZ41" i="78"/>
  <c r="BA41" i="78"/>
  <c r="BB41" i="78"/>
  <c r="BC41" i="78"/>
  <c r="BD41" i="78"/>
  <c r="BE41" i="78"/>
  <c r="BF41" i="78"/>
  <c r="BG41" i="78"/>
  <c r="BH41" i="78"/>
  <c r="BI41" i="78"/>
  <c r="BJ41" i="78"/>
  <c r="BK41" i="78"/>
  <c r="BL41" i="78"/>
  <c r="BM41" i="78"/>
  <c r="BN41" i="78"/>
  <c r="BO41" i="78"/>
  <c r="BP41" i="78"/>
  <c r="BQ41" i="78"/>
  <c r="BR41" i="78"/>
  <c r="AM42" i="78"/>
  <c r="AN42" i="78"/>
  <c r="AO42" i="78"/>
  <c r="AP42" i="78"/>
  <c r="AQ42" i="78"/>
  <c r="AR42" i="78"/>
  <c r="AS42" i="78"/>
  <c r="AT42" i="78"/>
  <c r="AU42" i="78"/>
  <c r="AV42" i="78"/>
  <c r="AW42" i="78"/>
  <c r="AX42" i="78"/>
  <c r="AY42" i="78"/>
  <c r="AZ42" i="78"/>
  <c r="BA42" i="78"/>
  <c r="BB42" i="78"/>
  <c r="BC42" i="78"/>
  <c r="BD42" i="78"/>
  <c r="BE42" i="78"/>
  <c r="BF42" i="78"/>
  <c r="BG42" i="78"/>
  <c r="BH42" i="78"/>
  <c r="BI42" i="78"/>
  <c r="BJ42" i="78"/>
  <c r="BK42" i="78"/>
  <c r="BL42" i="78"/>
  <c r="BM42" i="78"/>
  <c r="BN42" i="78"/>
  <c r="BO42" i="78"/>
  <c r="BP42" i="78"/>
  <c r="BQ42" i="78"/>
  <c r="BR42" i="78"/>
  <c r="AM43" i="78"/>
  <c r="AN43" i="78"/>
  <c r="AO43" i="78"/>
  <c r="AP43" i="78"/>
  <c r="AQ43" i="78"/>
  <c r="AR43" i="78"/>
  <c r="AS43" i="78"/>
  <c r="AT43" i="78"/>
  <c r="AU43" i="78"/>
  <c r="AV43" i="78"/>
  <c r="AW43" i="78"/>
  <c r="AX43" i="78"/>
  <c r="AY43" i="78"/>
  <c r="AZ43" i="78"/>
  <c r="BA43" i="78"/>
  <c r="BB43" i="78"/>
  <c r="BC43" i="78"/>
  <c r="BD43" i="78"/>
  <c r="BE43" i="78"/>
  <c r="BF43" i="78"/>
  <c r="BG43" i="78"/>
  <c r="BH43" i="78"/>
  <c r="BI43" i="78"/>
  <c r="BJ43" i="78"/>
  <c r="BK43" i="78"/>
  <c r="BL43" i="78"/>
  <c r="BM43" i="78"/>
  <c r="BN43" i="78"/>
  <c r="BO43" i="78"/>
  <c r="BP43" i="78"/>
  <c r="BQ43" i="78"/>
  <c r="BR43" i="78"/>
  <c r="AM44" i="78"/>
  <c r="AN44" i="78"/>
  <c r="AO44" i="78"/>
  <c r="AP44" i="78"/>
  <c r="AQ44" i="78"/>
  <c r="AR44" i="78"/>
  <c r="AS44" i="78"/>
  <c r="AT44" i="78"/>
  <c r="AU44" i="78"/>
  <c r="AV44" i="78"/>
  <c r="AW44" i="78"/>
  <c r="AX44" i="78"/>
  <c r="AY44" i="78"/>
  <c r="AZ44" i="78"/>
  <c r="BA44" i="78"/>
  <c r="BB44" i="78"/>
  <c r="BC44" i="78"/>
  <c r="BD44" i="78"/>
  <c r="BE44" i="78"/>
  <c r="BF44" i="78"/>
  <c r="BG44" i="78"/>
  <c r="BH44" i="78"/>
  <c r="BI44" i="78"/>
  <c r="BJ44" i="78"/>
  <c r="BK44" i="78"/>
  <c r="BL44" i="78"/>
  <c r="BM44" i="78"/>
  <c r="BN44" i="78"/>
  <c r="BO44" i="78"/>
  <c r="BP44" i="78"/>
  <c r="BQ44" i="78"/>
  <c r="BR44" i="78"/>
  <c r="AM45" i="78"/>
  <c r="AN45" i="78"/>
  <c r="AO45" i="78"/>
  <c r="AP45" i="78"/>
  <c r="AQ45" i="78"/>
  <c r="AR45" i="78"/>
  <c r="AS45" i="78"/>
  <c r="AT45" i="78"/>
  <c r="AU45" i="78"/>
  <c r="AV45" i="78"/>
  <c r="AW45" i="78"/>
  <c r="AX45" i="78"/>
  <c r="AY45" i="78"/>
  <c r="AZ45" i="78"/>
  <c r="BA45" i="78"/>
  <c r="BB45" i="78"/>
  <c r="BC45" i="78"/>
  <c r="BD45" i="78"/>
  <c r="BE45" i="78"/>
  <c r="BF45" i="78"/>
  <c r="BG45" i="78"/>
  <c r="BH45" i="78"/>
  <c r="BI45" i="78"/>
  <c r="BJ45" i="78"/>
  <c r="BK45" i="78"/>
  <c r="BL45" i="78"/>
  <c r="BM45" i="78"/>
  <c r="BN45" i="78"/>
  <c r="BO45" i="78"/>
  <c r="BP45" i="78"/>
  <c r="BQ45" i="78"/>
  <c r="BR45" i="78"/>
  <c r="AM46" i="78"/>
  <c r="AN46" i="78"/>
  <c r="AO46" i="78"/>
  <c r="AP46" i="78"/>
  <c r="AQ46" i="78"/>
  <c r="AR46" i="78"/>
  <c r="AS46" i="78"/>
  <c r="AT46" i="78"/>
  <c r="AU46" i="78"/>
  <c r="AV46" i="78"/>
  <c r="AW46" i="78"/>
  <c r="AX46" i="78"/>
  <c r="AY46" i="78"/>
  <c r="AZ46" i="78"/>
  <c r="BA46" i="78"/>
  <c r="BB46" i="78"/>
  <c r="BC46" i="78"/>
  <c r="BD46" i="78"/>
  <c r="BE46" i="78"/>
  <c r="BF46" i="78"/>
  <c r="BG46" i="78"/>
  <c r="BH46" i="78"/>
  <c r="BI46" i="78"/>
  <c r="BJ46" i="78"/>
  <c r="BK46" i="78"/>
  <c r="BL46" i="78"/>
  <c r="BM46" i="78"/>
  <c r="BN46" i="78"/>
  <c r="BO46" i="78"/>
  <c r="BP46" i="78"/>
  <c r="BQ46" i="78"/>
  <c r="BR46" i="78"/>
  <c r="AM47" i="78"/>
  <c r="AN47" i="78"/>
  <c r="AO47" i="78"/>
  <c r="AP47" i="78"/>
  <c r="AQ47" i="78"/>
  <c r="AR47" i="78"/>
  <c r="AS47" i="78"/>
  <c r="AT47" i="78"/>
  <c r="AU47" i="78"/>
  <c r="AV47" i="78"/>
  <c r="AW47" i="78"/>
  <c r="AX47" i="78"/>
  <c r="AY47" i="78"/>
  <c r="AZ47" i="78"/>
  <c r="BA47" i="78"/>
  <c r="BB47" i="78"/>
  <c r="BC47" i="78"/>
  <c r="BD47" i="78"/>
  <c r="BE47" i="78"/>
  <c r="BF47" i="78"/>
  <c r="BG47" i="78"/>
  <c r="BH47" i="78"/>
  <c r="BI47" i="78"/>
  <c r="BJ47" i="78"/>
  <c r="BK47" i="78"/>
  <c r="BL47" i="78"/>
  <c r="BM47" i="78"/>
  <c r="BN47" i="78"/>
  <c r="BO47" i="78"/>
  <c r="BP47" i="78"/>
  <c r="BQ47" i="78"/>
  <c r="BR47" i="78"/>
  <c r="AM48" i="78"/>
  <c r="AN48" i="78"/>
  <c r="AO48" i="78"/>
  <c r="AP48" i="78"/>
  <c r="AQ48" i="78"/>
  <c r="AR48" i="78"/>
  <c r="AS48" i="78"/>
  <c r="AT48" i="78"/>
  <c r="AU48" i="78"/>
  <c r="AV48" i="78"/>
  <c r="AW48" i="78"/>
  <c r="AX48" i="78"/>
  <c r="AY48" i="78"/>
  <c r="AZ48" i="78"/>
  <c r="BA48" i="78"/>
  <c r="BB48" i="78"/>
  <c r="BC48" i="78"/>
  <c r="BD48" i="78"/>
  <c r="BE48" i="78"/>
  <c r="BF48" i="78"/>
  <c r="BG48" i="78"/>
  <c r="BH48" i="78"/>
  <c r="BI48" i="78"/>
  <c r="BJ48" i="78"/>
  <c r="BK48" i="78"/>
  <c r="BL48" i="78"/>
  <c r="BM48" i="78"/>
  <c r="BN48" i="78"/>
  <c r="BO48" i="78"/>
  <c r="BP48" i="78"/>
  <c r="BQ48" i="78"/>
  <c r="BR48" i="78"/>
  <c r="AM49" i="78"/>
  <c r="AN49" i="78"/>
  <c r="AO49" i="78"/>
  <c r="AP49" i="78"/>
  <c r="AQ49" i="78"/>
  <c r="AR49" i="78"/>
  <c r="AS49" i="78"/>
  <c r="AT49" i="78"/>
  <c r="AU49" i="78"/>
  <c r="AV49" i="78"/>
  <c r="AW49" i="78"/>
  <c r="AX49" i="78"/>
  <c r="AY49" i="78"/>
  <c r="AZ49" i="78"/>
  <c r="BA49" i="78"/>
  <c r="BB49" i="78"/>
  <c r="BC49" i="78"/>
  <c r="BD49" i="78"/>
  <c r="BE49" i="78"/>
  <c r="BF49" i="78"/>
  <c r="BG49" i="78"/>
  <c r="BH49" i="78"/>
  <c r="BI49" i="78"/>
  <c r="BJ49" i="78"/>
  <c r="BK49" i="78"/>
  <c r="BL49" i="78"/>
  <c r="BM49" i="78"/>
  <c r="BN49" i="78"/>
  <c r="BO49" i="78"/>
  <c r="BP49" i="78"/>
  <c r="BQ49" i="78"/>
  <c r="BR49" i="78"/>
  <c r="AM50" i="78"/>
  <c r="AN50" i="78"/>
  <c r="AO50" i="78"/>
  <c r="AP50" i="78"/>
  <c r="AQ50" i="78"/>
  <c r="AR50" i="78"/>
  <c r="AS50" i="78"/>
  <c r="AT50" i="78"/>
  <c r="AU50" i="78"/>
  <c r="AV50" i="78"/>
  <c r="AW50" i="78"/>
  <c r="AX50" i="78"/>
  <c r="AY50" i="78"/>
  <c r="AZ50" i="78"/>
  <c r="BA50" i="78"/>
  <c r="BB50" i="78"/>
  <c r="BC50" i="78"/>
  <c r="BD50" i="78"/>
  <c r="BE50" i="78"/>
  <c r="BF50" i="78"/>
  <c r="BG50" i="78"/>
  <c r="BH50" i="78"/>
  <c r="BI50" i="78"/>
  <c r="BJ50" i="78"/>
  <c r="BK50" i="78"/>
  <c r="BL50" i="78"/>
  <c r="BM50" i="78"/>
  <c r="BN50" i="78"/>
  <c r="BO50" i="78"/>
  <c r="BP50" i="78"/>
  <c r="BQ50" i="78"/>
  <c r="BR50" i="78"/>
  <c r="AM51" i="78"/>
  <c r="AN51" i="78"/>
  <c r="AO51" i="78"/>
  <c r="AP51" i="78"/>
  <c r="AQ51" i="78"/>
  <c r="AR51" i="78"/>
  <c r="AS51" i="78"/>
  <c r="AT51" i="78"/>
  <c r="AU51" i="78"/>
  <c r="AV51" i="78"/>
  <c r="AW51" i="78"/>
  <c r="AX51" i="78"/>
  <c r="AY51" i="78"/>
  <c r="AZ51" i="78"/>
  <c r="BA51" i="78"/>
  <c r="BB51" i="78"/>
  <c r="BC51" i="78"/>
  <c r="BD51" i="78"/>
  <c r="BE51" i="78"/>
  <c r="BF51" i="78"/>
  <c r="BG51" i="78"/>
  <c r="BH51" i="78"/>
  <c r="BI51" i="78"/>
  <c r="BJ51" i="78"/>
  <c r="BK51" i="78"/>
  <c r="BL51" i="78"/>
  <c r="BM51" i="78"/>
  <c r="BN51" i="78"/>
  <c r="BO51" i="78"/>
  <c r="BP51" i="78"/>
  <c r="BQ51" i="78"/>
  <c r="BR51" i="78"/>
  <c r="AM52" i="78"/>
  <c r="AN52" i="78"/>
  <c r="AO52" i="78"/>
  <c r="AP52" i="78"/>
  <c r="AQ52" i="78"/>
  <c r="AR52" i="78"/>
  <c r="AS52" i="78"/>
  <c r="AT52" i="78"/>
  <c r="AU52" i="78"/>
  <c r="AV52" i="78"/>
  <c r="AW52" i="78"/>
  <c r="AX52" i="78"/>
  <c r="AY52" i="78"/>
  <c r="AZ52" i="78"/>
  <c r="BA52" i="78"/>
  <c r="BB52" i="78"/>
  <c r="BC52" i="78"/>
  <c r="BD52" i="78"/>
  <c r="BE52" i="78"/>
  <c r="BF52" i="78"/>
  <c r="BG52" i="78"/>
  <c r="BH52" i="78"/>
  <c r="BI52" i="78"/>
  <c r="BJ52" i="78"/>
  <c r="BK52" i="78"/>
  <c r="BL52" i="78"/>
  <c r="BM52" i="78"/>
  <c r="BN52" i="78"/>
  <c r="BO52" i="78"/>
  <c r="BP52" i="78"/>
  <c r="BQ52" i="78"/>
  <c r="BR52" i="78"/>
  <c r="AM53" i="78"/>
  <c r="AN53" i="78"/>
  <c r="AO53" i="78"/>
  <c r="AP53" i="78"/>
  <c r="AQ53" i="78"/>
  <c r="AR53" i="78"/>
  <c r="AS53" i="78"/>
  <c r="AT53" i="78"/>
  <c r="AU53" i="78"/>
  <c r="AV53" i="78"/>
  <c r="AW53" i="78"/>
  <c r="AX53" i="78"/>
  <c r="AY53" i="78"/>
  <c r="AZ53" i="78"/>
  <c r="BA53" i="78"/>
  <c r="BB53" i="78"/>
  <c r="BC53" i="78"/>
  <c r="BD53" i="78"/>
  <c r="BE53" i="78"/>
  <c r="BF53" i="78"/>
  <c r="BG53" i="78"/>
  <c r="BH53" i="78"/>
  <c r="BI53" i="78"/>
  <c r="BJ53" i="78"/>
  <c r="BK53" i="78"/>
  <c r="BL53" i="78"/>
  <c r="BM53" i="78"/>
  <c r="BN53" i="78"/>
  <c r="BO53" i="78"/>
  <c r="BP53" i="78"/>
  <c r="BQ53" i="78"/>
  <c r="BR53" i="78"/>
  <c r="AM54" i="78"/>
  <c r="AN54" i="78"/>
  <c r="AO54" i="78"/>
  <c r="AP54" i="78"/>
  <c r="AQ54" i="78"/>
  <c r="AR54" i="78"/>
  <c r="AS54" i="78"/>
  <c r="AT54" i="78"/>
  <c r="AU54" i="78"/>
  <c r="AV54" i="78"/>
  <c r="AW54" i="78"/>
  <c r="AX54" i="78"/>
  <c r="AY54" i="78"/>
  <c r="AZ54" i="78"/>
  <c r="BA54" i="78"/>
  <c r="BB54" i="78"/>
  <c r="BC54" i="78"/>
  <c r="BD54" i="78"/>
  <c r="BE54" i="78"/>
  <c r="BF54" i="78"/>
  <c r="BG54" i="78"/>
  <c r="BH54" i="78"/>
  <c r="BI54" i="78"/>
  <c r="BJ54" i="78"/>
  <c r="BK54" i="78"/>
  <c r="BL54" i="78"/>
  <c r="BM54" i="78"/>
  <c r="BN54" i="78"/>
  <c r="BO54" i="78"/>
  <c r="BP54" i="78"/>
  <c r="BQ54" i="78"/>
  <c r="BR54" i="78"/>
  <c r="AM55" i="78"/>
  <c r="AN55" i="78"/>
  <c r="AO55" i="78"/>
  <c r="AP55" i="78"/>
  <c r="AQ55" i="78"/>
  <c r="AR55" i="78"/>
  <c r="AS55" i="78"/>
  <c r="AT55" i="78"/>
  <c r="AU55" i="78"/>
  <c r="AV55" i="78"/>
  <c r="AW55" i="78"/>
  <c r="AX55" i="78"/>
  <c r="AY55" i="78"/>
  <c r="AZ55" i="78"/>
  <c r="BA55" i="78"/>
  <c r="BB55" i="78"/>
  <c r="BC55" i="78"/>
  <c r="BD55" i="78"/>
  <c r="BE55" i="78"/>
  <c r="BF55" i="78"/>
  <c r="BG55" i="78"/>
  <c r="BH55" i="78"/>
  <c r="BI55" i="78"/>
  <c r="BJ55" i="78"/>
  <c r="BK55" i="78"/>
  <c r="BL55" i="78"/>
  <c r="BM55" i="78"/>
  <c r="BN55" i="78"/>
  <c r="BO55" i="78"/>
  <c r="BP55" i="78"/>
  <c r="BQ55" i="78"/>
  <c r="BR55" i="78"/>
  <c r="AM56" i="78"/>
  <c r="AN56" i="78"/>
  <c r="AO56" i="78"/>
  <c r="AP56" i="78"/>
  <c r="AQ56" i="78"/>
  <c r="AR56" i="78"/>
  <c r="AS56" i="78"/>
  <c r="AT56" i="78"/>
  <c r="AU56" i="78"/>
  <c r="AV56" i="78"/>
  <c r="AW56" i="78"/>
  <c r="AX56" i="78"/>
  <c r="AY56" i="78"/>
  <c r="AZ56" i="78"/>
  <c r="BA56" i="78"/>
  <c r="BB56" i="78"/>
  <c r="BC56" i="78"/>
  <c r="BD56" i="78"/>
  <c r="BE56" i="78"/>
  <c r="BF56" i="78"/>
  <c r="BG56" i="78"/>
  <c r="BH56" i="78"/>
  <c r="BI56" i="78"/>
  <c r="BJ56" i="78"/>
  <c r="BK56" i="78"/>
  <c r="BL56" i="78"/>
  <c r="BM56" i="78"/>
  <c r="BN56" i="78"/>
  <c r="BO56" i="78"/>
  <c r="BP56" i="78"/>
  <c r="BQ56" i="78"/>
  <c r="BR56" i="78"/>
  <c r="AM57" i="78"/>
  <c r="AN57" i="78"/>
  <c r="AO57" i="78"/>
  <c r="AP57" i="78"/>
  <c r="AQ57" i="78"/>
  <c r="AR57" i="78"/>
  <c r="AS57" i="78"/>
  <c r="AT57" i="78"/>
  <c r="AU57" i="78"/>
  <c r="AV57" i="78"/>
  <c r="AW57" i="78"/>
  <c r="AX57" i="78"/>
  <c r="AY57" i="78"/>
  <c r="AZ57" i="78"/>
  <c r="BA57" i="78"/>
  <c r="BB57" i="78"/>
  <c r="BC57" i="78"/>
  <c r="BD57" i="78"/>
  <c r="BE57" i="78"/>
  <c r="BF57" i="78"/>
  <c r="BG57" i="78"/>
  <c r="BH57" i="78"/>
  <c r="BI57" i="78"/>
  <c r="BJ57" i="78"/>
  <c r="BK57" i="78"/>
  <c r="BL57" i="78"/>
  <c r="BM57" i="78"/>
  <c r="BN57" i="78"/>
  <c r="BO57" i="78"/>
  <c r="BP57" i="78"/>
  <c r="BQ57" i="78"/>
  <c r="BR57" i="78"/>
  <c r="AM58" i="78"/>
  <c r="AN58" i="78"/>
  <c r="AO58" i="78"/>
  <c r="AP58" i="78"/>
  <c r="AQ58" i="78"/>
  <c r="AR58" i="78"/>
  <c r="AS58" i="78"/>
  <c r="AT58" i="78"/>
  <c r="AU58" i="78"/>
  <c r="AV58" i="78"/>
  <c r="AW58" i="78"/>
  <c r="AX58" i="78"/>
  <c r="AY58" i="78"/>
  <c r="AZ58" i="78"/>
  <c r="BA58" i="78"/>
  <c r="BB58" i="78"/>
  <c r="BC58" i="78"/>
  <c r="BD58" i="78"/>
  <c r="BE58" i="78"/>
  <c r="BF58" i="78"/>
  <c r="BG58" i="78"/>
  <c r="BH58" i="78"/>
  <c r="BI58" i="78"/>
  <c r="BJ58" i="78"/>
  <c r="BK58" i="78"/>
  <c r="BL58" i="78"/>
  <c r="BM58" i="78"/>
  <c r="BN58" i="78"/>
  <c r="BO58" i="78"/>
  <c r="BP58" i="78"/>
  <c r="BQ58" i="78"/>
  <c r="BR58" i="78"/>
  <c r="AM59" i="78"/>
  <c r="AN59" i="78"/>
  <c r="AO59" i="78"/>
  <c r="AP59" i="78"/>
  <c r="AQ59" i="78"/>
  <c r="AR59" i="78"/>
  <c r="AS59" i="78"/>
  <c r="AT59" i="78"/>
  <c r="AU59" i="78"/>
  <c r="AV59" i="78"/>
  <c r="AW59" i="78"/>
  <c r="AX59" i="78"/>
  <c r="AY59" i="78"/>
  <c r="AZ59" i="78"/>
  <c r="BA59" i="78"/>
  <c r="BB59" i="78"/>
  <c r="BC59" i="78"/>
  <c r="BD59" i="78"/>
  <c r="BE59" i="78"/>
  <c r="BF59" i="78"/>
  <c r="BG59" i="78"/>
  <c r="BH59" i="78"/>
  <c r="BI59" i="78"/>
  <c r="BJ59" i="78"/>
  <c r="BK59" i="78"/>
  <c r="BL59" i="78"/>
  <c r="BM59" i="78"/>
  <c r="BN59" i="78"/>
  <c r="BO59" i="78"/>
  <c r="BP59" i="78"/>
  <c r="BQ59" i="78"/>
  <c r="BR59" i="78"/>
  <c r="AM60" i="78"/>
  <c r="AN60" i="78"/>
  <c r="AO60" i="78"/>
  <c r="AP60" i="78"/>
  <c r="AQ60" i="78"/>
  <c r="AR60" i="78"/>
  <c r="AS60" i="78"/>
  <c r="AT60" i="78"/>
  <c r="AU60" i="78"/>
  <c r="AV60" i="78"/>
  <c r="AW60" i="78"/>
  <c r="AX60" i="78"/>
  <c r="AY60" i="78"/>
  <c r="AZ60" i="78"/>
  <c r="BA60" i="78"/>
  <c r="BB60" i="78"/>
  <c r="BC60" i="78"/>
  <c r="BD60" i="78"/>
  <c r="BE60" i="78"/>
  <c r="BF60" i="78"/>
  <c r="BG60" i="78"/>
  <c r="BH60" i="78"/>
  <c r="BI60" i="78"/>
  <c r="BJ60" i="78"/>
  <c r="BK60" i="78"/>
  <c r="BL60" i="78"/>
  <c r="BM60" i="78"/>
  <c r="BN60" i="78"/>
  <c r="BO60" i="78"/>
  <c r="BP60" i="78"/>
  <c r="BQ60" i="78"/>
  <c r="BR60" i="78"/>
  <c r="AM61" i="78"/>
  <c r="AN61" i="78"/>
  <c r="AO61" i="78"/>
  <c r="AP61" i="78"/>
  <c r="AQ61" i="78"/>
  <c r="AR61" i="78"/>
  <c r="AS61" i="78"/>
  <c r="AT61" i="78"/>
  <c r="AU61" i="78"/>
  <c r="AV61" i="78"/>
  <c r="AW61" i="78"/>
  <c r="AX61" i="78"/>
  <c r="AY61" i="78"/>
  <c r="AZ61" i="78"/>
  <c r="BA61" i="78"/>
  <c r="BB61" i="78"/>
  <c r="BC61" i="78"/>
  <c r="BD61" i="78"/>
  <c r="BE61" i="78"/>
  <c r="BF61" i="78"/>
  <c r="BG61" i="78"/>
  <c r="BH61" i="78"/>
  <c r="BI61" i="78"/>
  <c r="BJ61" i="78"/>
  <c r="BK61" i="78"/>
  <c r="BL61" i="78"/>
  <c r="BM61" i="78"/>
  <c r="BN61" i="78"/>
  <c r="BO61" i="78"/>
  <c r="BP61" i="78"/>
  <c r="BQ61" i="78"/>
  <c r="BR61" i="78"/>
  <c r="AM62" i="78"/>
  <c r="AN62" i="78"/>
  <c r="AO62" i="78"/>
  <c r="AP62" i="78"/>
  <c r="AQ62" i="78"/>
  <c r="AR62" i="78"/>
  <c r="AS62" i="78"/>
  <c r="AT62" i="78"/>
  <c r="AU62" i="78"/>
  <c r="AV62" i="78"/>
  <c r="AW62" i="78"/>
  <c r="AX62" i="78"/>
  <c r="AY62" i="78"/>
  <c r="AZ62" i="78"/>
  <c r="BA62" i="78"/>
  <c r="BB62" i="78"/>
  <c r="BC62" i="78"/>
  <c r="BD62" i="78"/>
  <c r="BE62" i="78"/>
  <c r="BF62" i="78"/>
  <c r="BG62" i="78"/>
  <c r="BH62" i="78"/>
  <c r="BI62" i="78"/>
  <c r="BJ62" i="78"/>
  <c r="BK62" i="78"/>
  <c r="BL62" i="78"/>
  <c r="BM62" i="78"/>
  <c r="BN62" i="78"/>
  <c r="BO62" i="78"/>
  <c r="BP62" i="78"/>
  <c r="BQ62" i="78"/>
  <c r="BR62" i="78"/>
  <c r="AM63" i="78"/>
  <c r="AN63" i="78"/>
  <c r="AO63" i="78"/>
  <c r="AP63" i="78"/>
  <c r="AQ63" i="78"/>
  <c r="AR63" i="78"/>
  <c r="AS63" i="78"/>
  <c r="AT63" i="78"/>
  <c r="AU63" i="78"/>
  <c r="AV63" i="78"/>
  <c r="AW63" i="78"/>
  <c r="AX63" i="78"/>
  <c r="AY63" i="78"/>
  <c r="AZ63" i="78"/>
  <c r="BA63" i="78"/>
  <c r="BB63" i="78"/>
  <c r="BC63" i="78"/>
  <c r="BD63" i="78"/>
  <c r="BE63" i="78"/>
  <c r="BF63" i="78"/>
  <c r="BG63" i="78"/>
  <c r="BH63" i="78"/>
  <c r="BI63" i="78"/>
  <c r="BJ63" i="78"/>
  <c r="BK63" i="78"/>
  <c r="BL63" i="78"/>
  <c r="BM63" i="78"/>
  <c r="BN63" i="78"/>
  <c r="BO63" i="78"/>
  <c r="BP63" i="78"/>
  <c r="BQ63" i="78"/>
  <c r="BR63" i="78"/>
  <c r="AM64" i="78"/>
  <c r="AN64" i="78"/>
  <c r="AO64" i="78"/>
  <c r="AP64" i="78"/>
  <c r="AQ64" i="78"/>
  <c r="AR64" i="78"/>
  <c r="AS64" i="78"/>
  <c r="AT64" i="78"/>
  <c r="AU64" i="78"/>
  <c r="AV64" i="78"/>
  <c r="AW64" i="78"/>
  <c r="AX64" i="78"/>
  <c r="AY64" i="78"/>
  <c r="AZ64" i="78"/>
  <c r="BA64" i="78"/>
  <c r="BB64" i="78"/>
  <c r="BC64" i="78"/>
  <c r="BD64" i="78"/>
  <c r="BE64" i="78"/>
  <c r="BF64" i="78"/>
  <c r="BG64" i="78"/>
  <c r="BH64" i="78"/>
  <c r="BI64" i="78"/>
  <c r="BJ64" i="78"/>
  <c r="BK64" i="78"/>
  <c r="BL64" i="78"/>
  <c r="BM64" i="78"/>
  <c r="BN64" i="78"/>
  <c r="BO64" i="78"/>
  <c r="BP64" i="78"/>
  <c r="BQ64" i="78"/>
  <c r="BR64" i="78"/>
  <c r="AM65" i="78"/>
  <c r="AN65" i="78"/>
  <c r="AO65" i="78"/>
  <c r="AP65" i="78"/>
  <c r="AQ65" i="78"/>
  <c r="AR65" i="78"/>
  <c r="AS65" i="78"/>
  <c r="AT65" i="78"/>
  <c r="AU65" i="78"/>
  <c r="AV65" i="78"/>
  <c r="AW65" i="78"/>
  <c r="AX65" i="78"/>
  <c r="AY65" i="78"/>
  <c r="AZ65" i="78"/>
  <c r="BA65" i="78"/>
  <c r="BB65" i="78"/>
  <c r="BC65" i="78"/>
  <c r="BD65" i="78"/>
  <c r="BE65" i="78"/>
  <c r="BF65" i="78"/>
  <c r="BG65" i="78"/>
  <c r="BH65" i="78"/>
  <c r="BI65" i="78"/>
  <c r="BJ65" i="78"/>
  <c r="BK65" i="78"/>
  <c r="BL65" i="78"/>
  <c r="BM65" i="78"/>
  <c r="BN65" i="78"/>
  <c r="BO65" i="78"/>
  <c r="BP65" i="78"/>
  <c r="BQ65" i="78"/>
  <c r="BR65" i="78"/>
  <c r="AM66" i="78"/>
  <c r="AN66" i="78"/>
  <c r="AO66" i="78"/>
  <c r="AP66" i="78"/>
  <c r="AQ66" i="78"/>
  <c r="AR66" i="78"/>
  <c r="AS66" i="78"/>
  <c r="AT66" i="78"/>
  <c r="AU66" i="78"/>
  <c r="AV66" i="78"/>
  <c r="AW66" i="78"/>
  <c r="AX66" i="78"/>
  <c r="AY66" i="78"/>
  <c r="AZ66" i="78"/>
  <c r="BA66" i="78"/>
  <c r="BB66" i="78"/>
  <c r="BC66" i="78"/>
  <c r="BD66" i="78"/>
  <c r="BE66" i="78"/>
  <c r="BF66" i="78"/>
  <c r="BG66" i="78"/>
  <c r="BH66" i="78"/>
  <c r="BI66" i="78"/>
  <c r="BJ66" i="78"/>
  <c r="BK66" i="78"/>
  <c r="BL66" i="78"/>
  <c r="BM66" i="78"/>
  <c r="BN66" i="78"/>
  <c r="BO66" i="78"/>
  <c r="BP66" i="78"/>
  <c r="BQ66" i="78"/>
  <c r="BR66" i="78"/>
  <c r="AM67" i="78"/>
  <c r="AN67" i="78"/>
  <c r="AO67" i="78"/>
  <c r="AP67" i="78"/>
  <c r="AQ67" i="78"/>
  <c r="AR67" i="78"/>
  <c r="AS67" i="78"/>
  <c r="AT67" i="78"/>
  <c r="AU67" i="78"/>
  <c r="AV67" i="78"/>
  <c r="AW67" i="78"/>
  <c r="AX67" i="78"/>
  <c r="AY67" i="78"/>
  <c r="AZ67" i="78"/>
  <c r="BA67" i="78"/>
  <c r="BB67" i="78"/>
  <c r="BC67" i="78"/>
  <c r="BD67" i="78"/>
  <c r="BE67" i="78"/>
  <c r="BF67" i="78"/>
  <c r="BG67" i="78"/>
  <c r="BH67" i="78"/>
  <c r="BI67" i="78"/>
  <c r="BJ67" i="78"/>
  <c r="BK67" i="78"/>
  <c r="BL67" i="78"/>
  <c r="BM67" i="78"/>
  <c r="BN67" i="78"/>
  <c r="BO67" i="78"/>
  <c r="BP67" i="78"/>
  <c r="BQ67" i="78"/>
  <c r="BR67" i="78"/>
  <c r="AM68" i="78"/>
  <c r="AN68" i="78"/>
  <c r="AO68" i="78"/>
  <c r="AP68" i="78"/>
  <c r="AQ68" i="78"/>
  <c r="AR68" i="78"/>
  <c r="AS68" i="78"/>
  <c r="AT68" i="78"/>
  <c r="AU68" i="78"/>
  <c r="AV68" i="78"/>
  <c r="AW68" i="78"/>
  <c r="AX68" i="78"/>
  <c r="AY68" i="78"/>
  <c r="AZ68" i="78"/>
  <c r="BA68" i="78"/>
  <c r="BB68" i="78"/>
  <c r="BC68" i="78"/>
  <c r="BD68" i="78"/>
  <c r="BE68" i="78"/>
  <c r="BF68" i="78"/>
  <c r="BG68" i="78"/>
  <c r="BH68" i="78"/>
  <c r="BI68" i="78"/>
  <c r="BJ68" i="78"/>
  <c r="BK68" i="78"/>
  <c r="BL68" i="78"/>
  <c r="BM68" i="78"/>
  <c r="BN68" i="78"/>
  <c r="BO68" i="78"/>
  <c r="BP68" i="78"/>
  <c r="BQ68" i="78"/>
  <c r="BR68" i="78"/>
  <c r="AM69" i="78"/>
  <c r="AN69" i="78"/>
  <c r="AO69" i="78"/>
  <c r="AP69" i="78"/>
  <c r="AQ69" i="78"/>
  <c r="AR69" i="78"/>
  <c r="AS69" i="78"/>
  <c r="AT69" i="78"/>
  <c r="AU69" i="78"/>
  <c r="AV69" i="78"/>
  <c r="AW69" i="78"/>
  <c r="AX69" i="78"/>
  <c r="AY69" i="78"/>
  <c r="AZ69" i="78"/>
  <c r="BA69" i="78"/>
  <c r="BB69" i="78"/>
  <c r="BC69" i="78"/>
  <c r="BD69" i="78"/>
  <c r="BE69" i="78"/>
  <c r="BF69" i="78"/>
  <c r="BG69" i="78"/>
  <c r="BH69" i="78"/>
  <c r="BI69" i="78"/>
  <c r="BJ69" i="78"/>
  <c r="BK69" i="78"/>
  <c r="BL69" i="78"/>
  <c r="BM69" i="78"/>
  <c r="BN69" i="78"/>
  <c r="BO69" i="78"/>
  <c r="BP69" i="78"/>
  <c r="BQ69" i="78"/>
  <c r="BR69" i="78"/>
  <c r="AM70" i="78"/>
  <c r="AN70" i="78"/>
  <c r="AO70" i="78"/>
  <c r="AP70" i="78"/>
  <c r="AQ70" i="78"/>
  <c r="AR70" i="78"/>
  <c r="AS70" i="78"/>
  <c r="AT70" i="78"/>
  <c r="AU70" i="78"/>
  <c r="AV70" i="78"/>
  <c r="AW70" i="78"/>
  <c r="AX70" i="78"/>
  <c r="AY70" i="78"/>
  <c r="AZ70" i="78"/>
  <c r="BA70" i="78"/>
  <c r="BB70" i="78"/>
  <c r="BC70" i="78"/>
  <c r="BD70" i="78"/>
  <c r="BE70" i="78"/>
  <c r="BF70" i="78"/>
  <c r="BG70" i="78"/>
  <c r="BH70" i="78"/>
  <c r="BI70" i="78"/>
  <c r="BJ70" i="78"/>
  <c r="BK70" i="78"/>
  <c r="BL70" i="78"/>
  <c r="BM70" i="78"/>
  <c r="BN70" i="78"/>
  <c r="BO70" i="78"/>
  <c r="BP70" i="78"/>
  <c r="BQ70" i="78"/>
  <c r="BR70" i="78"/>
  <c r="AM71" i="78"/>
  <c r="AN71" i="78"/>
  <c r="AO71" i="78"/>
  <c r="AP71" i="78"/>
  <c r="AQ71" i="78"/>
  <c r="AR71" i="78"/>
  <c r="AS71" i="78"/>
  <c r="AT71" i="78"/>
  <c r="AU71" i="78"/>
  <c r="AV71" i="78"/>
  <c r="AW71" i="78"/>
  <c r="AX71" i="78"/>
  <c r="AY71" i="78"/>
  <c r="AZ71" i="78"/>
  <c r="BA71" i="78"/>
  <c r="BB71" i="78"/>
  <c r="BC71" i="78"/>
  <c r="BD71" i="78"/>
  <c r="BE71" i="78"/>
  <c r="BF71" i="78"/>
  <c r="BG71" i="78"/>
  <c r="BH71" i="78"/>
  <c r="BI71" i="78"/>
  <c r="BJ71" i="78"/>
  <c r="BK71" i="78"/>
  <c r="BL71" i="78"/>
  <c r="BM71" i="78"/>
  <c r="BN71" i="78"/>
  <c r="BO71" i="78"/>
  <c r="BP71" i="78"/>
  <c r="BQ71" i="78"/>
  <c r="BR71" i="78"/>
  <c r="AM72" i="78"/>
  <c r="AN72" i="78"/>
  <c r="AO72" i="78"/>
  <c r="AP72" i="78"/>
  <c r="AQ72" i="78"/>
  <c r="AR72" i="78"/>
  <c r="AS72" i="78"/>
  <c r="AT72" i="78"/>
  <c r="AU72" i="78"/>
  <c r="AV72" i="78"/>
  <c r="AW72" i="78"/>
  <c r="AX72" i="78"/>
  <c r="AY72" i="78"/>
  <c r="AZ72" i="78"/>
  <c r="BA72" i="78"/>
  <c r="BB72" i="78"/>
  <c r="BC72" i="78"/>
  <c r="BD72" i="78"/>
  <c r="BE72" i="78"/>
  <c r="BF72" i="78"/>
  <c r="BG72" i="78"/>
  <c r="BH72" i="78"/>
  <c r="BI72" i="78"/>
  <c r="BJ72" i="78"/>
  <c r="BK72" i="78"/>
  <c r="BL72" i="78"/>
  <c r="BM72" i="78"/>
  <c r="BN72" i="78"/>
  <c r="BO72" i="78"/>
  <c r="BP72" i="78"/>
  <c r="BQ72" i="78"/>
  <c r="BR72" i="78"/>
  <c r="AM73" i="78"/>
  <c r="AN73" i="78"/>
  <c r="AO73" i="78"/>
  <c r="AP73" i="78"/>
  <c r="AQ73" i="78"/>
  <c r="AR73" i="78"/>
  <c r="AS73" i="78"/>
  <c r="AT73" i="78"/>
  <c r="AU73" i="78"/>
  <c r="AV73" i="78"/>
  <c r="AW73" i="78"/>
  <c r="AX73" i="78"/>
  <c r="AY73" i="78"/>
  <c r="AZ73" i="78"/>
  <c r="BA73" i="78"/>
  <c r="BB73" i="78"/>
  <c r="BC73" i="78"/>
  <c r="BD73" i="78"/>
  <c r="BE73" i="78"/>
  <c r="BF73" i="78"/>
  <c r="BG73" i="78"/>
  <c r="BH73" i="78"/>
  <c r="BI73" i="78"/>
  <c r="BJ73" i="78"/>
  <c r="BK73" i="78"/>
  <c r="BL73" i="78"/>
  <c r="BM73" i="78"/>
  <c r="BN73" i="78"/>
  <c r="BO73" i="78"/>
  <c r="BP73" i="78"/>
  <c r="BQ73" i="78"/>
  <c r="BR73" i="78"/>
  <c r="AM74" i="78"/>
  <c r="AN74" i="78"/>
  <c r="AO74" i="78"/>
  <c r="AP74" i="78"/>
  <c r="AQ74" i="78"/>
  <c r="AR74" i="78"/>
  <c r="AS74" i="78"/>
  <c r="AT74" i="78"/>
  <c r="AU74" i="78"/>
  <c r="AV74" i="78"/>
  <c r="AW74" i="78"/>
  <c r="AX74" i="78"/>
  <c r="AY74" i="78"/>
  <c r="AZ74" i="78"/>
  <c r="BA74" i="78"/>
  <c r="BB74" i="78"/>
  <c r="BC74" i="78"/>
  <c r="BD74" i="78"/>
  <c r="BE74" i="78"/>
  <c r="BF74" i="78"/>
  <c r="BG74" i="78"/>
  <c r="BH74" i="78"/>
  <c r="BI74" i="78"/>
  <c r="BJ74" i="78"/>
  <c r="BK74" i="78"/>
  <c r="BL74" i="78"/>
  <c r="BM74" i="78"/>
  <c r="BN74" i="78"/>
  <c r="BO74" i="78"/>
  <c r="BP74" i="78"/>
  <c r="BQ74" i="78"/>
  <c r="BR74" i="78"/>
  <c r="AM75" i="78"/>
  <c r="AN75" i="78"/>
  <c r="AO75" i="78"/>
  <c r="AP75" i="78"/>
  <c r="AQ75" i="78"/>
  <c r="AR75" i="78"/>
  <c r="AS75" i="78"/>
  <c r="AT75" i="78"/>
  <c r="AU75" i="78"/>
  <c r="AV75" i="78"/>
  <c r="AW75" i="78"/>
  <c r="AX75" i="78"/>
  <c r="AY75" i="78"/>
  <c r="AZ75" i="78"/>
  <c r="BA75" i="78"/>
  <c r="BB75" i="78"/>
  <c r="BC75" i="78"/>
  <c r="BD75" i="78"/>
  <c r="BE75" i="78"/>
  <c r="BF75" i="78"/>
  <c r="BG75" i="78"/>
  <c r="BH75" i="78"/>
  <c r="BI75" i="78"/>
  <c r="BJ75" i="78"/>
  <c r="BK75" i="78"/>
  <c r="BL75" i="78"/>
  <c r="BM75" i="78"/>
  <c r="BN75" i="78"/>
  <c r="BO75" i="78"/>
  <c r="BP75" i="78"/>
  <c r="BQ75" i="78"/>
  <c r="BR75" i="78"/>
  <c r="AM76" i="78"/>
  <c r="AN76" i="78"/>
  <c r="AO76" i="78"/>
  <c r="AP76" i="78"/>
  <c r="AQ76" i="78"/>
  <c r="AR76" i="78"/>
  <c r="AS76" i="78"/>
  <c r="AT76" i="78"/>
  <c r="AU76" i="78"/>
  <c r="AV76" i="78"/>
  <c r="AW76" i="78"/>
  <c r="AX76" i="78"/>
  <c r="AY76" i="78"/>
  <c r="AZ76" i="78"/>
  <c r="BA76" i="78"/>
  <c r="BB76" i="78"/>
  <c r="BC76" i="78"/>
  <c r="BD76" i="78"/>
  <c r="BE76" i="78"/>
  <c r="BF76" i="78"/>
  <c r="BG76" i="78"/>
  <c r="BH76" i="78"/>
  <c r="BI76" i="78"/>
  <c r="BJ76" i="78"/>
  <c r="BK76" i="78"/>
  <c r="BL76" i="78"/>
  <c r="BM76" i="78"/>
  <c r="BN76" i="78"/>
  <c r="BO76" i="78"/>
  <c r="BP76" i="78"/>
  <c r="BQ76" i="78"/>
  <c r="BR76" i="78"/>
  <c r="AM77" i="78"/>
  <c r="AN77" i="78"/>
  <c r="AO77" i="78"/>
  <c r="AP77" i="78"/>
  <c r="AQ77" i="78"/>
  <c r="AR77" i="78"/>
  <c r="AS77" i="78"/>
  <c r="AT77" i="78"/>
  <c r="AU77" i="78"/>
  <c r="AV77" i="78"/>
  <c r="AW77" i="78"/>
  <c r="AX77" i="78"/>
  <c r="AY77" i="78"/>
  <c r="AZ77" i="78"/>
  <c r="BA77" i="78"/>
  <c r="BB77" i="78"/>
  <c r="BC77" i="78"/>
  <c r="BD77" i="78"/>
  <c r="BE77" i="78"/>
  <c r="BF77" i="78"/>
  <c r="BG77" i="78"/>
  <c r="BH77" i="78"/>
  <c r="BI77" i="78"/>
  <c r="BJ77" i="78"/>
  <c r="BK77" i="78"/>
  <c r="BL77" i="78"/>
  <c r="BM77" i="78"/>
  <c r="BN77" i="78"/>
  <c r="BO77" i="78"/>
  <c r="BP77" i="78"/>
  <c r="BQ77" i="78"/>
  <c r="BR77" i="78"/>
  <c r="AM78" i="78"/>
  <c r="AN78" i="78"/>
  <c r="AO78" i="78"/>
  <c r="AP78" i="78"/>
  <c r="AQ78" i="78"/>
  <c r="AR78" i="78"/>
  <c r="AS78" i="78"/>
  <c r="AT78" i="78"/>
  <c r="AU78" i="78"/>
  <c r="AV78" i="78"/>
  <c r="AW78" i="78"/>
  <c r="AX78" i="78"/>
  <c r="AY78" i="78"/>
  <c r="AZ78" i="78"/>
  <c r="BA78" i="78"/>
  <c r="BB78" i="78"/>
  <c r="BC78" i="78"/>
  <c r="BD78" i="78"/>
  <c r="BE78" i="78"/>
  <c r="BF78" i="78"/>
  <c r="BG78" i="78"/>
  <c r="BH78" i="78"/>
  <c r="BI78" i="78"/>
  <c r="BJ78" i="78"/>
  <c r="BK78" i="78"/>
  <c r="BL78" i="78"/>
  <c r="BM78" i="78"/>
  <c r="BN78" i="78"/>
  <c r="BO78" i="78"/>
  <c r="BP78" i="78"/>
  <c r="BQ78" i="78"/>
  <c r="BR78" i="78"/>
  <c r="AM79" i="78"/>
  <c r="AN79" i="78"/>
  <c r="AO79" i="78"/>
  <c r="AP79" i="78"/>
  <c r="AQ79" i="78"/>
  <c r="AR79" i="78"/>
  <c r="AS79" i="78"/>
  <c r="AT79" i="78"/>
  <c r="AU79" i="78"/>
  <c r="AV79" i="78"/>
  <c r="AW79" i="78"/>
  <c r="AX79" i="78"/>
  <c r="AY79" i="78"/>
  <c r="AZ79" i="78"/>
  <c r="BA79" i="78"/>
  <c r="BB79" i="78"/>
  <c r="BC79" i="78"/>
  <c r="BD79" i="78"/>
  <c r="BE79" i="78"/>
  <c r="BF79" i="78"/>
  <c r="BG79" i="78"/>
  <c r="BH79" i="78"/>
  <c r="BI79" i="78"/>
  <c r="BJ79" i="78"/>
  <c r="BK79" i="78"/>
  <c r="BL79" i="78"/>
  <c r="BM79" i="78"/>
  <c r="BN79" i="78"/>
  <c r="BO79" i="78"/>
  <c r="BP79" i="78"/>
  <c r="BQ79" i="78"/>
  <c r="BR79" i="78"/>
  <c r="AM80" i="78"/>
  <c r="AN80" i="78"/>
  <c r="AO80" i="78"/>
  <c r="AP80" i="78"/>
  <c r="AQ80" i="78"/>
  <c r="AR80" i="78"/>
  <c r="AS80" i="78"/>
  <c r="AT80" i="78"/>
  <c r="AU80" i="78"/>
  <c r="AV80" i="78"/>
  <c r="AW80" i="78"/>
  <c r="AX80" i="78"/>
  <c r="AY80" i="78"/>
  <c r="AZ80" i="78"/>
  <c r="BA80" i="78"/>
  <c r="BB80" i="78"/>
  <c r="BC80" i="78"/>
  <c r="BD80" i="78"/>
  <c r="BE80" i="78"/>
  <c r="BF80" i="78"/>
  <c r="BG80" i="78"/>
  <c r="BH80" i="78"/>
  <c r="BI80" i="78"/>
  <c r="BJ80" i="78"/>
  <c r="BK80" i="78"/>
  <c r="BL80" i="78"/>
  <c r="BM80" i="78"/>
  <c r="BN80" i="78"/>
  <c r="BO80" i="78"/>
  <c r="BP80" i="78"/>
  <c r="BQ80" i="78"/>
  <c r="BR80" i="78"/>
  <c r="AM81" i="78"/>
  <c r="AN81" i="78"/>
  <c r="AO81" i="78"/>
  <c r="AP81" i="78"/>
  <c r="AQ81" i="78"/>
  <c r="AR81" i="78"/>
  <c r="AS81" i="78"/>
  <c r="AT81" i="78"/>
  <c r="AU81" i="78"/>
  <c r="AV81" i="78"/>
  <c r="AW81" i="78"/>
  <c r="AX81" i="78"/>
  <c r="AY81" i="78"/>
  <c r="AZ81" i="78"/>
  <c r="BA81" i="78"/>
  <c r="BB81" i="78"/>
  <c r="BC81" i="78"/>
  <c r="BD81" i="78"/>
  <c r="BE81" i="78"/>
  <c r="BF81" i="78"/>
  <c r="BG81" i="78"/>
  <c r="BH81" i="78"/>
  <c r="BI81" i="78"/>
  <c r="BJ81" i="78"/>
  <c r="BK81" i="78"/>
  <c r="BL81" i="78"/>
  <c r="BM81" i="78"/>
  <c r="BN81" i="78"/>
  <c r="BO81" i="78"/>
  <c r="BP81" i="78"/>
  <c r="BQ81" i="78"/>
  <c r="BR81" i="78"/>
  <c r="AM82" i="78"/>
  <c r="AN82" i="78"/>
  <c r="AO82" i="78"/>
  <c r="AP82" i="78"/>
  <c r="AQ82" i="78"/>
  <c r="AR82" i="78"/>
  <c r="AS82" i="78"/>
  <c r="AT82" i="78"/>
  <c r="AU82" i="78"/>
  <c r="AV82" i="78"/>
  <c r="AW82" i="78"/>
  <c r="AX82" i="78"/>
  <c r="AY82" i="78"/>
  <c r="AZ82" i="78"/>
  <c r="BA82" i="78"/>
  <c r="BB82" i="78"/>
  <c r="BC82" i="78"/>
  <c r="BD82" i="78"/>
  <c r="BE82" i="78"/>
  <c r="BF82" i="78"/>
  <c r="BG82" i="78"/>
  <c r="BH82" i="78"/>
  <c r="BI82" i="78"/>
  <c r="BJ82" i="78"/>
  <c r="BK82" i="78"/>
  <c r="BL82" i="78"/>
  <c r="BM82" i="78"/>
  <c r="BN82" i="78"/>
  <c r="BO82" i="78"/>
  <c r="BP82" i="78"/>
  <c r="BQ82" i="78"/>
  <c r="BR82" i="78"/>
  <c r="AM83" i="78"/>
  <c r="AN83" i="78"/>
  <c r="AO83" i="78"/>
  <c r="AP83" i="78"/>
  <c r="AQ83" i="78"/>
  <c r="AR83" i="78"/>
  <c r="AS83" i="78"/>
  <c r="AT83" i="78"/>
  <c r="AU83" i="78"/>
  <c r="AV83" i="78"/>
  <c r="AW83" i="78"/>
  <c r="AX83" i="78"/>
  <c r="AY83" i="78"/>
  <c r="AZ83" i="78"/>
  <c r="BA83" i="78"/>
  <c r="BB83" i="78"/>
  <c r="BC83" i="78"/>
  <c r="BD83" i="78"/>
  <c r="BE83" i="78"/>
  <c r="BF83" i="78"/>
  <c r="BG83" i="78"/>
  <c r="BH83" i="78"/>
  <c r="BI83" i="78"/>
  <c r="BJ83" i="78"/>
  <c r="BK83" i="78"/>
  <c r="BL83" i="78"/>
  <c r="BM83" i="78"/>
  <c r="BN83" i="78"/>
  <c r="BO83" i="78"/>
  <c r="BP83" i="78"/>
  <c r="BQ83" i="78"/>
  <c r="BR83" i="78"/>
  <c r="AM84" i="78"/>
  <c r="AN84" i="78"/>
  <c r="AO84" i="78"/>
  <c r="AP84" i="78"/>
  <c r="AQ84" i="78"/>
  <c r="AR84" i="78"/>
  <c r="AS84" i="78"/>
  <c r="AT84" i="78"/>
  <c r="AU84" i="78"/>
  <c r="AV84" i="78"/>
  <c r="AW84" i="78"/>
  <c r="AX84" i="78"/>
  <c r="AY84" i="78"/>
  <c r="AZ84" i="78"/>
  <c r="BA84" i="78"/>
  <c r="BB84" i="78"/>
  <c r="BC84" i="78"/>
  <c r="BD84" i="78"/>
  <c r="BE84" i="78"/>
  <c r="BF84" i="78"/>
  <c r="BG84" i="78"/>
  <c r="BH84" i="78"/>
  <c r="BI84" i="78"/>
  <c r="BJ84" i="78"/>
  <c r="BK84" i="78"/>
  <c r="BL84" i="78"/>
  <c r="BM84" i="78"/>
  <c r="BN84" i="78"/>
  <c r="BO84" i="78"/>
  <c r="BP84" i="78"/>
  <c r="BQ84" i="78"/>
  <c r="BR84" i="78"/>
  <c r="AM85" i="78"/>
  <c r="AN85" i="78"/>
  <c r="AO85" i="78"/>
  <c r="AP85" i="78"/>
  <c r="AQ85" i="78"/>
  <c r="AR85" i="78"/>
  <c r="AS85" i="78"/>
  <c r="AT85" i="78"/>
  <c r="AU85" i="78"/>
  <c r="AV85" i="78"/>
  <c r="AW85" i="78"/>
  <c r="AX85" i="78"/>
  <c r="AY85" i="78"/>
  <c r="AZ85" i="78"/>
  <c r="BA85" i="78"/>
  <c r="BB85" i="78"/>
  <c r="BC85" i="78"/>
  <c r="BD85" i="78"/>
  <c r="BE85" i="78"/>
  <c r="BF85" i="78"/>
  <c r="BG85" i="78"/>
  <c r="BH85" i="78"/>
  <c r="BI85" i="78"/>
  <c r="BJ85" i="78"/>
  <c r="BK85" i="78"/>
  <c r="BL85" i="78"/>
  <c r="BM85" i="78"/>
  <c r="BN85" i="78"/>
  <c r="BO85" i="78"/>
  <c r="BP85" i="78"/>
  <c r="BQ85" i="78"/>
  <c r="BR85" i="78"/>
  <c r="AM86" i="78"/>
  <c r="AN86" i="78"/>
  <c r="AO86" i="78"/>
  <c r="AP86" i="78"/>
  <c r="AQ86" i="78"/>
  <c r="AR86" i="78"/>
  <c r="AS86" i="78"/>
  <c r="AT86" i="78"/>
  <c r="AU86" i="78"/>
  <c r="AV86" i="78"/>
  <c r="AW86" i="78"/>
  <c r="AX86" i="78"/>
  <c r="AY86" i="78"/>
  <c r="AZ86" i="78"/>
  <c r="BA86" i="78"/>
  <c r="BB86" i="78"/>
  <c r="BC86" i="78"/>
  <c r="BD86" i="78"/>
  <c r="BE86" i="78"/>
  <c r="BF86" i="78"/>
  <c r="BG86" i="78"/>
  <c r="BH86" i="78"/>
  <c r="BI86" i="78"/>
  <c r="BJ86" i="78"/>
  <c r="BK86" i="78"/>
  <c r="BL86" i="78"/>
  <c r="BM86" i="78"/>
  <c r="BN86" i="78"/>
  <c r="BO86" i="78"/>
  <c r="BP86" i="78"/>
  <c r="BQ86" i="78"/>
  <c r="BR86" i="78"/>
  <c r="AM87" i="78"/>
  <c r="AN87" i="78"/>
  <c r="AO87" i="78"/>
  <c r="AP87" i="78"/>
  <c r="AQ87" i="78"/>
  <c r="AR87" i="78"/>
  <c r="AS87" i="78"/>
  <c r="AT87" i="78"/>
  <c r="AU87" i="78"/>
  <c r="AV87" i="78"/>
  <c r="AW87" i="78"/>
  <c r="AX87" i="78"/>
  <c r="AY87" i="78"/>
  <c r="AZ87" i="78"/>
  <c r="BA87" i="78"/>
  <c r="BB87" i="78"/>
  <c r="BC87" i="78"/>
  <c r="BD87" i="78"/>
  <c r="BE87" i="78"/>
  <c r="BF87" i="78"/>
  <c r="BG87" i="78"/>
  <c r="BH87" i="78"/>
  <c r="BI87" i="78"/>
  <c r="BJ87" i="78"/>
  <c r="BK87" i="78"/>
  <c r="BL87" i="78"/>
  <c r="BM87" i="78"/>
  <c r="BN87" i="78"/>
  <c r="BO87" i="78"/>
  <c r="BP87" i="78"/>
  <c r="BQ87" i="78"/>
  <c r="BR87" i="78"/>
  <c r="AM88" i="78"/>
  <c r="AN88" i="78"/>
  <c r="AO88" i="78"/>
  <c r="AP88" i="78"/>
  <c r="AQ88" i="78"/>
  <c r="AR88" i="78"/>
  <c r="AS88" i="78"/>
  <c r="AT88" i="78"/>
  <c r="AU88" i="78"/>
  <c r="AV88" i="78"/>
  <c r="AW88" i="78"/>
  <c r="AX88" i="78"/>
  <c r="AY88" i="78"/>
  <c r="AZ88" i="78"/>
  <c r="BA88" i="78"/>
  <c r="BB88" i="78"/>
  <c r="BC88" i="78"/>
  <c r="BD88" i="78"/>
  <c r="BE88" i="78"/>
  <c r="BF88" i="78"/>
  <c r="BG88" i="78"/>
  <c r="BH88" i="78"/>
  <c r="BI88" i="78"/>
  <c r="BJ88" i="78"/>
  <c r="BK88" i="78"/>
  <c r="BL88" i="78"/>
  <c r="BM88" i="78"/>
  <c r="BN88" i="78"/>
  <c r="BO88" i="78"/>
  <c r="BP88" i="78"/>
  <c r="BQ88" i="78"/>
  <c r="BR88" i="78"/>
  <c r="AM89" i="78"/>
  <c r="AN89" i="78"/>
  <c r="AO89" i="78"/>
  <c r="AP89" i="78"/>
  <c r="AQ89" i="78"/>
  <c r="AR89" i="78"/>
  <c r="AS89" i="78"/>
  <c r="AT89" i="78"/>
  <c r="AU89" i="78"/>
  <c r="AV89" i="78"/>
  <c r="AW89" i="78"/>
  <c r="AX89" i="78"/>
  <c r="AY89" i="78"/>
  <c r="AZ89" i="78"/>
  <c r="BA89" i="78"/>
  <c r="BB89" i="78"/>
  <c r="BC89" i="78"/>
  <c r="BD89" i="78"/>
  <c r="BE89" i="78"/>
  <c r="BF89" i="78"/>
  <c r="BG89" i="78"/>
  <c r="BH89" i="78"/>
  <c r="BI89" i="78"/>
  <c r="BJ89" i="78"/>
  <c r="BK89" i="78"/>
  <c r="BL89" i="78"/>
  <c r="BM89" i="78"/>
  <c r="BN89" i="78"/>
  <c r="BO89" i="78"/>
  <c r="BP89" i="78"/>
  <c r="BQ89" i="78"/>
  <c r="BR89" i="78"/>
  <c r="AM90" i="78"/>
  <c r="AN90" i="78"/>
  <c r="AO90" i="78"/>
  <c r="AP90" i="78"/>
  <c r="AQ90" i="78"/>
  <c r="AR90" i="78"/>
  <c r="AS90" i="78"/>
  <c r="AT90" i="78"/>
  <c r="AU90" i="78"/>
  <c r="AV90" i="78"/>
  <c r="AW90" i="78"/>
  <c r="AX90" i="78"/>
  <c r="AY90" i="78"/>
  <c r="AZ90" i="78"/>
  <c r="BA90" i="78"/>
  <c r="BB90" i="78"/>
  <c r="BC90" i="78"/>
  <c r="BD90" i="78"/>
  <c r="BE90" i="78"/>
  <c r="BF90" i="78"/>
  <c r="BG90" i="78"/>
  <c r="BH90" i="78"/>
  <c r="BI90" i="78"/>
  <c r="BJ90" i="78"/>
  <c r="BK90" i="78"/>
  <c r="BL90" i="78"/>
  <c r="BM90" i="78"/>
  <c r="BN90" i="78"/>
  <c r="BO90" i="78"/>
  <c r="BP90" i="78"/>
  <c r="BQ90" i="78"/>
  <c r="BR90" i="78"/>
  <c r="AM91" i="78"/>
  <c r="AN91" i="78"/>
  <c r="AO91" i="78"/>
  <c r="AP91" i="78"/>
  <c r="AQ91" i="78"/>
  <c r="AR91" i="78"/>
  <c r="AS91" i="78"/>
  <c r="AT91" i="78"/>
  <c r="AU91" i="78"/>
  <c r="AV91" i="78"/>
  <c r="AW91" i="78"/>
  <c r="AX91" i="78"/>
  <c r="AY91" i="78"/>
  <c r="AZ91" i="78"/>
  <c r="BA91" i="78"/>
  <c r="BB91" i="78"/>
  <c r="BC91" i="78"/>
  <c r="BD91" i="78"/>
  <c r="BE91" i="78"/>
  <c r="BF91" i="78"/>
  <c r="BG91" i="78"/>
  <c r="BH91" i="78"/>
  <c r="BI91" i="78"/>
  <c r="BJ91" i="78"/>
  <c r="BK91" i="78"/>
  <c r="BL91" i="78"/>
  <c r="BM91" i="78"/>
  <c r="BN91" i="78"/>
  <c r="BO91" i="78"/>
  <c r="BP91" i="78"/>
  <c r="BQ91" i="78"/>
  <c r="BR91" i="78"/>
  <c r="AM92" i="78"/>
  <c r="AN92" i="78"/>
  <c r="AO92" i="78"/>
  <c r="AP92" i="78"/>
  <c r="AQ92" i="78"/>
  <c r="AR92" i="78"/>
  <c r="AS92" i="78"/>
  <c r="AT92" i="78"/>
  <c r="AU92" i="78"/>
  <c r="AV92" i="78"/>
  <c r="AW92" i="78"/>
  <c r="AX92" i="78"/>
  <c r="AY92" i="78"/>
  <c r="AZ92" i="78"/>
  <c r="BA92" i="78"/>
  <c r="BB92" i="78"/>
  <c r="BC92" i="78"/>
  <c r="BD92" i="78"/>
  <c r="BE92" i="78"/>
  <c r="BF92" i="78"/>
  <c r="BG92" i="78"/>
  <c r="BH92" i="78"/>
  <c r="BI92" i="78"/>
  <c r="BJ92" i="78"/>
  <c r="BK92" i="78"/>
  <c r="BL92" i="78"/>
  <c r="BM92" i="78"/>
  <c r="BN92" i="78"/>
  <c r="BO92" i="78"/>
  <c r="BP92" i="78"/>
  <c r="BQ92" i="78"/>
  <c r="BR92" i="78"/>
  <c r="AM93" i="78"/>
  <c r="AN93" i="78"/>
  <c r="AO93" i="78"/>
  <c r="AP93" i="78"/>
  <c r="AQ93" i="78"/>
  <c r="AR93" i="78"/>
  <c r="AS93" i="78"/>
  <c r="AT93" i="78"/>
  <c r="AU93" i="78"/>
  <c r="AV93" i="78"/>
  <c r="AW93" i="78"/>
  <c r="AX93" i="78"/>
  <c r="AY93" i="78"/>
  <c r="AZ93" i="78"/>
  <c r="BA93" i="78"/>
  <c r="BB93" i="78"/>
  <c r="BC93" i="78"/>
  <c r="BD93" i="78"/>
  <c r="BE93" i="78"/>
  <c r="BF93" i="78"/>
  <c r="BG93" i="78"/>
  <c r="BH93" i="78"/>
  <c r="BI93" i="78"/>
  <c r="BJ93" i="78"/>
  <c r="BK93" i="78"/>
  <c r="BL93" i="78"/>
  <c r="BM93" i="78"/>
  <c r="BN93" i="78"/>
  <c r="BO93" i="78"/>
  <c r="BP93" i="78"/>
  <c r="BQ93" i="78"/>
  <c r="BR93" i="78"/>
  <c r="AM94" i="78"/>
  <c r="AN94" i="78"/>
  <c r="AO94" i="78"/>
  <c r="AP94" i="78"/>
  <c r="AQ94" i="78"/>
  <c r="AR94" i="78"/>
  <c r="AS94" i="78"/>
  <c r="AT94" i="78"/>
  <c r="AU94" i="78"/>
  <c r="AV94" i="78"/>
  <c r="AW94" i="78"/>
  <c r="AX94" i="78"/>
  <c r="AY94" i="78"/>
  <c r="AZ94" i="78"/>
  <c r="BA94" i="78"/>
  <c r="BB94" i="78"/>
  <c r="BC94" i="78"/>
  <c r="BD94" i="78"/>
  <c r="BE94" i="78"/>
  <c r="BF94" i="78"/>
  <c r="BG94" i="78"/>
  <c r="BH94" i="78"/>
  <c r="BI94" i="78"/>
  <c r="BJ94" i="78"/>
  <c r="BK94" i="78"/>
  <c r="BL94" i="78"/>
  <c r="BM94" i="78"/>
  <c r="BN94" i="78"/>
  <c r="BO94" i="78"/>
  <c r="BP94" i="78"/>
  <c r="BQ94" i="78"/>
  <c r="BR94" i="78"/>
  <c r="AM95" i="78"/>
  <c r="AN95" i="78"/>
  <c r="AO95" i="78"/>
  <c r="AP95" i="78"/>
  <c r="AQ95" i="78"/>
  <c r="AR95" i="78"/>
  <c r="AS95" i="78"/>
  <c r="AT95" i="78"/>
  <c r="AU95" i="78"/>
  <c r="AV95" i="78"/>
  <c r="AW95" i="78"/>
  <c r="AX95" i="78"/>
  <c r="AY95" i="78"/>
  <c r="AZ95" i="78"/>
  <c r="BA95" i="78"/>
  <c r="BB95" i="78"/>
  <c r="BC95" i="78"/>
  <c r="BD95" i="78"/>
  <c r="BE95" i="78"/>
  <c r="BF95" i="78"/>
  <c r="BG95" i="78"/>
  <c r="BH95" i="78"/>
  <c r="BI95" i="78"/>
  <c r="BJ95" i="78"/>
  <c r="BK95" i="78"/>
  <c r="BL95" i="78"/>
  <c r="BM95" i="78"/>
  <c r="BN95" i="78"/>
  <c r="BO95" i="78"/>
  <c r="BP95" i="78"/>
  <c r="BQ95" i="78"/>
  <c r="BR95" i="78"/>
  <c r="AM96" i="78"/>
  <c r="AN96" i="78"/>
  <c r="AO96" i="78"/>
  <c r="AP96" i="78"/>
  <c r="AQ96" i="78"/>
  <c r="AR96" i="78"/>
  <c r="AS96" i="78"/>
  <c r="AT96" i="78"/>
  <c r="AU96" i="78"/>
  <c r="AV96" i="78"/>
  <c r="AW96" i="78"/>
  <c r="AX96" i="78"/>
  <c r="AY96" i="78"/>
  <c r="AZ96" i="78"/>
  <c r="BA96" i="78"/>
  <c r="BB96" i="78"/>
  <c r="BC96" i="78"/>
  <c r="BD96" i="78"/>
  <c r="BE96" i="78"/>
  <c r="BF96" i="78"/>
  <c r="BG96" i="78"/>
  <c r="BH96" i="78"/>
  <c r="BI96" i="78"/>
  <c r="BJ96" i="78"/>
  <c r="BK96" i="78"/>
  <c r="BL96" i="78"/>
  <c r="BM96" i="78"/>
  <c r="BN96" i="78"/>
  <c r="BO96" i="78"/>
  <c r="BP96" i="78"/>
  <c r="BQ96" i="78"/>
  <c r="BR96" i="78"/>
  <c r="AM97" i="78"/>
  <c r="AN97" i="78"/>
  <c r="AO97" i="78"/>
  <c r="AP97" i="78"/>
  <c r="AQ97" i="78"/>
  <c r="AR97" i="78"/>
  <c r="AS97" i="78"/>
  <c r="AT97" i="78"/>
  <c r="AU97" i="78"/>
  <c r="AV97" i="78"/>
  <c r="AW97" i="78"/>
  <c r="AX97" i="78"/>
  <c r="AY97" i="78"/>
  <c r="AZ97" i="78"/>
  <c r="BA97" i="78"/>
  <c r="BB97" i="78"/>
  <c r="BC97" i="78"/>
  <c r="BD97" i="78"/>
  <c r="BE97" i="78"/>
  <c r="BF97" i="78"/>
  <c r="BG97" i="78"/>
  <c r="BH97" i="78"/>
  <c r="BI97" i="78"/>
  <c r="BJ97" i="78"/>
  <c r="BK97" i="78"/>
  <c r="BL97" i="78"/>
  <c r="BM97" i="78"/>
  <c r="BN97" i="78"/>
  <c r="BO97" i="78"/>
  <c r="BP97" i="78"/>
  <c r="BQ97" i="78"/>
  <c r="BR97" i="78"/>
  <c r="AM98" i="78"/>
  <c r="AN98" i="78"/>
  <c r="AO98" i="78"/>
  <c r="AP98" i="78"/>
  <c r="AQ98" i="78"/>
  <c r="AR98" i="78"/>
  <c r="AS98" i="78"/>
  <c r="AT98" i="78"/>
  <c r="AU98" i="78"/>
  <c r="AV98" i="78"/>
  <c r="AW98" i="78"/>
  <c r="AX98" i="78"/>
  <c r="AY98" i="78"/>
  <c r="AZ98" i="78"/>
  <c r="BA98" i="78"/>
  <c r="BB98" i="78"/>
  <c r="BC98" i="78"/>
  <c r="BD98" i="78"/>
  <c r="BE98" i="78"/>
  <c r="BF98" i="78"/>
  <c r="BG98" i="78"/>
  <c r="BH98" i="78"/>
  <c r="BI98" i="78"/>
  <c r="BJ98" i="78"/>
  <c r="BK98" i="78"/>
  <c r="BL98" i="78"/>
  <c r="BM98" i="78"/>
  <c r="BN98" i="78"/>
  <c r="BO98" i="78"/>
  <c r="BP98" i="78"/>
  <c r="BQ98" i="78"/>
  <c r="BR98" i="78"/>
  <c r="AM99" i="78"/>
  <c r="AN99" i="78"/>
  <c r="AO99" i="78"/>
  <c r="AP99" i="78"/>
  <c r="AQ99" i="78"/>
  <c r="AR99" i="78"/>
  <c r="AS99" i="78"/>
  <c r="AT99" i="78"/>
  <c r="AU99" i="78"/>
  <c r="AV99" i="78"/>
  <c r="AW99" i="78"/>
  <c r="AX99" i="78"/>
  <c r="AY99" i="78"/>
  <c r="AZ99" i="78"/>
  <c r="BA99" i="78"/>
  <c r="BB99" i="78"/>
  <c r="BC99" i="78"/>
  <c r="BD99" i="78"/>
  <c r="BE99" i="78"/>
  <c r="BF99" i="78"/>
  <c r="BG99" i="78"/>
  <c r="BH99" i="78"/>
  <c r="BI99" i="78"/>
  <c r="BJ99" i="78"/>
  <c r="BK99" i="78"/>
  <c r="BL99" i="78"/>
  <c r="BM99" i="78"/>
  <c r="BN99" i="78"/>
  <c r="BO99" i="78"/>
  <c r="BP99" i="78"/>
  <c r="BQ99" i="78"/>
  <c r="BR99" i="78"/>
  <c r="AM100" i="78"/>
  <c r="AN100" i="78"/>
  <c r="AO100" i="78"/>
  <c r="AP100" i="78"/>
  <c r="AQ100" i="78"/>
  <c r="AR100" i="78"/>
  <c r="AS100" i="78"/>
  <c r="AT100" i="78"/>
  <c r="AU100" i="78"/>
  <c r="AV100" i="78"/>
  <c r="AW100" i="78"/>
  <c r="AX100" i="78"/>
  <c r="AY100" i="78"/>
  <c r="AZ100" i="78"/>
  <c r="BA100" i="78"/>
  <c r="BB100" i="78"/>
  <c r="BC100" i="78"/>
  <c r="BD100" i="78"/>
  <c r="BE100" i="78"/>
  <c r="BF100" i="78"/>
  <c r="BG100" i="78"/>
  <c r="BH100" i="78"/>
  <c r="BI100" i="78"/>
  <c r="BJ100" i="78"/>
  <c r="BK100" i="78"/>
  <c r="BL100" i="78"/>
  <c r="BM100" i="78"/>
  <c r="BN100" i="78"/>
  <c r="BO100" i="78"/>
  <c r="BP100" i="78"/>
  <c r="BQ100" i="78"/>
  <c r="BR100" i="78"/>
  <c r="AM101" i="78"/>
  <c r="AN101" i="78"/>
  <c r="AO101" i="78"/>
  <c r="AP101" i="78"/>
  <c r="AQ101" i="78"/>
  <c r="AR101" i="78"/>
  <c r="AS101" i="78"/>
  <c r="AT101" i="78"/>
  <c r="AU101" i="78"/>
  <c r="AV101" i="78"/>
  <c r="AW101" i="78"/>
  <c r="AX101" i="78"/>
  <c r="AY101" i="78"/>
  <c r="AZ101" i="78"/>
  <c r="BA101" i="78"/>
  <c r="BB101" i="78"/>
  <c r="BC101" i="78"/>
  <c r="BD101" i="78"/>
  <c r="BE101" i="78"/>
  <c r="BF101" i="78"/>
  <c r="BG101" i="78"/>
  <c r="BH101" i="78"/>
  <c r="BI101" i="78"/>
  <c r="BJ101" i="78"/>
  <c r="BK101" i="78"/>
  <c r="BL101" i="78"/>
  <c r="BM101" i="78"/>
  <c r="BN101" i="78"/>
  <c r="BO101" i="78"/>
  <c r="BP101" i="78"/>
  <c r="BQ101" i="78"/>
  <c r="BR101" i="78"/>
  <c r="AM102" i="78"/>
  <c r="AN102" i="78"/>
  <c r="AO102" i="78"/>
  <c r="AP102" i="78"/>
  <c r="AQ102" i="78"/>
  <c r="AR102" i="78"/>
  <c r="AS102" i="78"/>
  <c r="AT102" i="78"/>
  <c r="AU102" i="78"/>
  <c r="AV102" i="78"/>
  <c r="AW102" i="78"/>
  <c r="AX102" i="78"/>
  <c r="AY102" i="78"/>
  <c r="AZ102" i="78"/>
  <c r="BA102" i="78"/>
  <c r="BB102" i="78"/>
  <c r="BC102" i="78"/>
  <c r="BD102" i="78"/>
  <c r="BE102" i="78"/>
  <c r="BF102" i="78"/>
  <c r="BG102" i="78"/>
  <c r="BH102" i="78"/>
  <c r="BI102" i="78"/>
  <c r="BJ102" i="78"/>
  <c r="BK102" i="78"/>
  <c r="BL102" i="78"/>
  <c r="BM102" i="78"/>
  <c r="BN102" i="78"/>
  <c r="BO102" i="78"/>
  <c r="BP102" i="78"/>
  <c r="BQ102" i="78"/>
  <c r="BR102" i="78"/>
  <c r="AM103" i="78"/>
  <c r="AN103" i="78"/>
  <c r="AO103" i="78"/>
  <c r="AP103" i="78"/>
  <c r="AQ103" i="78"/>
  <c r="AR103" i="78"/>
  <c r="AS103" i="78"/>
  <c r="AT103" i="78"/>
  <c r="AU103" i="78"/>
  <c r="AV103" i="78"/>
  <c r="AW103" i="78"/>
  <c r="AX103" i="78"/>
  <c r="AY103" i="78"/>
  <c r="AZ103" i="78"/>
  <c r="BA103" i="78"/>
  <c r="BB103" i="78"/>
  <c r="BC103" i="78"/>
  <c r="BD103" i="78"/>
  <c r="BE103" i="78"/>
  <c r="BF103" i="78"/>
  <c r="BG103" i="78"/>
  <c r="BH103" i="78"/>
  <c r="BI103" i="78"/>
  <c r="BJ103" i="78"/>
  <c r="BK103" i="78"/>
  <c r="BL103" i="78"/>
  <c r="BM103" i="78"/>
  <c r="BN103" i="78"/>
  <c r="BO103" i="78"/>
  <c r="BP103" i="78"/>
  <c r="BQ103" i="78"/>
  <c r="BR103" i="78"/>
  <c r="AM104" i="78"/>
  <c r="AN104" i="78"/>
  <c r="AO104" i="78"/>
  <c r="AP104" i="78"/>
  <c r="AQ104" i="78"/>
  <c r="AR104" i="78"/>
  <c r="AS104" i="78"/>
  <c r="AT104" i="78"/>
  <c r="AU104" i="78"/>
  <c r="AV104" i="78"/>
  <c r="AW104" i="78"/>
  <c r="AX104" i="78"/>
  <c r="AY104" i="78"/>
  <c r="AZ104" i="78"/>
  <c r="BA104" i="78"/>
  <c r="BB104" i="78"/>
  <c r="BC104" i="78"/>
  <c r="BD104" i="78"/>
  <c r="BE104" i="78"/>
  <c r="BF104" i="78"/>
  <c r="BG104" i="78"/>
  <c r="BH104" i="78"/>
  <c r="BI104" i="78"/>
  <c r="BJ104" i="78"/>
  <c r="BK104" i="78"/>
  <c r="BL104" i="78"/>
  <c r="BM104" i="78"/>
  <c r="BN104" i="78"/>
  <c r="BO104" i="78"/>
  <c r="BP104" i="78"/>
  <c r="BQ104" i="78"/>
  <c r="BR104" i="78"/>
  <c r="AM105" i="78"/>
  <c r="AN105" i="78"/>
  <c r="AO105" i="78"/>
  <c r="AP105" i="78"/>
  <c r="AQ105" i="78"/>
  <c r="AR105" i="78"/>
  <c r="AS105" i="78"/>
  <c r="AT105" i="78"/>
  <c r="AU105" i="78"/>
  <c r="AV105" i="78"/>
  <c r="AW105" i="78"/>
  <c r="AX105" i="78"/>
  <c r="AY105" i="78"/>
  <c r="AZ105" i="78"/>
  <c r="BA105" i="78"/>
  <c r="BB105" i="78"/>
  <c r="BC105" i="78"/>
  <c r="BD105" i="78"/>
  <c r="BE105" i="78"/>
  <c r="BF105" i="78"/>
  <c r="BG105" i="78"/>
  <c r="BH105" i="78"/>
  <c r="BI105" i="78"/>
  <c r="BJ105" i="78"/>
  <c r="BK105" i="78"/>
  <c r="BL105" i="78"/>
  <c r="BM105" i="78"/>
  <c r="BN105" i="78"/>
  <c r="BO105" i="78"/>
  <c r="BP105" i="78"/>
  <c r="BQ105" i="78"/>
  <c r="BR105" i="78"/>
  <c r="AM106" i="78"/>
  <c r="AN106" i="78"/>
  <c r="AO106" i="78"/>
  <c r="AP106" i="78"/>
  <c r="AQ106" i="78"/>
  <c r="AR106" i="78"/>
  <c r="AS106" i="78"/>
  <c r="AT106" i="78"/>
  <c r="AU106" i="78"/>
  <c r="AV106" i="78"/>
  <c r="AW106" i="78"/>
  <c r="AX106" i="78"/>
  <c r="AY106" i="78"/>
  <c r="AZ106" i="78"/>
  <c r="BA106" i="78"/>
  <c r="BB106" i="78"/>
  <c r="BC106" i="78"/>
  <c r="BD106" i="78"/>
  <c r="BE106" i="78"/>
  <c r="BF106" i="78"/>
  <c r="BG106" i="78"/>
  <c r="BH106" i="78"/>
  <c r="BI106" i="78"/>
  <c r="BJ106" i="78"/>
  <c r="BK106" i="78"/>
  <c r="BL106" i="78"/>
  <c r="BM106" i="78"/>
  <c r="BN106" i="78"/>
  <c r="BO106" i="78"/>
  <c r="BP106" i="78"/>
  <c r="BQ106" i="78"/>
  <c r="BR106" i="78"/>
  <c r="AM107" i="78"/>
  <c r="AN107" i="78"/>
  <c r="AO107" i="78"/>
  <c r="AP107" i="78"/>
  <c r="AQ107" i="78"/>
  <c r="AR107" i="78"/>
  <c r="AS107" i="78"/>
  <c r="AT107" i="78"/>
  <c r="AU107" i="78"/>
  <c r="AV107" i="78"/>
  <c r="AW107" i="78"/>
  <c r="AX107" i="78"/>
  <c r="AY107" i="78"/>
  <c r="AZ107" i="78"/>
  <c r="BA107" i="78"/>
  <c r="BB107" i="78"/>
  <c r="BC107" i="78"/>
  <c r="BD107" i="78"/>
  <c r="BE107" i="78"/>
  <c r="BF107" i="78"/>
  <c r="BG107" i="78"/>
  <c r="BH107" i="78"/>
  <c r="BI107" i="78"/>
  <c r="BJ107" i="78"/>
  <c r="BK107" i="78"/>
  <c r="BL107" i="78"/>
  <c r="BM107" i="78"/>
  <c r="BN107" i="78"/>
  <c r="BO107" i="78"/>
  <c r="BP107" i="78"/>
  <c r="BQ107" i="78"/>
  <c r="BR107" i="78"/>
  <c r="AM108" i="78"/>
  <c r="AN108" i="78"/>
  <c r="AO108" i="78"/>
  <c r="AP108" i="78"/>
  <c r="AQ108" i="78"/>
  <c r="AR108" i="78"/>
  <c r="AS108" i="78"/>
  <c r="AT108" i="78"/>
  <c r="AU108" i="78"/>
  <c r="AV108" i="78"/>
  <c r="AW108" i="78"/>
  <c r="AX108" i="78"/>
  <c r="AY108" i="78"/>
  <c r="AZ108" i="78"/>
  <c r="BA108" i="78"/>
  <c r="BB108" i="78"/>
  <c r="BC108" i="78"/>
  <c r="BD108" i="78"/>
  <c r="BE108" i="78"/>
  <c r="BF108" i="78"/>
  <c r="BG108" i="78"/>
  <c r="BH108" i="78"/>
  <c r="BI108" i="78"/>
  <c r="BJ108" i="78"/>
  <c r="BK108" i="78"/>
  <c r="BL108" i="78"/>
  <c r="BM108" i="78"/>
  <c r="BN108" i="78"/>
  <c r="BO108" i="78"/>
  <c r="BP108" i="78"/>
  <c r="BQ108" i="78"/>
  <c r="BR108" i="78"/>
  <c r="AM109" i="78"/>
  <c r="AN109" i="78"/>
  <c r="AO109" i="78"/>
  <c r="AP109" i="78"/>
  <c r="AQ109" i="78"/>
  <c r="AR109" i="78"/>
  <c r="AS109" i="78"/>
  <c r="AT109" i="78"/>
  <c r="AU109" i="78"/>
  <c r="AV109" i="78"/>
  <c r="AW109" i="78"/>
  <c r="AX109" i="78"/>
  <c r="AY109" i="78"/>
  <c r="AZ109" i="78"/>
  <c r="BA109" i="78"/>
  <c r="BB109" i="78"/>
  <c r="BC109" i="78"/>
  <c r="BD109" i="78"/>
  <c r="BE109" i="78"/>
  <c r="BF109" i="78"/>
  <c r="BG109" i="78"/>
  <c r="BH109" i="78"/>
  <c r="BI109" i="78"/>
  <c r="BJ109" i="78"/>
  <c r="BK109" i="78"/>
  <c r="BL109" i="78"/>
  <c r="BM109" i="78"/>
  <c r="BN109" i="78"/>
  <c r="BO109" i="78"/>
  <c r="BP109" i="78"/>
  <c r="BQ109" i="78"/>
  <c r="BR109" i="78"/>
  <c r="AM110" i="78"/>
  <c r="AN110" i="78"/>
  <c r="AO110" i="78"/>
  <c r="AP110" i="78"/>
  <c r="AQ110" i="78"/>
  <c r="AR110" i="78"/>
  <c r="AS110" i="78"/>
  <c r="AT110" i="78"/>
  <c r="AU110" i="78"/>
  <c r="AV110" i="78"/>
  <c r="AW110" i="78"/>
  <c r="AX110" i="78"/>
  <c r="AY110" i="78"/>
  <c r="AZ110" i="78"/>
  <c r="BA110" i="78"/>
  <c r="BB110" i="78"/>
  <c r="BC110" i="78"/>
  <c r="BD110" i="78"/>
  <c r="BE110" i="78"/>
  <c r="BF110" i="78"/>
  <c r="BG110" i="78"/>
  <c r="BH110" i="78"/>
  <c r="BI110" i="78"/>
  <c r="BJ110" i="78"/>
  <c r="BK110" i="78"/>
  <c r="BL110" i="78"/>
  <c r="BM110" i="78"/>
  <c r="BN110" i="78"/>
  <c r="BO110" i="78"/>
  <c r="BP110" i="78"/>
  <c r="BQ110" i="78"/>
  <c r="BR110" i="78"/>
  <c r="AM111" i="78"/>
  <c r="AN111" i="78"/>
  <c r="AO111" i="78"/>
  <c r="AP111" i="78"/>
  <c r="AQ111" i="78"/>
  <c r="AR111" i="78"/>
  <c r="AS111" i="78"/>
  <c r="AT111" i="78"/>
  <c r="AU111" i="78"/>
  <c r="AV111" i="78"/>
  <c r="AW111" i="78"/>
  <c r="AX111" i="78"/>
  <c r="AY111" i="78"/>
  <c r="AZ111" i="78"/>
  <c r="BA111" i="78"/>
  <c r="BB111" i="78"/>
  <c r="BC111" i="78"/>
  <c r="BD111" i="78"/>
  <c r="BE111" i="78"/>
  <c r="BF111" i="78"/>
  <c r="BG111" i="78"/>
  <c r="BH111" i="78"/>
  <c r="BI111" i="78"/>
  <c r="BJ111" i="78"/>
  <c r="BK111" i="78"/>
  <c r="BL111" i="78"/>
  <c r="BM111" i="78"/>
  <c r="BN111" i="78"/>
  <c r="BO111" i="78"/>
  <c r="BP111" i="78"/>
  <c r="BQ111" i="78"/>
  <c r="BR111" i="78"/>
  <c r="AM112" i="78"/>
  <c r="AN112" i="78"/>
  <c r="AO112" i="78"/>
  <c r="AP112" i="78"/>
  <c r="AQ112" i="78"/>
  <c r="AR112" i="78"/>
  <c r="AS112" i="78"/>
  <c r="AT112" i="78"/>
  <c r="AU112" i="78"/>
  <c r="AV112" i="78"/>
  <c r="AW112" i="78"/>
  <c r="AX112" i="78"/>
  <c r="AY112" i="78"/>
  <c r="AZ112" i="78"/>
  <c r="BA112" i="78"/>
  <c r="BB112" i="78"/>
  <c r="BC112" i="78"/>
  <c r="BD112" i="78"/>
  <c r="BE112" i="78"/>
  <c r="BF112" i="78"/>
  <c r="BG112" i="78"/>
  <c r="BH112" i="78"/>
  <c r="BI112" i="78"/>
  <c r="BJ112" i="78"/>
  <c r="BK112" i="78"/>
  <c r="BL112" i="78"/>
  <c r="BM112" i="78"/>
  <c r="BN112" i="78"/>
  <c r="BO112" i="78"/>
  <c r="BP112" i="78"/>
  <c r="BQ112" i="78"/>
  <c r="BR112" i="78"/>
  <c r="AM113" i="78"/>
  <c r="AN113" i="78"/>
  <c r="AO113" i="78"/>
  <c r="AP113" i="78"/>
  <c r="AQ113" i="78"/>
  <c r="AR113" i="78"/>
  <c r="AS113" i="78"/>
  <c r="AT113" i="78"/>
  <c r="AU113" i="78"/>
  <c r="AV113" i="78"/>
  <c r="AW113" i="78"/>
  <c r="AX113" i="78"/>
  <c r="AY113" i="78"/>
  <c r="AZ113" i="78"/>
  <c r="BA113" i="78"/>
  <c r="BB113" i="78"/>
  <c r="BC113" i="78"/>
  <c r="BD113" i="78"/>
  <c r="BE113" i="78"/>
  <c r="BF113" i="78"/>
  <c r="BG113" i="78"/>
  <c r="BH113" i="78"/>
  <c r="BI113" i="78"/>
  <c r="BJ113" i="78"/>
  <c r="BK113" i="78"/>
  <c r="BL113" i="78"/>
  <c r="BM113" i="78"/>
  <c r="BN113" i="78"/>
  <c r="BO113" i="78"/>
  <c r="BP113" i="78"/>
  <c r="BQ113" i="78"/>
  <c r="BR113" i="78"/>
  <c r="AM114" i="78"/>
  <c r="AN114" i="78"/>
  <c r="AO114" i="78"/>
  <c r="AP114" i="78"/>
  <c r="AQ114" i="78"/>
  <c r="AR114" i="78"/>
  <c r="AS114" i="78"/>
  <c r="AT114" i="78"/>
  <c r="AU114" i="78"/>
  <c r="AV114" i="78"/>
  <c r="AW114" i="78"/>
  <c r="AX114" i="78"/>
  <c r="AY114" i="78"/>
  <c r="AZ114" i="78"/>
  <c r="BA114" i="78"/>
  <c r="BB114" i="78"/>
  <c r="BC114" i="78"/>
  <c r="BD114" i="78"/>
  <c r="BE114" i="78"/>
  <c r="BF114" i="78"/>
  <c r="BG114" i="78"/>
  <c r="BH114" i="78"/>
  <c r="BI114" i="78"/>
  <c r="BJ114" i="78"/>
  <c r="BK114" i="78"/>
  <c r="BL114" i="78"/>
  <c r="BM114" i="78"/>
  <c r="BN114" i="78"/>
  <c r="BO114" i="78"/>
  <c r="BP114" i="78"/>
  <c r="BQ114" i="78"/>
  <c r="BR114" i="78"/>
  <c r="AM115" i="78"/>
  <c r="AN115" i="78"/>
  <c r="AO115" i="78"/>
  <c r="AP115" i="78"/>
  <c r="AQ115" i="78"/>
  <c r="AR115" i="78"/>
  <c r="AS115" i="78"/>
  <c r="AT115" i="78"/>
  <c r="AU115" i="78"/>
  <c r="AV115" i="78"/>
  <c r="AW115" i="78"/>
  <c r="AX115" i="78"/>
  <c r="AY115" i="78"/>
  <c r="AZ115" i="78"/>
  <c r="BA115" i="78"/>
  <c r="BB115" i="78"/>
  <c r="BC115" i="78"/>
  <c r="BD115" i="78"/>
  <c r="BE115" i="78"/>
  <c r="BF115" i="78"/>
  <c r="BG115" i="78"/>
  <c r="BH115" i="78"/>
  <c r="BI115" i="78"/>
  <c r="BJ115" i="78"/>
  <c r="BK115" i="78"/>
  <c r="BL115" i="78"/>
  <c r="BM115" i="78"/>
  <c r="BN115" i="78"/>
  <c r="BO115" i="78"/>
  <c r="BP115" i="78"/>
  <c r="BQ115" i="78"/>
  <c r="BR115" i="78"/>
  <c r="AM116" i="78"/>
  <c r="AN116" i="78"/>
  <c r="AO116" i="78"/>
  <c r="AP116" i="78"/>
  <c r="AQ116" i="78"/>
  <c r="AR116" i="78"/>
  <c r="AS116" i="78"/>
  <c r="AT116" i="78"/>
  <c r="AU116" i="78"/>
  <c r="AV116" i="78"/>
  <c r="AW116" i="78"/>
  <c r="AX116" i="78"/>
  <c r="AY116" i="78"/>
  <c r="AZ116" i="78"/>
  <c r="BA116" i="78"/>
  <c r="BB116" i="78"/>
  <c r="BC116" i="78"/>
  <c r="BD116" i="78"/>
  <c r="BE116" i="78"/>
  <c r="BF116" i="78"/>
  <c r="BG116" i="78"/>
  <c r="BH116" i="78"/>
  <c r="BI116" i="78"/>
  <c r="BJ116" i="78"/>
  <c r="BK116" i="78"/>
  <c r="BL116" i="78"/>
  <c r="BM116" i="78"/>
  <c r="BN116" i="78"/>
  <c r="BO116" i="78"/>
  <c r="BP116" i="78"/>
  <c r="BQ116" i="78"/>
  <c r="BR116" i="78"/>
  <c r="AM117" i="78"/>
  <c r="AN117" i="78"/>
  <c r="AO117" i="78"/>
  <c r="AP117" i="78"/>
  <c r="AQ117" i="78"/>
  <c r="AR117" i="78"/>
  <c r="AS117" i="78"/>
  <c r="AT117" i="78"/>
  <c r="AU117" i="78"/>
  <c r="AV117" i="78"/>
  <c r="AW117" i="78"/>
  <c r="AX117" i="78"/>
  <c r="AY117" i="78"/>
  <c r="AZ117" i="78"/>
  <c r="BA117" i="78"/>
  <c r="BB117" i="78"/>
  <c r="BC117" i="78"/>
  <c r="BD117" i="78"/>
  <c r="BE117" i="78"/>
  <c r="BF117" i="78"/>
  <c r="BG117" i="78"/>
  <c r="BH117" i="78"/>
  <c r="BI117" i="78"/>
  <c r="BJ117" i="78"/>
  <c r="BK117" i="78"/>
  <c r="BL117" i="78"/>
  <c r="BM117" i="78"/>
  <c r="BN117" i="78"/>
  <c r="BO117" i="78"/>
  <c r="BP117" i="78"/>
  <c r="BQ117" i="78"/>
  <c r="BR117" i="78"/>
  <c r="AU2" i="78"/>
  <c r="AV2" i="78"/>
  <c r="AW2" i="78"/>
  <c r="AX2" i="78"/>
  <c r="AY2" i="78"/>
  <c r="AZ2" i="78"/>
  <c r="BA2" i="78"/>
  <c r="BB2" i="78"/>
  <c r="BC2" i="78"/>
  <c r="BD2" i="78"/>
  <c r="BE2" i="78"/>
  <c r="BF2" i="78"/>
  <c r="BG2" i="78"/>
  <c r="BH2" i="78"/>
  <c r="BI2" i="78"/>
  <c r="BJ2" i="78"/>
  <c r="BK2" i="78"/>
  <c r="BL2" i="78"/>
  <c r="BM2" i="78"/>
  <c r="BN2" i="78"/>
  <c r="BO2" i="78"/>
  <c r="BP2" i="78"/>
  <c r="BQ2" i="78"/>
  <c r="BR2" i="78"/>
  <c r="AN2" i="78"/>
  <c r="AO2" i="78"/>
  <c r="AP2" i="78"/>
  <c r="AQ2" i="78"/>
  <c r="AR2" i="78"/>
  <c r="AS2" i="78"/>
  <c r="AT2" i="78"/>
  <c r="AM118" i="78"/>
  <c r="AM119" i="78"/>
  <c r="AM120" i="78"/>
  <c r="AM121" i="78"/>
  <c r="AM122" i="78"/>
  <c r="AM123" i="78"/>
  <c r="AM124" i="78"/>
  <c r="AM125" i="78"/>
  <c r="AM126" i="78"/>
  <c r="AM127" i="78"/>
  <c r="AM128" i="78"/>
  <c r="AM129" i="78"/>
  <c r="AM130" i="78"/>
  <c r="AM131" i="78"/>
  <c r="AM132" i="78"/>
  <c r="AM133" i="78"/>
  <c r="AM134" i="78"/>
  <c r="AM135" i="78"/>
  <c r="AM136" i="78"/>
  <c r="AM137" i="78"/>
  <c r="AM138" i="78"/>
  <c r="AM139" i="78"/>
  <c r="AM140" i="78"/>
  <c r="AM141" i="78"/>
  <c r="AM2" i="78"/>
  <c r="H74" i="77"/>
  <c r="G74" i="77"/>
  <c r="F74" i="77"/>
  <c r="E74" i="77"/>
  <c r="H73" i="77"/>
  <c r="G73" i="77"/>
  <c r="F73" i="77"/>
  <c r="E73" i="77"/>
  <c r="H72" i="77"/>
  <c r="G72" i="77"/>
  <c r="F72" i="77"/>
  <c r="E72" i="77"/>
  <c r="H71" i="77"/>
  <c r="G71" i="77"/>
  <c r="F71" i="77"/>
  <c r="E71" i="77"/>
  <c r="C70" i="77"/>
  <c r="AN12" i="77"/>
  <c r="AM43" i="77"/>
  <c r="AF12" i="77"/>
  <c r="AE43" i="77"/>
  <c r="X12" i="77"/>
  <c r="W43" i="77"/>
  <c r="P12" i="77"/>
  <c r="O43" i="77"/>
  <c r="H12" i="77"/>
  <c r="G43" i="77"/>
  <c r="AN11" i="77"/>
  <c r="AM42" i="77"/>
  <c r="AF11" i="77"/>
  <c r="AE42" i="77"/>
  <c r="X11" i="77"/>
  <c r="W42" i="77"/>
  <c r="P11" i="77"/>
  <c r="O42" i="77"/>
  <c r="H11" i="77"/>
  <c r="G42" i="77"/>
  <c r="AN10" i="77"/>
  <c r="AM41" i="77"/>
  <c r="AF10" i="77"/>
  <c r="AE41" i="77"/>
  <c r="X10" i="77"/>
  <c r="W41" i="77"/>
  <c r="P10" i="77"/>
  <c r="O41" i="77"/>
  <c r="H10" i="77"/>
  <c r="G41" i="77"/>
  <c r="AN9" i="77"/>
  <c r="AM40" i="77"/>
  <c r="AF9" i="77"/>
  <c r="AE40" i="77"/>
  <c r="X9" i="77"/>
  <c r="W40" i="77"/>
  <c r="P9" i="77"/>
  <c r="O40" i="77"/>
  <c r="H9" i="77"/>
  <c r="G40" i="77"/>
  <c r="AN7" i="77"/>
  <c r="AM38" i="77"/>
  <c r="AF7" i="77"/>
  <c r="AE38" i="77"/>
  <c r="X7" i="77"/>
  <c r="W38" i="77"/>
  <c r="P7" i="77"/>
  <c r="O38" i="77"/>
  <c r="H7" i="77"/>
  <c r="G38" i="77"/>
  <c r="AN6" i="77"/>
  <c r="AM37" i="77"/>
  <c r="AF6" i="77"/>
  <c r="AE37" i="77"/>
  <c r="X6" i="77"/>
  <c r="W37" i="77"/>
  <c r="P6" i="77"/>
  <c r="O37" i="77"/>
  <c r="H6" i="77"/>
  <c r="G37" i="77"/>
  <c r="AN5" i="77"/>
  <c r="AM36" i="77"/>
  <c r="AF5" i="77"/>
  <c r="AE36" i="77"/>
  <c r="X5" i="77"/>
  <c r="W36" i="77"/>
  <c r="P5" i="77"/>
  <c r="O36" i="77"/>
  <c r="H5" i="77"/>
  <c r="G36" i="77"/>
  <c r="AF15" i="77"/>
  <c r="X15" i="77"/>
  <c r="G15" i="77"/>
  <c r="AL12" i="77"/>
  <c r="AO12" i="77" s="1"/>
  <c r="AD12" i="77"/>
  <c r="AG12" i="77" s="1"/>
  <c r="AH12" i="77" s="1"/>
  <c r="V12" i="77"/>
  <c r="N12" i="77"/>
  <c r="L12" i="77"/>
  <c r="T12" i="77" s="1"/>
  <c r="AB12" i="77" s="1"/>
  <c r="AJ12" i="77" s="1"/>
  <c r="F12" i="77"/>
  <c r="I12" i="77" s="1"/>
  <c r="J12" i="77" s="1"/>
  <c r="AL11" i="77"/>
  <c r="AD11" i="77"/>
  <c r="V11" i="77"/>
  <c r="N11" i="77"/>
  <c r="Q11" i="77" s="1"/>
  <c r="L11" i="77"/>
  <c r="T11" i="77" s="1"/>
  <c r="AB11" i="77" s="1"/>
  <c r="AJ11" i="77" s="1"/>
  <c r="F11" i="77"/>
  <c r="AL10" i="77"/>
  <c r="AD10" i="77"/>
  <c r="V10" i="77"/>
  <c r="N10" i="77"/>
  <c r="L10" i="77"/>
  <c r="T10" i="77" s="1"/>
  <c r="AB10" i="77" s="1"/>
  <c r="AJ10" i="77" s="1"/>
  <c r="F10" i="77"/>
  <c r="E10" i="77"/>
  <c r="AL9" i="77"/>
  <c r="AD9" i="77"/>
  <c r="AG9" i="77" s="1"/>
  <c r="AH9" i="77" s="1"/>
  <c r="V9" i="77"/>
  <c r="Y9" i="77" s="1"/>
  <c r="Z9" i="77" s="1"/>
  <c r="N9" i="77"/>
  <c r="Q9" i="77" s="1"/>
  <c r="L9" i="77"/>
  <c r="T9" i="77" s="1"/>
  <c r="AB9" i="77" s="1"/>
  <c r="AJ9" i="77" s="1"/>
  <c r="F9" i="77"/>
  <c r="AL7" i="77"/>
  <c r="AO7" i="77" s="1"/>
  <c r="AD7" i="77"/>
  <c r="AG7" i="77" s="1"/>
  <c r="V7" i="77"/>
  <c r="Y7" i="77" s="1"/>
  <c r="N7" i="77"/>
  <c r="L7" i="77"/>
  <c r="AB7" i="77" s="1"/>
  <c r="F7" i="77"/>
  <c r="I7" i="77" s="1"/>
  <c r="AL6" i="77"/>
  <c r="AD6" i="77"/>
  <c r="V6" i="77"/>
  <c r="N6" i="77"/>
  <c r="Q6" i="77" s="1"/>
  <c r="L6" i="77"/>
  <c r="T6" i="77" s="1"/>
  <c r="AB6" i="77" s="1"/>
  <c r="AJ6" i="77" s="1"/>
  <c r="F6" i="77"/>
  <c r="AL5" i="77"/>
  <c r="AK5" i="77"/>
  <c r="AK6" i="77" s="1"/>
  <c r="AK7" i="77" s="1"/>
  <c r="AD5" i="77"/>
  <c r="AC5" i="77"/>
  <c r="AF14" i="77" s="1"/>
  <c r="V5" i="77"/>
  <c r="Y5" i="77" s="1"/>
  <c r="U5" i="77"/>
  <c r="U6" i="77" s="1"/>
  <c r="U7" i="77" s="1"/>
  <c r="N5" i="77"/>
  <c r="M5" i="77"/>
  <c r="M6" i="77" s="1"/>
  <c r="L5" i="77"/>
  <c r="T5" i="77" s="1"/>
  <c r="AB5" i="77" s="1"/>
  <c r="AJ5" i="77" s="1"/>
  <c r="F5" i="77"/>
  <c r="I5" i="77" s="1"/>
  <c r="E5" i="77"/>
  <c r="G14" i="77" s="1"/>
  <c r="AC4" i="77"/>
  <c r="U4" i="77"/>
  <c r="M4" i="77"/>
  <c r="AK4" i="77" s="1"/>
  <c r="H74" i="74"/>
  <c r="G74" i="74"/>
  <c r="F74" i="74"/>
  <c r="E74" i="74"/>
  <c r="H73" i="74"/>
  <c r="G73" i="74"/>
  <c r="F73" i="74"/>
  <c r="E73" i="74"/>
  <c r="H72" i="74"/>
  <c r="G72" i="74"/>
  <c r="F72" i="74"/>
  <c r="E72" i="74"/>
  <c r="H71" i="74"/>
  <c r="G71" i="74"/>
  <c r="F71" i="74"/>
  <c r="E71" i="74"/>
  <c r="C70" i="74"/>
  <c r="AF15" i="74"/>
  <c r="X15" i="74"/>
  <c r="G15" i="74"/>
  <c r="AN43" i="74"/>
  <c r="AM43" i="74"/>
  <c r="AO12" i="74" s="1"/>
  <c r="AL12" i="74"/>
  <c r="AF43" i="74"/>
  <c r="AE43" i="74"/>
  <c r="AD12" i="74"/>
  <c r="AG12" i="74" s="1"/>
  <c r="AH12" i="74" s="1"/>
  <c r="X43" i="74"/>
  <c r="W43" i="74"/>
  <c r="V12" i="74"/>
  <c r="Y12" i="74" s="1"/>
  <c r="Z12" i="74" s="1"/>
  <c r="P43" i="74"/>
  <c r="O43" i="74"/>
  <c r="N12" i="74"/>
  <c r="L12" i="74"/>
  <c r="T12" i="74" s="1"/>
  <c r="AB12" i="74" s="1"/>
  <c r="AJ12" i="74" s="1"/>
  <c r="H43" i="74"/>
  <c r="G43" i="74"/>
  <c r="F12" i="74"/>
  <c r="AN42" i="74"/>
  <c r="AM42" i="74"/>
  <c r="AL11" i="74"/>
  <c r="AO11" i="74" s="1"/>
  <c r="AF42" i="74"/>
  <c r="AE42" i="74"/>
  <c r="AD11" i="74"/>
  <c r="AG11" i="74" s="1"/>
  <c r="AH11" i="74" s="1"/>
  <c r="X42" i="74"/>
  <c r="W42" i="74"/>
  <c r="V11" i="74"/>
  <c r="Y11" i="74" s="1"/>
  <c r="Z11" i="74" s="1"/>
  <c r="T11" i="74"/>
  <c r="AB11" i="74" s="1"/>
  <c r="AJ11" i="74" s="1"/>
  <c r="P42" i="74"/>
  <c r="O42" i="74"/>
  <c r="N11" i="74"/>
  <c r="L11" i="74"/>
  <c r="H42" i="74"/>
  <c r="G42" i="74"/>
  <c r="F11" i="74"/>
  <c r="I11" i="74" s="1"/>
  <c r="J11" i="74" s="1"/>
  <c r="AN41" i="74"/>
  <c r="AM41" i="74"/>
  <c r="AL10" i="74"/>
  <c r="AO10" i="74" s="1"/>
  <c r="AF41" i="74"/>
  <c r="AE41" i="74"/>
  <c r="AD10" i="74"/>
  <c r="AG10" i="74" s="1"/>
  <c r="AH10" i="74" s="1"/>
  <c r="X41" i="74"/>
  <c r="W41" i="74"/>
  <c r="V10" i="74"/>
  <c r="P41" i="74"/>
  <c r="O41" i="74"/>
  <c r="N10" i="74"/>
  <c r="Q10" i="74" s="1"/>
  <c r="L10" i="74"/>
  <c r="T10" i="74" s="1"/>
  <c r="AB10" i="74" s="1"/>
  <c r="AJ10" i="74" s="1"/>
  <c r="H41" i="74"/>
  <c r="G41" i="74"/>
  <c r="F10" i="74"/>
  <c r="E10" i="74"/>
  <c r="AN40" i="74"/>
  <c r="AM40" i="74"/>
  <c r="AL9" i="74"/>
  <c r="AO9" i="74" s="1"/>
  <c r="AF40" i="74"/>
  <c r="AE40" i="74"/>
  <c r="AD9" i="74"/>
  <c r="AG9" i="74" s="1"/>
  <c r="AH9" i="74" s="1"/>
  <c r="X40" i="74"/>
  <c r="Y9" i="74" s="1"/>
  <c r="Z9" i="74" s="1"/>
  <c r="W40" i="74"/>
  <c r="V9" i="74"/>
  <c r="P40" i="74"/>
  <c r="O40" i="74"/>
  <c r="N9" i="74"/>
  <c r="Q9" i="74" s="1"/>
  <c r="L9" i="74"/>
  <c r="T9" i="74" s="1"/>
  <c r="AB9" i="74" s="1"/>
  <c r="AJ9" i="74" s="1"/>
  <c r="H40" i="74"/>
  <c r="G40" i="74"/>
  <c r="F9" i="74"/>
  <c r="AN38" i="74"/>
  <c r="AM38" i="74"/>
  <c r="AL7" i="74"/>
  <c r="AO7" i="74" s="1"/>
  <c r="AF38" i="74"/>
  <c r="AE38" i="74"/>
  <c r="AD7" i="74"/>
  <c r="AG7" i="74" s="1"/>
  <c r="X38" i="74"/>
  <c r="W38" i="74"/>
  <c r="V7" i="74"/>
  <c r="P38" i="74"/>
  <c r="O38" i="74"/>
  <c r="N7" i="74"/>
  <c r="L7" i="74"/>
  <c r="AB7" i="74" s="1"/>
  <c r="H38" i="74"/>
  <c r="G38" i="74"/>
  <c r="F7" i="74"/>
  <c r="I7" i="74" s="1"/>
  <c r="AN37" i="74"/>
  <c r="AM37" i="74"/>
  <c r="AL6" i="74"/>
  <c r="AO6" i="74" s="1"/>
  <c r="AF37" i="74"/>
  <c r="AE37" i="74"/>
  <c r="AD6" i="74"/>
  <c r="AG6" i="74" s="1"/>
  <c r="X37" i="74"/>
  <c r="W37" i="74"/>
  <c r="V6" i="74"/>
  <c r="Y6" i="74" s="1"/>
  <c r="P37" i="74"/>
  <c r="O37" i="74"/>
  <c r="N6" i="74"/>
  <c r="Q6" i="74" s="1"/>
  <c r="L6" i="74"/>
  <c r="T6" i="74" s="1"/>
  <c r="AB6" i="74" s="1"/>
  <c r="AJ6" i="74" s="1"/>
  <c r="H37" i="74"/>
  <c r="G37" i="74"/>
  <c r="F6" i="74"/>
  <c r="AN36" i="74"/>
  <c r="AM36" i="74"/>
  <c r="AL5" i="74"/>
  <c r="AK5" i="74"/>
  <c r="AN14" i="74" s="1"/>
  <c r="AF36" i="74"/>
  <c r="AE36" i="74"/>
  <c r="AD5" i="74"/>
  <c r="AG5" i="74" s="1"/>
  <c r="AC5" i="74"/>
  <c r="AC6" i="74" s="1"/>
  <c r="AC7" i="74" s="1"/>
  <c r="AC17" i="74" s="1"/>
  <c r="X36" i="74"/>
  <c r="W36" i="74"/>
  <c r="V5" i="74"/>
  <c r="U5" i="74"/>
  <c r="P36" i="74"/>
  <c r="O36" i="74"/>
  <c r="N5" i="74"/>
  <c r="Q5" i="74" s="1"/>
  <c r="M5" i="74"/>
  <c r="M6" i="74" s="1"/>
  <c r="L5" i="74"/>
  <c r="T5" i="74" s="1"/>
  <c r="AB5" i="74" s="1"/>
  <c r="AJ5" i="74" s="1"/>
  <c r="H36" i="74"/>
  <c r="G36" i="74"/>
  <c r="F5" i="74"/>
  <c r="I5" i="74" s="1"/>
  <c r="E5" i="74"/>
  <c r="AC4" i="74"/>
  <c r="U4" i="74"/>
  <c r="M4" i="74"/>
  <c r="AK4" i="74" s="1"/>
  <c r="AG10" i="77" l="1"/>
  <c r="AH10" i="77" s="1"/>
  <c r="Y6" i="77"/>
  <c r="Z6" i="77" s="1"/>
  <c r="AG5" i="77"/>
  <c r="Y11" i="77"/>
  <c r="Z11" i="77" s="1"/>
  <c r="Q7" i="77"/>
  <c r="Q10" i="77"/>
  <c r="P15" i="77" s="1"/>
  <c r="T7" i="77"/>
  <c r="AJ7" i="77" s="1"/>
  <c r="Y10" i="77"/>
  <c r="Z10" i="77" s="1"/>
  <c r="AO11" i="77"/>
  <c r="Q12" i="77"/>
  <c r="Y12" i="77"/>
  <c r="Z12" i="77" s="1"/>
  <c r="AG6" i="77"/>
  <c r="AO9" i="77"/>
  <c r="AG11" i="77"/>
  <c r="AH11" i="77" s="1"/>
  <c r="Q5" i="77"/>
  <c r="R5" i="77" s="1"/>
  <c r="AO6" i="77"/>
  <c r="AM14" i="77" s="1"/>
  <c r="E6" i="77"/>
  <c r="E7" i="77" s="1"/>
  <c r="I10" i="77"/>
  <c r="J10" i="77" s="1"/>
  <c r="AO10" i="77"/>
  <c r="AO5" i="77"/>
  <c r="AP5" i="77" s="1"/>
  <c r="I9" i="77"/>
  <c r="I6" i="77"/>
  <c r="J6" i="77" s="1"/>
  <c r="I11" i="77"/>
  <c r="J11" i="77" s="1"/>
  <c r="AK6" i="74"/>
  <c r="AK7" i="74" s="1"/>
  <c r="I12" i="74"/>
  <c r="J12" i="74" s="1"/>
  <c r="AO5" i="74"/>
  <c r="Y5" i="74"/>
  <c r="T7" i="74"/>
  <c r="AJ7" i="74" s="1"/>
  <c r="AK9" i="74"/>
  <c r="AN15" i="74" s="1"/>
  <c r="Y10" i="74"/>
  <c r="Z10" i="74" s="1"/>
  <c r="I10" i="74"/>
  <c r="J10" i="74" s="1"/>
  <c r="AT4" i="74"/>
  <c r="R6" i="74"/>
  <c r="Y7" i="74"/>
  <c r="Q11" i="74"/>
  <c r="AM15" i="74"/>
  <c r="I6" i="74"/>
  <c r="H14" i="74" s="1"/>
  <c r="AE15" i="77"/>
  <c r="AG15" i="77" s="1"/>
  <c r="AC15" i="77" s="1"/>
  <c r="M7" i="77"/>
  <c r="R7" i="77" s="1"/>
  <c r="M9" i="77"/>
  <c r="R9" i="77" s="1"/>
  <c r="AP7" i="77"/>
  <c r="J7" i="77"/>
  <c r="J5" i="77"/>
  <c r="Z7" i="77"/>
  <c r="J9" i="77"/>
  <c r="Z5" i="77"/>
  <c r="R6" i="77"/>
  <c r="AC6" i="77"/>
  <c r="AC7" i="77" s="1"/>
  <c r="AC17" i="77" s="1"/>
  <c r="AK9" i="77" s="1"/>
  <c r="X14" i="77"/>
  <c r="AN14" i="77"/>
  <c r="AH5" i="77"/>
  <c r="O14" i="77"/>
  <c r="AT4" i="77"/>
  <c r="AP6" i="74"/>
  <c r="Q7" i="74"/>
  <c r="P14" i="74" s="1"/>
  <c r="Q12" i="74"/>
  <c r="I9" i="74"/>
  <c r="O14" i="74"/>
  <c r="AF14" i="74"/>
  <c r="AH6" i="74"/>
  <c r="R5" i="74"/>
  <c r="Z5" i="74"/>
  <c r="AM14" i="74"/>
  <c r="AO14" i="74" s="1"/>
  <c r="AK14" i="74" s="1"/>
  <c r="AP5" i="74"/>
  <c r="AH7" i="74"/>
  <c r="AE15" i="74"/>
  <c r="AG15" i="74" s="1"/>
  <c r="AC15" i="74" s="1"/>
  <c r="AH5" i="74"/>
  <c r="AE14" i="74"/>
  <c r="G14" i="74"/>
  <c r="E6" i="74"/>
  <c r="E7" i="74" s="1"/>
  <c r="J7" i="74" s="1"/>
  <c r="J5" i="74"/>
  <c r="X14" i="74"/>
  <c r="U6" i="74"/>
  <c r="U7" i="74" s="1"/>
  <c r="AP7" i="74"/>
  <c r="M7" i="74"/>
  <c r="P12" i="73"/>
  <c r="O12" i="73"/>
  <c r="N12" i="73"/>
  <c r="P11" i="73"/>
  <c r="O11" i="73"/>
  <c r="N11" i="73"/>
  <c r="P7" i="73"/>
  <c r="O7" i="73"/>
  <c r="N7" i="73"/>
  <c r="P10" i="73"/>
  <c r="O10" i="73"/>
  <c r="N10" i="73"/>
  <c r="P9" i="73"/>
  <c r="O9" i="73"/>
  <c r="N9" i="73"/>
  <c r="P6" i="73"/>
  <c r="O6" i="73"/>
  <c r="N6" i="73"/>
  <c r="P5" i="73"/>
  <c r="O5" i="73"/>
  <c r="N5" i="73"/>
  <c r="M5" i="73"/>
  <c r="M6" i="73" s="1"/>
  <c r="P12" i="72"/>
  <c r="O12" i="72"/>
  <c r="N12" i="72"/>
  <c r="P11" i="72"/>
  <c r="O11" i="72"/>
  <c r="N11" i="72"/>
  <c r="P7" i="72"/>
  <c r="O7" i="72"/>
  <c r="N7" i="72"/>
  <c r="P10" i="72"/>
  <c r="O10" i="72"/>
  <c r="N10" i="72"/>
  <c r="P9" i="72"/>
  <c r="O9" i="72"/>
  <c r="N9" i="72"/>
  <c r="P6" i="72"/>
  <c r="O6" i="72"/>
  <c r="N6" i="72"/>
  <c r="P5" i="72"/>
  <c r="O5" i="72"/>
  <c r="N5" i="72"/>
  <c r="M5" i="72"/>
  <c r="O14" i="72" s="1"/>
  <c r="N10" i="63"/>
  <c r="N9" i="63"/>
  <c r="N12" i="63"/>
  <c r="N11" i="63"/>
  <c r="N7" i="63"/>
  <c r="O12" i="63"/>
  <c r="O11" i="63"/>
  <c r="O7" i="63"/>
  <c r="O10" i="63"/>
  <c r="O9" i="63"/>
  <c r="O6" i="63"/>
  <c r="O5" i="63"/>
  <c r="N6" i="63"/>
  <c r="N5" i="63"/>
  <c r="M5" i="63"/>
  <c r="G6" i="42"/>
  <c r="T22" i="44"/>
  <c r="H74" i="73"/>
  <c r="G74" i="73"/>
  <c r="F74" i="73"/>
  <c r="E74" i="73"/>
  <c r="H73" i="73"/>
  <c r="G73" i="73"/>
  <c r="F73" i="73"/>
  <c r="E73" i="73"/>
  <c r="H72" i="73"/>
  <c r="G72" i="73"/>
  <c r="F72" i="73"/>
  <c r="E72" i="73"/>
  <c r="H71" i="73"/>
  <c r="G71" i="73"/>
  <c r="F71" i="73"/>
  <c r="E71" i="73"/>
  <c r="C70" i="73"/>
  <c r="AF15" i="73"/>
  <c r="X15" i="73"/>
  <c r="G15" i="73"/>
  <c r="AN12" i="73"/>
  <c r="AM12" i="73"/>
  <c r="AL12" i="73"/>
  <c r="AF12" i="73"/>
  <c r="AE12" i="73"/>
  <c r="AD12" i="73"/>
  <c r="X12" i="73"/>
  <c r="W12" i="73"/>
  <c r="V12" i="73"/>
  <c r="L12" i="73"/>
  <c r="T12" i="73" s="1"/>
  <c r="AB12" i="73" s="1"/>
  <c r="AJ12" i="73" s="1"/>
  <c r="H12" i="73"/>
  <c r="G12" i="73"/>
  <c r="F12" i="73"/>
  <c r="AN11" i="73"/>
  <c r="AM11" i="73"/>
  <c r="AL11" i="73"/>
  <c r="AF11" i="73"/>
  <c r="AE11" i="73"/>
  <c r="AD11" i="73"/>
  <c r="X11" i="73"/>
  <c r="W11" i="73"/>
  <c r="V11" i="73"/>
  <c r="L11" i="73"/>
  <c r="T11" i="73" s="1"/>
  <c r="AB11" i="73" s="1"/>
  <c r="AJ11" i="73" s="1"/>
  <c r="H11" i="73"/>
  <c r="G11" i="73"/>
  <c r="F11" i="73"/>
  <c r="AN7" i="73"/>
  <c r="AM7" i="73"/>
  <c r="AL7" i="73"/>
  <c r="AF7" i="73"/>
  <c r="AE7" i="73"/>
  <c r="AD7" i="73"/>
  <c r="X7" i="73"/>
  <c r="W7" i="73"/>
  <c r="V7" i="73"/>
  <c r="L7" i="73"/>
  <c r="T7" i="73" s="1"/>
  <c r="AJ7" i="73" s="1"/>
  <c r="H7" i="73"/>
  <c r="G7" i="73"/>
  <c r="F7" i="73"/>
  <c r="AN10" i="73"/>
  <c r="AM10" i="73"/>
  <c r="AL10" i="73"/>
  <c r="AF10" i="73"/>
  <c r="AE10" i="73"/>
  <c r="AD10" i="73"/>
  <c r="X10" i="73"/>
  <c r="W10" i="73"/>
  <c r="V10" i="73"/>
  <c r="L10" i="73"/>
  <c r="T10" i="73" s="1"/>
  <c r="AB10" i="73" s="1"/>
  <c r="AJ10" i="73" s="1"/>
  <c r="H10" i="73"/>
  <c r="G10" i="73"/>
  <c r="F10" i="73"/>
  <c r="E10" i="73"/>
  <c r="AN9" i="73"/>
  <c r="AM9" i="73"/>
  <c r="AL9" i="73"/>
  <c r="AF9" i="73"/>
  <c r="AE9" i="73"/>
  <c r="AD9" i="73"/>
  <c r="X9" i="73"/>
  <c r="W9" i="73"/>
  <c r="V9" i="73"/>
  <c r="L9" i="73"/>
  <c r="T9" i="73" s="1"/>
  <c r="AB9" i="73" s="1"/>
  <c r="AJ9" i="73" s="1"/>
  <c r="H9" i="73"/>
  <c r="G9" i="73"/>
  <c r="F9" i="73"/>
  <c r="AN6" i="73"/>
  <c r="AM6" i="73"/>
  <c r="AL6" i="73"/>
  <c r="AF6" i="73"/>
  <c r="AE6" i="73"/>
  <c r="AD6" i="73"/>
  <c r="X6" i="73"/>
  <c r="W6" i="73"/>
  <c r="V6" i="73"/>
  <c r="L6" i="73"/>
  <c r="T6" i="73" s="1"/>
  <c r="AB6" i="73" s="1"/>
  <c r="AJ6" i="73" s="1"/>
  <c r="H6" i="73"/>
  <c r="F6" i="73"/>
  <c r="AN5" i="73"/>
  <c r="AL5" i="73"/>
  <c r="AK5" i="73"/>
  <c r="AK6" i="73" s="1"/>
  <c r="AK7" i="73" s="1"/>
  <c r="AF5" i="73"/>
  <c r="AD5" i="73"/>
  <c r="AC5" i="73"/>
  <c r="AC6" i="73" s="1"/>
  <c r="AC7" i="73" s="1"/>
  <c r="AO17" i="73" s="1"/>
  <c r="X5" i="73"/>
  <c r="V5" i="73"/>
  <c r="U5" i="73"/>
  <c r="U6" i="73" s="1"/>
  <c r="U7" i="73" s="1"/>
  <c r="L5" i="73"/>
  <c r="T5" i="73" s="1"/>
  <c r="AB5" i="73" s="1"/>
  <c r="AJ5" i="73" s="1"/>
  <c r="H5" i="73"/>
  <c r="F5" i="73"/>
  <c r="E5" i="73"/>
  <c r="G14" i="73" s="1"/>
  <c r="AC4" i="73"/>
  <c r="U4" i="73"/>
  <c r="M4" i="73"/>
  <c r="AK4" i="73" s="1"/>
  <c r="AE12" i="72"/>
  <c r="AE11" i="72"/>
  <c r="AE7" i="72"/>
  <c r="AE10" i="72"/>
  <c r="AE9" i="72"/>
  <c r="AE6" i="72"/>
  <c r="W12" i="72"/>
  <c r="W11" i="72"/>
  <c r="W7" i="72"/>
  <c r="W10" i="72"/>
  <c r="W9" i="72"/>
  <c r="W6" i="72"/>
  <c r="G12" i="72"/>
  <c r="G11" i="72"/>
  <c r="G7" i="72"/>
  <c r="G10" i="72"/>
  <c r="G9" i="72"/>
  <c r="H74" i="72"/>
  <c r="G74" i="72"/>
  <c r="F74" i="72"/>
  <c r="E74" i="72"/>
  <c r="H73" i="72"/>
  <c r="G73" i="72"/>
  <c r="F73" i="72"/>
  <c r="E73" i="72"/>
  <c r="H72" i="72"/>
  <c r="G72" i="72"/>
  <c r="F72" i="72"/>
  <c r="E72" i="72"/>
  <c r="H71" i="72"/>
  <c r="G71" i="72"/>
  <c r="F71" i="72"/>
  <c r="E71" i="72"/>
  <c r="C70" i="72"/>
  <c r="AF15" i="72"/>
  <c r="X15" i="72"/>
  <c r="G15" i="72"/>
  <c r="AN12" i="72"/>
  <c r="AM12" i="72"/>
  <c r="AL12" i="72"/>
  <c r="AF12" i="72"/>
  <c r="AD12" i="72"/>
  <c r="X12" i="72"/>
  <c r="V12" i="72"/>
  <c r="L12" i="72"/>
  <c r="T12" i="72" s="1"/>
  <c r="AB12" i="72" s="1"/>
  <c r="AJ12" i="72" s="1"/>
  <c r="H12" i="72"/>
  <c r="F12" i="72"/>
  <c r="AN11" i="72"/>
  <c r="AM11" i="72"/>
  <c r="AL11" i="72"/>
  <c r="AF11" i="72"/>
  <c r="AD11" i="72"/>
  <c r="X11" i="72"/>
  <c r="V11" i="72"/>
  <c r="L11" i="72"/>
  <c r="T11" i="72" s="1"/>
  <c r="AB11" i="72" s="1"/>
  <c r="AJ11" i="72" s="1"/>
  <c r="H11" i="72"/>
  <c r="F11" i="72"/>
  <c r="AN7" i="72"/>
  <c r="AM7" i="72"/>
  <c r="AL7" i="72"/>
  <c r="AF7" i="72"/>
  <c r="AD7" i="72"/>
  <c r="X7" i="72"/>
  <c r="V7" i="72"/>
  <c r="L7" i="72"/>
  <c r="AB7" i="72" s="1"/>
  <c r="H7" i="72"/>
  <c r="F7" i="72"/>
  <c r="AN10" i="72"/>
  <c r="AM10" i="72"/>
  <c r="AL10" i="72"/>
  <c r="AF10" i="72"/>
  <c r="AD10" i="72"/>
  <c r="X10" i="72"/>
  <c r="V10" i="72"/>
  <c r="L10" i="72"/>
  <c r="T10" i="72" s="1"/>
  <c r="AB10" i="72" s="1"/>
  <c r="AJ10" i="72" s="1"/>
  <c r="H10" i="72"/>
  <c r="F10" i="72"/>
  <c r="E10" i="72"/>
  <c r="AN9" i="72"/>
  <c r="AM9" i="72"/>
  <c r="AL9" i="72"/>
  <c r="AF9" i="72"/>
  <c r="AD9" i="72"/>
  <c r="X9" i="72"/>
  <c r="V9" i="72"/>
  <c r="L9" i="72"/>
  <c r="T9" i="72" s="1"/>
  <c r="AB9" i="72" s="1"/>
  <c r="AJ9" i="72" s="1"/>
  <c r="H9" i="72"/>
  <c r="F9" i="72"/>
  <c r="AN6" i="72"/>
  <c r="AM6" i="72"/>
  <c r="AL6" i="72"/>
  <c r="AF6" i="72"/>
  <c r="AD6" i="72"/>
  <c r="X6" i="72"/>
  <c r="V6" i="72"/>
  <c r="L6" i="72"/>
  <c r="T6" i="72" s="1"/>
  <c r="AB6" i="72" s="1"/>
  <c r="AJ6" i="72" s="1"/>
  <c r="H6" i="72"/>
  <c r="F6" i="72"/>
  <c r="AN5" i="72"/>
  <c r="AL5" i="72"/>
  <c r="AK5" i="72"/>
  <c r="AN14" i="72" s="1"/>
  <c r="AF5" i="72"/>
  <c r="AD5" i="72"/>
  <c r="AC5" i="72"/>
  <c r="AF14" i="72" s="1"/>
  <c r="X5" i="72"/>
  <c r="V5" i="72"/>
  <c r="U5" i="72"/>
  <c r="X14" i="72" s="1"/>
  <c r="L5" i="72"/>
  <c r="T5" i="72" s="1"/>
  <c r="AB5" i="72" s="1"/>
  <c r="AJ5" i="72" s="1"/>
  <c r="H5" i="72"/>
  <c r="F5" i="72"/>
  <c r="E5" i="72"/>
  <c r="G14" i="72" s="1"/>
  <c r="AC4" i="72"/>
  <c r="U4" i="72"/>
  <c r="M4" i="72"/>
  <c r="AK4" i="72" s="1"/>
  <c r="F144" i="49"/>
  <c r="D143" i="49" a="1"/>
  <c r="D143" i="49" s="1"/>
  <c r="AM5" i="34"/>
  <c r="AM6" i="34"/>
  <c r="AM7" i="34"/>
  <c r="AM8" i="34"/>
  <c r="AM9" i="34"/>
  <c r="AM10" i="34"/>
  <c r="AM11" i="34"/>
  <c r="AM13" i="34"/>
  <c r="AM89" i="34"/>
  <c r="AM90" i="34"/>
  <c r="AM91" i="34"/>
  <c r="AM92" i="34"/>
  <c r="AM93" i="34"/>
  <c r="AM94" i="34"/>
  <c r="AM95" i="34"/>
  <c r="AM96" i="34"/>
  <c r="H86" i="34"/>
  <c r="H87" i="34"/>
  <c r="H88" i="34"/>
  <c r="H89" i="34"/>
  <c r="H90" i="34"/>
  <c r="H91" i="34"/>
  <c r="H92" i="34"/>
  <c r="H93" i="34"/>
  <c r="H94" i="34"/>
  <c r="H95" i="34"/>
  <c r="H96" i="34"/>
  <c r="H85" i="34"/>
  <c r="AM14" i="34"/>
  <c r="AM15" i="34"/>
  <c r="AM16" i="34"/>
  <c r="AM17" i="34"/>
  <c r="AM19" i="34"/>
  <c r="AM20" i="34"/>
  <c r="AM21" i="34"/>
  <c r="AM22" i="34"/>
  <c r="AM23" i="34"/>
  <c r="AM24" i="34"/>
  <c r="AM25" i="34"/>
  <c r="AM26" i="34"/>
  <c r="AM28" i="34"/>
  <c r="AM29" i="34"/>
  <c r="AM30" i="34"/>
  <c r="AM31" i="34"/>
  <c r="AM33" i="34"/>
  <c r="AM34" i="34"/>
  <c r="AM35" i="34"/>
  <c r="AM36" i="34"/>
  <c r="AM37" i="34"/>
  <c r="AM38" i="34"/>
  <c r="AM39" i="34"/>
  <c r="AM40" i="34"/>
  <c r="AM41" i="34"/>
  <c r="AM43" i="34"/>
  <c r="AM44" i="34"/>
  <c r="AM45" i="34"/>
  <c r="AM46" i="34"/>
  <c r="AM47" i="34"/>
  <c r="AM48" i="34"/>
  <c r="AM49" i="34"/>
  <c r="AM50" i="34"/>
  <c r="AM51" i="34"/>
  <c r="AM53" i="34"/>
  <c r="AM54" i="34"/>
  <c r="AM55" i="34"/>
  <c r="AM56" i="34"/>
  <c r="AM57" i="34"/>
  <c r="AM59" i="34"/>
  <c r="AM60" i="34"/>
  <c r="AM61" i="34"/>
  <c r="AM62" i="34"/>
  <c r="AM63" i="34"/>
  <c r="AM64" i="34"/>
  <c r="AM65" i="34"/>
  <c r="AM66" i="34"/>
  <c r="AM67" i="34"/>
  <c r="AM68" i="34"/>
  <c r="AM69" i="34"/>
  <c r="AM70" i="34"/>
  <c r="AM71" i="34"/>
  <c r="AM72" i="34"/>
  <c r="AM73" i="34"/>
  <c r="AM74" i="34"/>
  <c r="AM75" i="34"/>
  <c r="AM76" i="34"/>
  <c r="AM77" i="34"/>
  <c r="AM78" i="34"/>
  <c r="AM80" i="34"/>
  <c r="AM81" i="34"/>
  <c r="AM82" i="34"/>
  <c r="AM83" i="34"/>
  <c r="AM97" i="34"/>
  <c r="AM98" i="34"/>
  <c r="AM99" i="34"/>
  <c r="AM100" i="34"/>
  <c r="AM101" i="34"/>
  <c r="AM102" i="34"/>
  <c r="AM104" i="34"/>
  <c r="AM105" i="34"/>
  <c r="AM106" i="34"/>
  <c r="AM107" i="34"/>
  <c r="AM108" i="34"/>
  <c r="AM109" i="34"/>
  <c r="AM110" i="34"/>
  <c r="AM111" i="34"/>
  <c r="AM112" i="34"/>
  <c r="AM113" i="34"/>
  <c r="AM114" i="34"/>
  <c r="AM115" i="34"/>
  <c r="AM116" i="34"/>
  <c r="AM117" i="34"/>
  <c r="AM120" i="34"/>
  <c r="AM121" i="34"/>
  <c r="AM122" i="34"/>
  <c r="AM123" i="34"/>
  <c r="AM124" i="34"/>
  <c r="AM125" i="34"/>
  <c r="AM126" i="34"/>
  <c r="AM127" i="34"/>
  <c r="AM128" i="34"/>
  <c r="H60" i="34"/>
  <c r="H61" i="34"/>
  <c r="H62" i="34"/>
  <c r="H63" i="34"/>
  <c r="H64" i="34"/>
  <c r="H65" i="34"/>
  <c r="H66" i="34"/>
  <c r="H67" i="34"/>
  <c r="H68" i="34"/>
  <c r="H59" i="34"/>
  <c r="Z21" i="71"/>
  <c r="Y21" i="71"/>
  <c r="X21" i="71"/>
  <c r="Z20" i="71"/>
  <c r="Y20" i="71"/>
  <c r="X20" i="71"/>
  <c r="Z19" i="71"/>
  <c r="Y19" i="71"/>
  <c r="X19" i="71"/>
  <c r="Z18" i="71"/>
  <c r="Y18" i="71"/>
  <c r="X18" i="71"/>
  <c r="Z17" i="71"/>
  <c r="Y17" i="71"/>
  <c r="X17" i="71"/>
  <c r="Z16" i="71"/>
  <c r="Y16" i="71"/>
  <c r="X16" i="71"/>
  <c r="Z15" i="71"/>
  <c r="Y15" i="71"/>
  <c r="X15" i="71"/>
  <c r="Z14" i="71"/>
  <c r="Y14" i="71"/>
  <c r="X14" i="71"/>
  <c r="Z13" i="71"/>
  <c r="Y13" i="71"/>
  <c r="X13" i="71"/>
  <c r="Z12" i="71"/>
  <c r="Y12" i="71"/>
  <c r="X12" i="71"/>
  <c r="Z11" i="71"/>
  <c r="Y11" i="71"/>
  <c r="X11" i="71"/>
  <c r="Z10" i="71"/>
  <c r="Y10" i="71"/>
  <c r="X10" i="71"/>
  <c r="Z9" i="71"/>
  <c r="Y9" i="71"/>
  <c r="X9" i="71"/>
  <c r="Z8" i="71"/>
  <c r="Y8" i="71"/>
  <c r="X8" i="71"/>
  <c r="Z7" i="71"/>
  <c r="Y7" i="71"/>
  <c r="X7" i="71"/>
  <c r="Z6" i="71"/>
  <c r="Y6" i="71"/>
  <c r="X6" i="71"/>
  <c r="P21" i="71"/>
  <c r="P20" i="71"/>
  <c r="P19" i="71"/>
  <c r="P18" i="71"/>
  <c r="P17" i="71"/>
  <c r="P16" i="71"/>
  <c r="P15" i="71"/>
  <c r="P14" i="71"/>
  <c r="P13" i="71"/>
  <c r="P12" i="71"/>
  <c r="P11" i="71"/>
  <c r="P10" i="71"/>
  <c r="P9" i="71"/>
  <c r="P8" i="71"/>
  <c r="T8" i="71" s="1"/>
  <c r="P7" i="71"/>
  <c r="T7" i="71" s="1"/>
  <c r="P6" i="71"/>
  <c r="R6" i="71" s="1"/>
  <c r="Q21" i="71"/>
  <c r="U21" i="71" s="1"/>
  <c r="U20" i="71"/>
  <c r="Q20" i="71"/>
  <c r="Q19" i="71"/>
  <c r="U19" i="71" s="1"/>
  <c r="Q18" i="71"/>
  <c r="U18" i="71" s="1"/>
  <c r="Q17" i="71"/>
  <c r="U17" i="71" s="1"/>
  <c r="U16" i="71"/>
  <c r="Q16" i="71"/>
  <c r="Q15" i="71"/>
  <c r="U15" i="71" s="1"/>
  <c r="Q14" i="71"/>
  <c r="U14" i="71" s="1"/>
  <c r="Q13" i="71"/>
  <c r="U13" i="71" s="1"/>
  <c r="U12" i="71"/>
  <c r="Q12" i="71"/>
  <c r="Q11" i="71"/>
  <c r="U11" i="71" s="1"/>
  <c r="Q10" i="71"/>
  <c r="U10" i="71" s="1"/>
  <c r="Q9" i="71"/>
  <c r="U9" i="71" s="1"/>
  <c r="U8" i="71"/>
  <c r="Q8" i="71"/>
  <c r="Q7" i="71"/>
  <c r="U7" i="71" s="1"/>
  <c r="U6" i="71"/>
  <c r="T6" i="71"/>
  <c r="Q6" i="71"/>
  <c r="N21" i="71"/>
  <c r="M21" i="71"/>
  <c r="L21" i="71"/>
  <c r="N20" i="71"/>
  <c r="M20" i="71"/>
  <c r="L20" i="71"/>
  <c r="N19" i="71"/>
  <c r="M19" i="71"/>
  <c r="L19" i="71"/>
  <c r="N18" i="71"/>
  <c r="M18" i="71"/>
  <c r="L18" i="71"/>
  <c r="N17" i="71"/>
  <c r="M17" i="71"/>
  <c r="L17" i="71"/>
  <c r="N16" i="71"/>
  <c r="M16" i="71"/>
  <c r="L16" i="71"/>
  <c r="N15" i="71"/>
  <c r="M15" i="71"/>
  <c r="L15" i="71"/>
  <c r="N14" i="71"/>
  <c r="M14" i="71"/>
  <c r="L14" i="71"/>
  <c r="N13" i="71"/>
  <c r="M13" i="71"/>
  <c r="L13" i="71"/>
  <c r="N12" i="71"/>
  <c r="M12" i="71"/>
  <c r="L12" i="71"/>
  <c r="N11" i="71"/>
  <c r="M11" i="71"/>
  <c r="L11" i="71"/>
  <c r="N10" i="71"/>
  <c r="M10" i="71"/>
  <c r="L10" i="71"/>
  <c r="N9" i="71"/>
  <c r="M9" i="71"/>
  <c r="L9" i="71"/>
  <c r="N8" i="71"/>
  <c r="M8" i="71"/>
  <c r="L8" i="71"/>
  <c r="N7" i="71"/>
  <c r="M7" i="71"/>
  <c r="L7" i="71"/>
  <c r="N6" i="71"/>
  <c r="M6" i="71"/>
  <c r="L6" i="71"/>
  <c r="J21" i="71"/>
  <c r="I21" i="71"/>
  <c r="H21" i="71"/>
  <c r="E21" i="71"/>
  <c r="D21" i="71"/>
  <c r="F21" i="71" s="1"/>
  <c r="J20" i="71"/>
  <c r="I20" i="71"/>
  <c r="H20" i="71"/>
  <c r="F20" i="71"/>
  <c r="E20" i="71"/>
  <c r="D20" i="71"/>
  <c r="J19" i="71"/>
  <c r="I19" i="71"/>
  <c r="H19" i="71"/>
  <c r="E19" i="71"/>
  <c r="D19" i="71"/>
  <c r="F19" i="71" s="1"/>
  <c r="J18" i="71"/>
  <c r="I18" i="71"/>
  <c r="H18" i="71"/>
  <c r="F18" i="71"/>
  <c r="E18" i="71"/>
  <c r="D18" i="71"/>
  <c r="J17" i="71"/>
  <c r="I17" i="71"/>
  <c r="H17" i="71"/>
  <c r="E17" i="71"/>
  <c r="D17" i="71"/>
  <c r="F17" i="71" s="1"/>
  <c r="J16" i="71"/>
  <c r="I16" i="71"/>
  <c r="H16" i="71"/>
  <c r="F16" i="71"/>
  <c r="E16" i="71"/>
  <c r="D16" i="71"/>
  <c r="J15" i="71"/>
  <c r="I15" i="71"/>
  <c r="H15" i="71"/>
  <c r="E15" i="71"/>
  <c r="D15" i="71"/>
  <c r="F15" i="71" s="1"/>
  <c r="J14" i="71"/>
  <c r="I14" i="71"/>
  <c r="H14" i="71"/>
  <c r="E14" i="71"/>
  <c r="D14" i="71"/>
  <c r="F14" i="71"/>
  <c r="J13" i="71"/>
  <c r="I13" i="71"/>
  <c r="H13" i="71"/>
  <c r="E13" i="71"/>
  <c r="D13" i="71"/>
  <c r="F13" i="71" s="1"/>
  <c r="J12" i="71"/>
  <c r="I12" i="71"/>
  <c r="H12" i="71"/>
  <c r="E12" i="71"/>
  <c r="D12" i="71"/>
  <c r="F12" i="71" s="1"/>
  <c r="J11" i="71"/>
  <c r="I11" i="71"/>
  <c r="H11" i="71"/>
  <c r="F11" i="71"/>
  <c r="E11" i="71"/>
  <c r="D11" i="71"/>
  <c r="J10" i="71"/>
  <c r="I10" i="71"/>
  <c r="H10" i="71"/>
  <c r="E10" i="71"/>
  <c r="D10" i="71"/>
  <c r="F10" i="71" s="1"/>
  <c r="J9" i="71"/>
  <c r="I9" i="71"/>
  <c r="H9" i="71"/>
  <c r="E9" i="71"/>
  <c r="D9" i="71"/>
  <c r="F9" i="71" s="1"/>
  <c r="J8" i="71"/>
  <c r="I8" i="71"/>
  <c r="H8" i="71"/>
  <c r="F8" i="71"/>
  <c r="E8" i="71"/>
  <c r="D8" i="71"/>
  <c r="J7" i="71"/>
  <c r="I7" i="71"/>
  <c r="H7" i="71"/>
  <c r="E7" i="71"/>
  <c r="D7" i="71"/>
  <c r="F7" i="71" s="1"/>
  <c r="J6" i="71"/>
  <c r="I6" i="71"/>
  <c r="H6" i="71"/>
  <c r="E6" i="71"/>
  <c r="D6" i="71"/>
  <c r="F6" i="71" s="1"/>
  <c r="W15" i="77" l="1"/>
  <c r="Y15" i="77" s="1"/>
  <c r="U15" i="77" s="1"/>
  <c r="AM15" i="77"/>
  <c r="AE14" i="77"/>
  <c r="AG14" i="77" s="1"/>
  <c r="AC14" i="77" s="1"/>
  <c r="W14" i="77"/>
  <c r="P14" i="77"/>
  <c r="Q14" i="77" s="1"/>
  <c r="M14" i="77" s="1"/>
  <c r="H14" i="77"/>
  <c r="I14" i="77" s="1"/>
  <c r="E14" i="77" s="1"/>
  <c r="AO14" i="77"/>
  <c r="AK14" i="77" s="1"/>
  <c r="H15" i="77"/>
  <c r="I15" i="77" s="1"/>
  <c r="E15" i="77" s="1"/>
  <c r="AP6" i="77"/>
  <c r="R7" i="74"/>
  <c r="AP9" i="74"/>
  <c r="AK11" i="74"/>
  <c r="H15" i="74"/>
  <c r="I15" i="74" s="1"/>
  <c r="E15" i="74" s="1"/>
  <c r="W15" i="74"/>
  <c r="Y15" i="74" s="1"/>
  <c r="U15" i="74" s="1"/>
  <c r="AO15" i="74"/>
  <c r="AK15" i="74" s="1"/>
  <c r="P15" i="74"/>
  <c r="W14" i="74"/>
  <c r="Y14" i="74" s="1"/>
  <c r="U14" i="74" s="1"/>
  <c r="Q14" i="74"/>
  <c r="M14" i="74" s="1"/>
  <c r="AG14" i="74"/>
  <c r="AC14" i="74" s="1"/>
  <c r="Z7" i="74"/>
  <c r="AK11" i="77"/>
  <c r="AN15" i="77"/>
  <c r="AO15" i="77" s="1"/>
  <c r="AK15" i="77" s="1"/>
  <c r="AP9" i="77"/>
  <c r="AH6" i="77"/>
  <c r="O15" i="77"/>
  <c r="Q15" i="77" s="1"/>
  <c r="M15" i="77" s="1"/>
  <c r="M10" i="77"/>
  <c r="AT5" i="77"/>
  <c r="AU4" i="77" s="1"/>
  <c r="AH7" i="77"/>
  <c r="Y14" i="77"/>
  <c r="U14" i="77" s="1"/>
  <c r="J9" i="74"/>
  <c r="M9" i="74"/>
  <c r="R9" i="74" s="1"/>
  <c r="J6" i="74"/>
  <c r="I14" i="74"/>
  <c r="E14" i="74" s="1"/>
  <c r="Z6" i="74"/>
  <c r="AO7" i="73"/>
  <c r="O14" i="73"/>
  <c r="AO11" i="73"/>
  <c r="Q11" i="73"/>
  <c r="Y11" i="73"/>
  <c r="Z11" i="73" s="1"/>
  <c r="Q11" i="72"/>
  <c r="AG11" i="72"/>
  <c r="AH11" i="72" s="1"/>
  <c r="I7" i="72"/>
  <c r="I9" i="72"/>
  <c r="J9" i="72" s="1"/>
  <c r="Y6" i="72"/>
  <c r="M9" i="73"/>
  <c r="M7" i="73"/>
  <c r="AG10" i="73"/>
  <c r="AH10" i="73" s="1"/>
  <c r="AO9" i="73"/>
  <c r="I10" i="73"/>
  <c r="J10" i="73" s="1"/>
  <c r="Y10" i="73"/>
  <c r="Z10" i="73" s="1"/>
  <c r="Y12" i="73"/>
  <c r="Z12" i="73" s="1"/>
  <c r="AO12" i="73"/>
  <c r="AO6" i="73"/>
  <c r="AG7" i="73"/>
  <c r="AH7" i="73" s="1"/>
  <c r="I12" i="73"/>
  <c r="J12" i="73" s="1"/>
  <c r="AK9" i="73"/>
  <c r="AK11" i="73" s="1"/>
  <c r="AK10" i="73" s="1"/>
  <c r="AK12" i="73" s="1"/>
  <c r="Q6" i="73"/>
  <c r="Y6" i="73"/>
  <c r="Z6" i="73" s="1"/>
  <c r="AG6" i="73"/>
  <c r="AH6" i="73" s="1"/>
  <c r="AO10" i="73"/>
  <c r="Q7" i="73"/>
  <c r="AF14" i="73"/>
  <c r="Q9" i="73"/>
  <c r="R9" i="73" s="1"/>
  <c r="I9" i="73"/>
  <c r="Y9" i="73"/>
  <c r="Z9" i="73" s="1"/>
  <c r="AG9" i="73"/>
  <c r="AH9" i="73" s="1"/>
  <c r="Q10" i="73"/>
  <c r="I7" i="73"/>
  <c r="I11" i="73"/>
  <c r="J11" i="73" s="1"/>
  <c r="AO10" i="72"/>
  <c r="Q10" i="72"/>
  <c r="AG7" i="72"/>
  <c r="Y9" i="72"/>
  <c r="Z9" i="72" s="1"/>
  <c r="AO11" i="72"/>
  <c r="Y10" i="72"/>
  <c r="Z10" i="72" s="1"/>
  <c r="I11" i="72"/>
  <c r="J11" i="72" s="1"/>
  <c r="AO6" i="72"/>
  <c r="AO12" i="72"/>
  <c r="U6" i="72"/>
  <c r="U7" i="72" s="1"/>
  <c r="Q6" i="72"/>
  <c r="AK6" i="72"/>
  <c r="AK7" i="72" s="1"/>
  <c r="AO9" i="72"/>
  <c r="I10" i="72"/>
  <c r="T7" i="72"/>
  <c r="AJ7" i="72" s="1"/>
  <c r="Q12" i="72"/>
  <c r="Y12" i="72"/>
  <c r="Z12" i="72" s="1"/>
  <c r="E6" i="72"/>
  <c r="E7" i="72" s="1"/>
  <c r="J7" i="72" s="1"/>
  <c r="AT4" i="72"/>
  <c r="Q9" i="72"/>
  <c r="AO7" i="72"/>
  <c r="I12" i="72"/>
  <c r="J12" i="72" s="1"/>
  <c r="Q12" i="73"/>
  <c r="AG12" i="73"/>
  <c r="Y7" i="73"/>
  <c r="AG11" i="73"/>
  <c r="AH11" i="73" s="1"/>
  <c r="AB7" i="73"/>
  <c r="X14" i="73"/>
  <c r="AN14" i="73"/>
  <c r="AT4" i="73"/>
  <c r="E6" i="73"/>
  <c r="E7" i="73" s="1"/>
  <c r="AG12" i="72"/>
  <c r="AH12" i="72" s="1"/>
  <c r="AG10" i="72"/>
  <c r="AH10" i="72" s="1"/>
  <c r="AG9" i="72"/>
  <c r="AH9" i="72" s="1"/>
  <c r="AG6" i="72"/>
  <c r="Y11" i="72"/>
  <c r="Z11" i="72" s="1"/>
  <c r="Y7" i="72"/>
  <c r="Q7" i="72"/>
  <c r="M6" i="72"/>
  <c r="AC6" i="72"/>
  <c r="AC7" i="72" s="1"/>
  <c r="R8" i="71"/>
  <c r="V8" i="71" s="1"/>
  <c r="T9" i="71"/>
  <c r="V6" i="71"/>
  <c r="R7" i="71"/>
  <c r="R9" i="71"/>
  <c r="M10" i="74" l="1"/>
  <c r="AK10" i="74"/>
  <c r="AP11" i="74"/>
  <c r="R10" i="77"/>
  <c r="M12" i="77"/>
  <c r="R12" i="77" s="1"/>
  <c r="M11" i="77"/>
  <c r="R11" i="77" s="1"/>
  <c r="AK10" i="77"/>
  <c r="AP11" i="77"/>
  <c r="AT5" i="74"/>
  <c r="AU4" i="74" s="1"/>
  <c r="O15" i="74"/>
  <c r="Q15" i="74" s="1"/>
  <c r="M15" i="74" s="1"/>
  <c r="M11" i="74"/>
  <c r="R11" i="74" s="1"/>
  <c r="M12" i="74"/>
  <c r="R12" i="74" s="1"/>
  <c r="R10" i="74"/>
  <c r="AE15" i="73"/>
  <c r="AG15" i="73" s="1"/>
  <c r="AC15" i="73" s="1"/>
  <c r="AH12" i="73"/>
  <c r="AM15" i="73"/>
  <c r="AH6" i="72"/>
  <c r="AH7" i="72"/>
  <c r="M7" i="72"/>
  <c r="R7" i="72" s="1"/>
  <c r="M9" i="72"/>
  <c r="R9" i="72" s="1"/>
  <c r="P15" i="73"/>
  <c r="O15" i="73"/>
  <c r="AT5" i="73"/>
  <c r="AU4" i="73" s="1"/>
  <c r="M10" i="73"/>
  <c r="W15" i="73"/>
  <c r="Y15" i="73" s="1"/>
  <c r="U15" i="73" s="1"/>
  <c r="Z7" i="73"/>
  <c r="H15" i="73"/>
  <c r="I15" i="73" s="1"/>
  <c r="E15" i="73" s="1"/>
  <c r="J9" i="73"/>
  <c r="J7" i="73"/>
  <c r="AN15" i="73"/>
  <c r="R7" i="73"/>
  <c r="R6" i="73"/>
  <c r="Z7" i="72"/>
  <c r="R6" i="72"/>
  <c r="AE15" i="72"/>
  <c r="AG15" i="72" s="1"/>
  <c r="AC15" i="72" s="1"/>
  <c r="Z6" i="72"/>
  <c r="AM15" i="72"/>
  <c r="P15" i="72"/>
  <c r="H15" i="72"/>
  <c r="I15" i="72" s="1"/>
  <c r="E15" i="72" s="1"/>
  <c r="J10" i="72"/>
  <c r="W15" i="72"/>
  <c r="Y15" i="72" s="1"/>
  <c r="U15" i="72" s="1"/>
  <c r="AO17" i="72"/>
  <c r="AK9" i="72" s="1"/>
  <c r="T11" i="71"/>
  <c r="R11" i="71"/>
  <c r="V9" i="71"/>
  <c r="V7" i="71"/>
  <c r="AK12" i="74" l="1"/>
  <c r="AP12" i="74" s="1"/>
  <c r="AP10" i="74"/>
  <c r="AK12" i="77"/>
  <c r="AP12" i="77" s="1"/>
  <c r="AP10" i="77"/>
  <c r="AO15" i="73"/>
  <c r="AK15" i="73" s="1"/>
  <c r="Q15" i="73"/>
  <c r="M15" i="73" s="1"/>
  <c r="O15" i="72"/>
  <c r="Q15" i="72" s="1"/>
  <c r="M15" i="72" s="1"/>
  <c r="AT5" i="72"/>
  <c r="AU4" i="72" s="1"/>
  <c r="M10" i="72"/>
  <c r="M12" i="73"/>
  <c r="R12" i="73" s="1"/>
  <c r="M11" i="73"/>
  <c r="R11" i="73" s="1"/>
  <c r="R10" i="73"/>
  <c r="AK11" i="72"/>
  <c r="AK10" i="72" s="1"/>
  <c r="AK12" i="72" s="1"/>
  <c r="AN15" i="72"/>
  <c r="AO15" i="72" s="1"/>
  <c r="AK15" i="72" s="1"/>
  <c r="R12" i="71"/>
  <c r="T12" i="71"/>
  <c r="V11" i="71"/>
  <c r="R10" i="71"/>
  <c r="T10" i="71"/>
  <c r="M12" i="72" l="1"/>
  <c r="R12" i="72" s="1"/>
  <c r="M11" i="72"/>
  <c r="R11" i="72" s="1"/>
  <c r="R10" i="72"/>
  <c r="V12" i="71"/>
  <c r="V10" i="71"/>
  <c r="T14" i="71"/>
  <c r="R14" i="71"/>
  <c r="T13" i="71" l="1"/>
  <c r="R13" i="71"/>
  <c r="T15" i="71"/>
  <c r="R15" i="71"/>
  <c r="V14" i="71"/>
  <c r="V13" i="71" l="1"/>
  <c r="T17" i="71"/>
  <c r="R17" i="71"/>
  <c r="V15" i="71"/>
  <c r="R18" i="71" l="1"/>
  <c r="T18" i="71"/>
  <c r="R16" i="71"/>
  <c r="T16" i="71"/>
  <c r="V17" i="71"/>
  <c r="V18" i="71" l="1"/>
  <c r="V16" i="71"/>
  <c r="R20" i="71"/>
  <c r="V20" i="71" s="1"/>
  <c r="T20" i="71"/>
  <c r="T21" i="71" l="1"/>
  <c r="R21" i="71"/>
  <c r="V21" i="71" s="1"/>
  <c r="T19" i="71"/>
  <c r="R19" i="71"/>
  <c r="V19" i="71" s="1"/>
  <c r="V128" i="34" l="1"/>
  <c r="V127" i="34"/>
  <c r="V126" i="34"/>
  <c r="V125" i="34"/>
  <c r="V124" i="34"/>
  <c r="W124" i="34" s="1"/>
  <c r="V123" i="34"/>
  <c r="W123" i="34" s="1"/>
  <c r="V122" i="34"/>
  <c r="V121" i="34"/>
  <c r="V120" i="34"/>
  <c r="V119" i="34"/>
  <c r="V118" i="34"/>
  <c r="V117" i="34"/>
  <c r="V116" i="34"/>
  <c r="V115" i="34"/>
  <c r="W115" i="34" s="1"/>
  <c r="V114" i="34"/>
  <c r="V113" i="34"/>
  <c r="V112" i="34"/>
  <c r="V111" i="34"/>
  <c r="V110" i="34"/>
  <c r="V109" i="34"/>
  <c r="W109" i="34" s="1"/>
  <c r="V108" i="34"/>
  <c r="V107" i="34"/>
  <c r="W107" i="34" s="1"/>
  <c r="V106" i="34"/>
  <c r="V105" i="34"/>
  <c r="V104" i="34"/>
  <c r="V103" i="34"/>
  <c r="V102" i="34"/>
  <c r="V101" i="34"/>
  <c r="V100" i="34"/>
  <c r="V99" i="34"/>
  <c r="W99" i="34" s="1"/>
  <c r="V98" i="34"/>
  <c r="V97" i="34"/>
  <c r="W97" i="34" s="1"/>
  <c r="V96" i="34"/>
  <c r="V95" i="34"/>
  <c r="V94" i="34"/>
  <c r="V93" i="34"/>
  <c r="V92" i="34"/>
  <c r="V91" i="34"/>
  <c r="V90" i="34"/>
  <c r="V89" i="34"/>
  <c r="V88" i="34"/>
  <c r="V87" i="34"/>
  <c r="V86" i="34"/>
  <c r="V85" i="34"/>
  <c r="V84" i="34"/>
  <c r="V83" i="34"/>
  <c r="V82" i="34"/>
  <c r="V81" i="34"/>
  <c r="V80" i="34"/>
  <c r="V79" i="34"/>
  <c r="V78" i="34"/>
  <c r="V77" i="34"/>
  <c r="V76" i="34"/>
  <c r="W76" i="34" s="1"/>
  <c r="V75" i="34"/>
  <c r="W75" i="34" s="1"/>
  <c r="V74" i="34"/>
  <c r="V73" i="34"/>
  <c r="V72" i="34"/>
  <c r="V71" i="34"/>
  <c r="V70" i="34"/>
  <c r="V69" i="34"/>
  <c r="V68" i="34"/>
  <c r="V67" i="34"/>
  <c r="V66" i="34"/>
  <c r="V65" i="34"/>
  <c r="V64" i="34"/>
  <c r="V63" i="34"/>
  <c r="V62" i="34"/>
  <c r="V61" i="34"/>
  <c r="V60" i="34"/>
  <c r="V59" i="34"/>
  <c r="V58" i="34"/>
  <c r="V57" i="34"/>
  <c r="V56" i="34"/>
  <c r="V55" i="34"/>
  <c r="V54" i="34"/>
  <c r="V53" i="34"/>
  <c r="V52" i="34"/>
  <c r="V51" i="34"/>
  <c r="V50" i="34"/>
  <c r="V49" i="34"/>
  <c r="V48" i="34"/>
  <c r="V47" i="34"/>
  <c r="V46" i="34"/>
  <c r="V45" i="34"/>
  <c r="V44" i="34"/>
  <c r="V43" i="34"/>
  <c r="V42" i="34"/>
  <c r="V41" i="34"/>
  <c r="V40" i="34"/>
  <c r="V39" i="34"/>
  <c r="V38" i="34"/>
  <c r="V37" i="34"/>
  <c r="V36" i="34"/>
  <c r="W36" i="34" s="1"/>
  <c r="V35" i="34"/>
  <c r="W35" i="34" s="1"/>
  <c r="V34" i="34"/>
  <c r="V33" i="34"/>
  <c r="V32" i="34"/>
  <c r="V31" i="34"/>
  <c r="V30" i="34"/>
  <c r="V29" i="34"/>
  <c r="V28" i="34"/>
  <c r="V27" i="34"/>
  <c r="V26" i="34"/>
  <c r="V25" i="34"/>
  <c r="V24" i="34"/>
  <c r="V23" i="34"/>
  <c r="V22" i="34"/>
  <c r="V21" i="34"/>
  <c r="V20" i="34"/>
  <c r="W20" i="34" s="1"/>
  <c r="V19" i="34"/>
  <c r="V18" i="34"/>
  <c r="V17" i="34"/>
  <c r="V16" i="34"/>
  <c r="V15" i="34"/>
  <c r="V14" i="34"/>
  <c r="V13" i="34"/>
  <c r="V11" i="34"/>
  <c r="V10" i="34"/>
  <c r="V9" i="34"/>
  <c r="V8" i="34"/>
  <c r="V7" i="34"/>
  <c r="V6" i="34"/>
  <c r="V5" i="34"/>
  <c r="V3" i="34"/>
  <c r="AB4" i="34"/>
  <c r="AB12" i="34"/>
  <c r="AB27" i="34"/>
  <c r="AB32" i="34"/>
  <c r="AB42" i="34"/>
  <c r="AB52" i="34"/>
  <c r="AB58" i="34"/>
  <c r="AB79" i="34"/>
  <c r="AB84" i="34"/>
  <c r="AB118" i="34"/>
  <c r="AA8" i="34"/>
  <c r="W71" i="34"/>
  <c r="U57" i="34"/>
  <c r="T57" i="34"/>
  <c r="U56" i="34"/>
  <c r="T56" i="34"/>
  <c r="W16" i="34"/>
  <c r="W8" i="34"/>
  <c r="U54" i="34"/>
  <c r="T54" i="34"/>
  <c r="U128" i="34"/>
  <c r="T128" i="34"/>
  <c r="U127" i="34"/>
  <c r="T127" i="34"/>
  <c r="U126" i="34"/>
  <c r="T126" i="34"/>
  <c r="U125" i="34"/>
  <c r="T125" i="34"/>
  <c r="U124" i="34"/>
  <c r="T124" i="34"/>
  <c r="U123" i="34"/>
  <c r="T123" i="34"/>
  <c r="U122" i="34"/>
  <c r="T122" i="34"/>
  <c r="U121" i="34"/>
  <c r="T121" i="34"/>
  <c r="U120" i="34"/>
  <c r="T120" i="34"/>
  <c r="W120" i="34" s="1"/>
  <c r="U119" i="34"/>
  <c r="T119" i="34"/>
  <c r="W119" i="34" s="1"/>
  <c r="U117" i="34"/>
  <c r="W117" i="34" s="1"/>
  <c r="T117" i="34"/>
  <c r="U116" i="34"/>
  <c r="T116" i="34"/>
  <c r="U115" i="34"/>
  <c r="T115" i="34"/>
  <c r="U114" i="34"/>
  <c r="T114" i="34"/>
  <c r="U113" i="34"/>
  <c r="T113" i="34"/>
  <c r="W113" i="34" s="1"/>
  <c r="U112" i="34"/>
  <c r="T112" i="34"/>
  <c r="U111" i="34"/>
  <c r="T111" i="34"/>
  <c r="U110" i="34"/>
  <c r="T110" i="34"/>
  <c r="U109" i="34"/>
  <c r="T109" i="34"/>
  <c r="U108" i="34"/>
  <c r="T108" i="34"/>
  <c r="U107" i="34"/>
  <c r="T107" i="34"/>
  <c r="U106" i="34"/>
  <c r="T106" i="34"/>
  <c r="U105" i="34"/>
  <c r="T105" i="34"/>
  <c r="W105" i="34" s="1"/>
  <c r="U104" i="34"/>
  <c r="T104" i="34"/>
  <c r="U103" i="34"/>
  <c r="W103" i="34" s="1"/>
  <c r="T103" i="34"/>
  <c r="U102" i="34"/>
  <c r="T102" i="34"/>
  <c r="U101" i="34"/>
  <c r="T101" i="34"/>
  <c r="W101" i="34" s="1"/>
  <c r="U100" i="34"/>
  <c r="T100" i="34"/>
  <c r="U99" i="34"/>
  <c r="T99" i="34"/>
  <c r="U98" i="34"/>
  <c r="T98" i="34"/>
  <c r="U97" i="34"/>
  <c r="T97" i="34"/>
  <c r="U96" i="34"/>
  <c r="U95" i="34"/>
  <c r="U94" i="34"/>
  <c r="U93" i="34"/>
  <c r="U92" i="34"/>
  <c r="U91" i="34"/>
  <c r="U90" i="34"/>
  <c r="U89" i="34"/>
  <c r="U88" i="34"/>
  <c r="U87" i="34"/>
  <c r="U86" i="34"/>
  <c r="U85" i="34"/>
  <c r="U83" i="34"/>
  <c r="T83" i="34"/>
  <c r="U82" i="34"/>
  <c r="W82" i="34" s="1"/>
  <c r="T82" i="34"/>
  <c r="U81" i="34"/>
  <c r="T81" i="34"/>
  <c r="U80" i="34"/>
  <c r="T80" i="34"/>
  <c r="U78" i="34"/>
  <c r="T78" i="34"/>
  <c r="U77" i="34"/>
  <c r="W77" i="34" s="1"/>
  <c r="T77" i="34"/>
  <c r="U76" i="34"/>
  <c r="T76" i="34"/>
  <c r="U75" i="34"/>
  <c r="T75" i="34"/>
  <c r="U74" i="34"/>
  <c r="T74" i="34"/>
  <c r="U73" i="34"/>
  <c r="T73" i="34"/>
  <c r="U72" i="34"/>
  <c r="T72" i="34"/>
  <c r="U71" i="34"/>
  <c r="T71" i="34"/>
  <c r="U70" i="34"/>
  <c r="T70" i="34"/>
  <c r="W70" i="34" s="1"/>
  <c r="U69" i="34"/>
  <c r="T69" i="34"/>
  <c r="U68" i="34"/>
  <c r="U67" i="34"/>
  <c r="U66" i="34"/>
  <c r="U65" i="34"/>
  <c r="U64" i="34"/>
  <c r="U63" i="34"/>
  <c r="U62" i="34"/>
  <c r="U61" i="34"/>
  <c r="U60" i="34"/>
  <c r="U59" i="34"/>
  <c r="U55" i="34"/>
  <c r="T55" i="34"/>
  <c r="U53" i="34"/>
  <c r="T53" i="34"/>
  <c r="U51" i="34"/>
  <c r="T51" i="34"/>
  <c r="U50" i="34"/>
  <c r="T50" i="34"/>
  <c r="U49" i="34"/>
  <c r="T49" i="34"/>
  <c r="U48" i="34"/>
  <c r="T48" i="34"/>
  <c r="U47" i="34"/>
  <c r="T47" i="34"/>
  <c r="U46" i="34"/>
  <c r="T46" i="34"/>
  <c r="U45" i="34"/>
  <c r="T45" i="34"/>
  <c r="U44" i="34"/>
  <c r="T44" i="34"/>
  <c r="U43" i="34"/>
  <c r="T43" i="34"/>
  <c r="U41" i="34"/>
  <c r="T41" i="34"/>
  <c r="U40" i="34"/>
  <c r="T40" i="34"/>
  <c r="U39" i="34"/>
  <c r="T39" i="34"/>
  <c r="U38" i="34"/>
  <c r="T38" i="34"/>
  <c r="U37" i="34"/>
  <c r="T37" i="34"/>
  <c r="U36" i="34"/>
  <c r="T36" i="34"/>
  <c r="U35" i="34"/>
  <c r="T35" i="34"/>
  <c r="U34" i="34"/>
  <c r="T34" i="34"/>
  <c r="W34" i="34" s="1"/>
  <c r="U33" i="34"/>
  <c r="T33" i="34"/>
  <c r="U31" i="34"/>
  <c r="W31" i="34" s="1"/>
  <c r="T31" i="34"/>
  <c r="U29" i="34"/>
  <c r="T29" i="34"/>
  <c r="U28" i="34"/>
  <c r="T28" i="34"/>
  <c r="U26" i="34"/>
  <c r="T26" i="34"/>
  <c r="U25" i="34"/>
  <c r="T25" i="34"/>
  <c r="U24" i="34"/>
  <c r="T24" i="34"/>
  <c r="U23" i="34"/>
  <c r="W23" i="34" s="1"/>
  <c r="T23" i="34"/>
  <c r="U22" i="34"/>
  <c r="T22" i="34"/>
  <c r="U21" i="34"/>
  <c r="T21" i="34"/>
  <c r="U20" i="34"/>
  <c r="T20" i="34"/>
  <c r="U19" i="34"/>
  <c r="T19" i="34"/>
  <c r="U18" i="34"/>
  <c r="T18" i="34"/>
  <c r="U17" i="34"/>
  <c r="T17" i="34"/>
  <c r="U16" i="34"/>
  <c r="T16" i="34"/>
  <c r="U15" i="34"/>
  <c r="T15" i="34"/>
  <c r="U14" i="34"/>
  <c r="T14" i="34"/>
  <c r="U13" i="34"/>
  <c r="T13" i="34"/>
  <c r="U11" i="34"/>
  <c r="T11" i="34"/>
  <c r="U10" i="34"/>
  <c r="T10" i="34"/>
  <c r="U9" i="34"/>
  <c r="T9" i="34"/>
  <c r="U8" i="34"/>
  <c r="T8" i="34"/>
  <c r="U7" i="34"/>
  <c r="T7" i="34"/>
  <c r="U6" i="34"/>
  <c r="T6" i="34"/>
  <c r="U5" i="34"/>
  <c r="T5" i="34"/>
  <c r="U3" i="34"/>
  <c r="T3" i="34"/>
  <c r="I31" i="69"/>
  <c r="I30" i="69"/>
  <c r="I29" i="69"/>
  <c r="I28" i="69"/>
  <c r="I27" i="69"/>
  <c r="I26" i="69"/>
  <c r="I25" i="69"/>
  <c r="I24" i="69"/>
  <c r="I23" i="69"/>
  <c r="I22" i="69"/>
  <c r="I21" i="69"/>
  <c r="I20" i="69"/>
  <c r="I19" i="69"/>
  <c r="I18" i="69"/>
  <c r="I17" i="69"/>
  <c r="I16" i="69"/>
  <c r="I15" i="69"/>
  <c r="I14" i="69"/>
  <c r="I13" i="69"/>
  <c r="I12" i="69"/>
  <c r="W19" i="34" l="1"/>
  <c r="W51" i="34"/>
  <c r="W69" i="34"/>
  <c r="W122" i="34"/>
  <c r="W9" i="34"/>
  <c r="W22" i="34"/>
  <c r="W37" i="34"/>
  <c r="W46" i="34"/>
  <c r="W50" i="34"/>
  <c r="W72" i="34"/>
  <c r="W125" i="34"/>
  <c r="W10" i="34"/>
  <c r="W43" i="34"/>
  <c r="W74" i="34"/>
  <c r="W98" i="34"/>
  <c r="W106" i="34"/>
  <c r="W114" i="34"/>
  <c r="W14" i="34"/>
  <c r="W38" i="34"/>
  <c r="W54" i="34"/>
  <c r="W78" i="34"/>
  <c r="W102" i="34"/>
  <c r="W110" i="34"/>
  <c r="W126" i="34"/>
  <c r="W29" i="34"/>
  <c r="W17" i="34"/>
  <c r="W6" i="34"/>
  <c r="W15" i="34"/>
  <c r="W39" i="34"/>
  <c r="W47" i="34"/>
  <c r="W55" i="34"/>
  <c r="W111" i="34"/>
  <c r="W127" i="34"/>
  <c r="W24" i="34"/>
  <c r="W53" i="34"/>
  <c r="W3" i="34"/>
  <c r="W25" i="34"/>
  <c r="W45" i="34"/>
  <c r="W128" i="34"/>
  <c r="W7" i="34"/>
  <c r="W40" i="34"/>
  <c r="W48" i="34"/>
  <c r="W80" i="34"/>
  <c r="W33" i="34"/>
  <c r="W41" i="34"/>
  <c r="W49" i="34"/>
  <c r="W57" i="34"/>
  <c r="W73" i="34"/>
  <c r="W81" i="34"/>
  <c r="W121" i="34"/>
  <c r="W56" i="34"/>
  <c r="W18" i="34"/>
  <c r="W26" i="34"/>
  <c r="W83" i="34"/>
  <c r="W11" i="34"/>
  <c r="W28" i="34"/>
  <c r="W44" i="34"/>
  <c r="W100" i="34"/>
  <c r="W108" i="34"/>
  <c r="W116" i="34"/>
  <c r="W13" i="34"/>
  <c r="W21" i="34"/>
  <c r="W5" i="34"/>
  <c r="W104" i="34"/>
  <c r="W112" i="34"/>
  <c r="D1" i="70"/>
  <c r="E1" i="70"/>
  <c r="F1" i="70"/>
  <c r="G1" i="70"/>
  <c r="H1" i="70"/>
  <c r="I1" i="70"/>
  <c r="J1" i="70"/>
  <c r="K1" i="70"/>
  <c r="L72" i="70"/>
  <c r="L73" i="70"/>
  <c r="L74" i="70"/>
  <c r="L75" i="70"/>
  <c r="L76" i="70"/>
  <c r="L77" i="70"/>
  <c r="L78" i="70"/>
  <c r="L79" i="70"/>
  <c r="L80" i="70"/>
  <c r="L81" i="70"/>
  <c r="L82" i="70"/>
  <c r="L83" i="70"/>
  <c r="L84" i="70"/>
  <c r="L85" i="70"/>
  <c r="L86" i="70"/>
  <c r="L87" i="70"/>
  <c r="L88" i="70"/>
  <c r="L89" i="70"/>
  <c r="L90" i="70"/>
  <c r="L91" i="70"/>
  <c r="L92" i="70"/>
  <c r="L93" i="70"/>
  <c r="L94" i="70"/>
  <c r="L95" i="70"/>
  <c r="L96" i="70"/>
  <c r="L97" i="70"/>
  <c r="L98" i="70"/>
  <c r="L99" i="70"/>
  <c r="L100" i="70"/>
  <c r="L101" i="70"/>
  <c r="L102" i="70"/>
  <c r="L103" i="70"/>
  <c r="L104" i="70"/>
  <c r="L117" i="70"/>
  <c r="L116" i="70"/>
  <c r="L115" i="70"/>
  <c r="L114" i="70"/>
  <c r="L113" i="70"/>
  <c r="L112" i="70"/>
  <c r="L111" i="70"/>
  <c r="L110" i="70"/>
  <c r="L109" i="70"/>
  <c r="L108" i="70"/>
  <c r="L107" i="70"/>
  <c r="L106" i="70"/>
  <c r="L105" i="70"/>
  <c r="L71" i="70"/>
  <c r="L70" i="70"/>
  <c r="L69" i="70"/>
  <c r="L68" i="70"/>
  <c r="L67" i="70"/>
  <c r="L66" i="70"/>
  <c r="L65" i="70"/>
  <c r="L64" i="70"/>
  <c r="L63" i="70"/>
  <c r="L62" i="70"/>
  <c r="L61" i="70"/>
  <c r="L60" i="70"/>
  <c r="L59" i="70"/>
  <c r="L58" i="70"/>
  <c r="L57" i="70"/>
  <c r="L56" i="70"/>
  <c r="L55" i="70"/>
  <c r="L54" i="70"/>
  <c r="L53" i="70"/>
  <c r="L52" i="70"/>
  <c r="L51" i="70"/>
  <c r="L50" i="70"/>
  <c r="L49" i="70"/>
  <c r="L48" i="70"/>
  <c r="L47" i="70"/>
  <c r="L46" i="70"/>
  <c r="L45" i="70"/>
  <c r="L44" i="70"/>
  <c r="L43" i="70"/>
  <c r="L42" i="70"/>
  <c r="L41" i="70"/>
  <c r="L40" i="70"/>
  <c r="L39" i="70"/>
  <c r="L38" i="70"/>
  <c r="L37" i="70"/>
  <c r="L36" i="70"/>
  <c r="L35" i="70"/>
  <c r="L34" i="70"/>
  <c r="L33" i="70"/>
  <c r="L32" i="70"/>
  <c r="L31" i="70"/>
  <c r="L30" i="70"/>
  <c r="L29" i="70"/>
  <c r="L28" i="70"/>
  <c r="L27" i="70"/>
  <c r="L26" i="70"/>
  <c r="L25" i="70"/>
  <c r="L24" i="70"/>
  <c r="L23" i="70"/>
  <c r="L22" i="70"/>
  <c r="L21" i="70"/>
  <c r="L20" i="70"/>
  <c r="L19" i="70"/>
  <c r="L18" i="70"/>
  <c r="L17" i="70"/>
  <c r="L16" i="70"/>
  <c r="L15" i="70"/>
  <c r="L14" i="70"/>
  <c r="L13" i="70"/>
  <c r="L12" i="70"/>
  <c r="L11" i="70"/>
  <c r="L10" i="70"/>
  <c r="L9" i="70"/>
  <c r="L8" i="70"/>
  <c r="L7" i="70"/>
  <c r="L6" i="70"/>
  <c r="L5" i="70"/>
  <c r="L4" i="70"/>
  <c r="L3" i="70"/>
  <c r="L2" i="70"/>
  <c r="A45" i="70"/>
  <c r="A72" i="70"/>
  <c r="A18" i="70"/>
  <c r="A51" i="70"/>
  <c r="A8" i="70"/>
  <c r="A31" i="70"/>
  <c r="A73" i="70"/>
  <c r="A74" i="70"/>
  <c r="A46" i="70"/>
  <c r="A57" i="70"/>
  <c r="A75" i="70"/>
  <c r="A54" i="70"/>
  <c r="A48" i="70"/>
  <c r="A76" i="70"/>
  <c r="A49" i="70"/>
  <c r="A61" i="70"/>
  <c r="A56" i="70"/>
  <c r="A7" i="70"/>
  <c r="A6" i="70"/>
  <c r="A9" i="70"/>
  <c r="A77" i="70"/>
  <c r="A78" i="70"/>
  <c r="A24" i="70"/>
  <c r="A15" i="70"/>
  <c r="A3" i="70"/>
  <c r="A79" i="70"/>
  <c r="A21" i="70"/>
  <c r="A80" i="70"/>
  <c r="A81" i="70"/>
  <c r="A11" i="70"/>
  <c r="A28" i="70"/>
  <c r="A29" i="70"/>
  <c r="A23" i="70"/>
  <c r="A82" i="70"/>
  <c r="A117" i="70"/>
  <c r="A38" i="70"/>
  <c r="A83" i="70"/>
  <c r="A84" i="70"/>
  <c r="A85" i="70"/>
  <c r="A10" i="70"/>
  <c r="A5" i="70"/>
  <c r="A53" i="70"/>
  <c r="A67" i="70"/>
  <c r="A27" i="70"/>
  <c r="A13" i="70"/>
  <c r="A40" i="70"/>
  <c r="A86" i="70"/>
  <c r="A87" i="70"/>
  <c r="A41" i="70"/>
  <c r="A47" i="70"/>
  <c r="A60" i="70"/>
  <c r="A59" i="70"/>
  <c r="A65" i="70"/>
  <c r="A66" i="70"/>
  <c r="A68" i="70"/>
  <c r="A69" i="70"/>
  <c r="A70" i="70"/>
  <c r="A71" i="70"/>
  <c r="A88" i="70"/>
  <c r="A89" i="70"/>
  <c r="A90" i="70"/>
  <c r="A36" i="70"/>
  <c r="A91" i="70"/>
  <c r="A92" i="70"/>
  <c r="A93" i="70"/>
  <c r="A63" i="70"/>
  <c r="A107" i="70"/>
  <c r="A64" i="70"/>
  <c r="A94" i="70"/>
  <c r="A110" i="70"/>
  <c r="A4" i="70"/>
  <c r="A116" i="70"/>
  <c r="A105" i="70"/>
  <c r="A50" i="70"/>
  <c r="A58" i="70"/>
  <c r="A55" i="70"/>
  <c r="A32" i="70"/>
  <c r="A33" i="70"/>
  <c r="A16" i="70"/>
  <c r="A17" i="70"/>
  <c r="A19" i="70"/>
  <c r="A20" i="70"/>
  <c r="A22" i="70"/>
  <c r="A25" i="70"/>
  <c r="A26" i="70"/>
  <c r="A95" i="70"/>
  <c r="A30" i="70"/>
  <c r="A109" i="70"/>
  <c r="A52" i="70"/>
  <c r="A44" i="70"/>
  <c r="A115" i="70"/>
  <c r="A112" i="70"/>
  <c r="A96" i="70"/>
  <c r="A97" i="70"/>
  <c r="A62" i="70"/>
  <c r="A98" i="70"/>
  <c r="A99" i="70"/>
  <c r="A100" i="70"/>
  <c r="A111" i="70"/>
  <c r="A101" i="70"/>
  <c r="A102" i="70"/>
  <c r="A37" i="70"/>
  <c r="A42" i="70"/>
  <c r="A103" i="70"/>
  <c r="A108" i="70"/>
  <c r="A104" i="70"/>
  <c r="A2" i="70"/>
  <c r="A34" i="70"/>
  <c r="A14" i="70"/>
  <c r="A12" i="70"/>
  <c r="A35" i="70"/>
  <c r="A43" i="70"/>
  <c r="A39" i="70"/>
  <c r="A106" i="70"/>
  <c r="A113" i="70"/>
  <c r="A114" i="70"/>
  <c r="B45" i="70"/>
  <c r="C1" i="70"/>
  <c r="B62" i="70"/>
  <c r="B98" i="70"/>
  <c r="B99" i="70"/>
  <c r="B100" i="70"/>
  <c r="B111" i="70"/>
  <c r="B101" i="70"/>
  <c r="B102" i="70"/>
  <c r="B37" i="70"/>
  <c r="B42" i="70"/>
  <c r="B103" i="70"/>
  <c r="B108" i="70"/>
  <c r="B104" i="70"/>
  <c r="B2" i="70"/>
  <c r="B34" i="70"/>
  <c r="B14" i="70"/>
  <c r="B12" i="70"/>
  <c r="B35" i="70"/>
  <c r="B43" i="70"/>
  <c r="B39" i="70"/>
  <c r="B106" i="70"/>
  <c r="B113" i="70"/>
  <c r="B114" i="70"/>
  <c r="B63" i="70"/>
  <c r="B107" i="70"/>
  <c r="B64" i="70"/>
  <c r="B94" i="70"/>
  <c r="B110" i="70"/>
  <c r="B4" i="70"/>
  <c r="B116" i="70"/>
  <c r="B105" i="70"/>
  <c r="B50" i="70"/>
  <c r="B58" i="70"/>
  <c r="B55" i="70"/>
  <c r="B32" i="70"/>
  <c r="B33" i="70"/>
  <c r="B16" i="70"/>
  <c r="B17" i="70"/>
  <c r="B19" i="70"/>
  <c r="B20" i="70"/>
  <c r="B22" i="70"/>
  <c r="B25" i="70"/>
  <c r="B26" i="70"/>
  <c r="B95" i="70"/>
  <c r="B30" i="70"/>
  <c r="B109" i="70"/>
  <c r="B52" i="70"/>
  <c r="B44" i="70"/>
  <c r="B115" i="70"/>
  <c r="B112" i="70"/>
  <c r="B96" i="70"/>
  <c r="B97" i="70"/>
  <c r="B72" i="70"/>
  <c r="B18" i="70"/>
  <c r="B51" i="70"/>
  <c r="B8" i="70"/>
  <c r="B31" i="70"/>
  <c r="B73" i="70"/>
  <c r="B74" i="70"/>
  <c r="B46" i="70"/>
  <c r="B57" i="70"/>
  <c r="B75" i="70"/>
  <c r="B54" i="70"/>
  <c r="B48" i="70"/>
  <c r="B76" i="70"/>
  <c r="B49" i="70"/>
  <c r="B61" i="70"/>
  <c r="B56" i="70"/>
  <c r="B7" i="70"/>
  <c r="B6" i="70"/>
  <c r="B9" i="70"/>
  <c r="B77" i="70"/>
  <c r="B78" i="70"/>
  <c r="B24" i="70"/>
  <c r="B15" i="70"/>
  <c r="B3" i="70"/>
  <c r="B79" i="70"/>
  <c r="B21" i="70"/>
  <c r="B80" i="70"/>
  <c r="B81" i="70"/>
  <c r="B11" i="70"/>
  <c r="B28" i="70"/>
  <c r="B29" i="70"/>
  <c r="B23" i="70"/>
  <c r="B82" i="70"/>
  <c r="B117" i="70"/>
  <c r="B38" i="70"/>
  <c r="B83" i="70"/>
  <c r="B84" i="70"/>
  <c r="B85" i="70"/>
  <c r="B10" i="70"/>
  <c r="B5" i="70"/>
  <c r="B53" i="70"/>
  <c r="B67" i="70"/>
  <c r="B27" i="70"/>
  <c r="B13" i="70"/>
  <c r="B40" i="70"/>
  <c r="B86" i="70"/>
  <c r="B87" i="70"/>
  <c r="B41" i="70"/>
  <c r="B47" i="70"/>
  <c r="B60" i="70"/>
  <c r="B59" i="70"/>
  <c r="B65" i="70"/>
  <c r="B66" i="70"/>
  <c r="B68" i="70"/>
  <c r="B69" i="70"/>
  <c r="B70" i="70"/>
  <c r="B71" i="70"/>
  <c r="B88" i="70"/>
  <c r="B89" i="70"/>
  <c r="B90" i="70"/>
  <c r="B36" i="70"/>
  <c r="B91" i="70"/>
  <c r="B92" i="70"/>
  <c r="B93" i="70"/>
  <c r="Y4" i="34"/>
  <c r="AF4" i="34" s="1"/>
  <c r="Z4" i="34"/>
  <c r="AG4" i="34" s="1"/>
  <c r="AA4" i="34"/>
  <c r="X4" i="34" s="1"/>
  <c r="AD4" i="34"/>
  <c r="AA5" i="34"/>
  <c r="E72" i="70" s="1"/>
  <c r="AD5" i="34"/>
  <c r="H72" i="70" s="1"/>
  <c r="AA6" i="34"/>
  <c r="E18" i="70" s="1"/>
  <c r="AD6" i="34"/>
  <c r="H18" i="70" s="1"/>
  <c r="AA7" i="34"/>
  <c r="E51" i="70" s="1"/>
  <c r="AD7" i="34"/>
  <c r="H51" i="70" s="1"/>
  <c r="E8" i="70"/>
  <c r="AD8" i="34"/>
  <c r="H8" i="70" s="1"/>
  <c r="AA9" i="34"/>
  <c r="E31" i="70" s="1"/>
  <c r="AD9" i="34"/>
  <c r="H31" i="70" s="1"/>
  <c r="AA10" i="34"/>
  <c r="E73" i="70" s="1"/>
  <c r="AD10" i="34"/>
  <c r="H73" i="70" s="1"/>
  <c r="AA11" i="34"/>
  <c r="E74" i="70" s="1"/>
  <c r="AD11" i="34"/>
  <c r="H74" i="70" s="1"/>
  <c r="Y12" i="34"/>
  <c r="AF12" i="34" s="1"/>
  <c r="Z12" i="34"/>
  <c r="AG12" i="34" s="1"/>
  <c r="AA12" i="34"/>
  <c r="AD12" i="34"/>
  <c r="AA13" i="34"/>
  <c r="E46" i="70" s="1"/>
  <c r="AD13" i="34"/>
  <c r="H46" i="70" s="1"/>
  <c r="AA14" i="34"/>
  <c r="E57" i="70" s="1"/>
  <c r="AD14" i="34"/>
  <c r="H57" i="70" s="1"/>
  <c r="AA15" i="34"/>
  <c r="E75" i="70" s="1"/>
  <c r="AD15" i="34"/>
  <c r="H75" i="70" s="1"/>
  <c r="AA16" i="34"/>
  <c r="E54" i="70" s="1"/>
  <c r="AD16" i="34"/>
  <c r="H54" i="70" s="1"/>
  <c r="AA17" i="34"/>
  <c r="E48" i="70" s="1"/>
  <c r="AD17" i="34"/>
  <c r="H48" i="70" s="1"/>
  <c r="AA18" i="34"/>
  <c r="E76" i="70" s="1"/>
  <c r="AD18" i="34"/>
  <c r="H76" i="70" s="1"/>
  <c r="AA19" i="34"/>
  <c r="E49" i="70" s="1"/>
  <c r="AD19" i="34"/>
  <c r="H49" i="70" s="1"/>
  <c r="AA20" i="34"/>
  <c r="E61" i="70" s="1"/>
  <c r="AD20" i="34"/>
  <c r="H61" i="70" s="1"/>
  <c r="AA21" i="34"/>
  <c r="E56" i="70" s="1"/>
  <c r="AD21" i="34"/>
  <c r="H56" i="70" s="1"/>
  <c r="AA22" i="34"/>
  <c r="E7" i="70" s="1"/>
  <c r="AD22" i="34"/>
  <c r="H7" i="70" s="1"/>
  <c r="AA23" i="34"/>
  <c r="E6" i="70" s="1"/>
  <c r="AD23" i="34"/>
  <c r="H6" i="70" s="1"/>
  <c r="AA24" i="34"/>
  <c r="E9" i="70" s="1"/>
  <c r="AD24" i="34"/>
  <c r="H9" i="70" s="1"/>
  <c r="AA25" i="34"/>
  <c r="E77" i="70" s="1"/>
  <c r="AD25" i="34"/>
  <c r="H77" i="70" s="1"/>
  <c r="AA26" i="34"/>
  <c r="E78" i="70" s="1"/>
  <c r="AD26" i="34"/>
  <c r="H78" i="70" s="1"/>
  <c r="Y27" i="34"/>
  <c r="AF27" i="34" s="1"/>
  <c r="Z27" i="34"/>
  <c r="AG27" i="34" s="1"/>
  <c r="AA27" i="34"/>
  <c r="AD27" i="34"/>
  <c r="AA28" i="34"/>
  <c r="E24" i="70" s="1"/>
  <c r="AD28" i="34"/>
  <c r="H24" i="70" s="1"/>
  <c r="AA29" i="34"/>
  <c r="E15" i="70" s="1"/>
  <c r="AD29" i="34"/>
  <c r="H15" i="70" s="1"/>
  <c r="AA30" i="34"/>
  <c r="E3" i="70" s="1"/>
  <c r="AD30" i="34"/>
  <c r="H3" i="70" s="1"/>
  <c r="AA31" i="34"/>
  <c r="E79" i="70" s="1"/>
  <c r="AD31" i="34"/>
  <c r="H79" i="70" s="1"/>
  <c r="Y32" i="34"/>
  <c r="AF32" i="34" s="1"/>
  <c r="Z32" i="34"/>
  <c r="AG32" i="34" s="1"/>
  <c r="AA32" i="34"/>
  <c r="AD32" i="34"/>
  <c r="AA33" i="34"/>
  <c r="AD33" i="34"/>
  <c r="AA34" i="34"/>
  <c r="E21" i="70" s="1"/>
  <c r="AD34" i="34"/>
  <c r="H21" i="70" s="1"/>
  <c r="AA35" i="34"/>
  <c r="E80" i="70" s="1"/>
  <c r="AD35" i="34"/>
  <c r="H80" i="70" s="1"/>
  <c r="AA36" i="34"/>
  <c r="E81" i="70" s="1"/>
  <c r="AD36" i="34"/>
  <c r="H81" i="70" s="1"/>
  <c r="AA37" i="34"/>
  <c r="E11" i="70" s="1"/>
  <c r="AD37" i="34"/>
  <c r="H11" i="70" s="1"/>
  <c r="AA38" i="34"/>
  <c r="E28" i="70" s="1"/>
  <c r="AD38" i="34"/>
  <c r="H28" i="70" s="1"/>
  <c r="AA39" i="34"/>
  <c r="E29" i="70" s="1"/>
  <c r="AD39" i="34"/>
  <c r="H29" i="70" s="1"/>
  <c r="AA40" i="34"/>
  <c r="E23" i="70" s="1"/>
  <c r="AD40" i="34"/>
  <c r="H23" i="70" s="1"/>
  <c r="AA41" i="34"/>
  <c r="E82" i="70" s="1"/>
  <c r="AD41" i="34"/>
  <c r="H82" i="70" s="1"/>
  <c r="Y42" i="34"/>
  <c r="AF42" i="34" s="1"/>
  <c r="Z42" i="34"/>
  <c r="AG42" i="34" s="1"/>
  <c r="AA42" i="34"/>
  <c r="AD42" i="34"/>
  <c r="AA43" i="34"/>
  <c r="E117" i="70" s="1"/>
  <c r="AD43" i="34"/>
  <c r="H117" i="70" s="1"/>
  <c r="AA44" i="34"/>
  <c r="E38" i="70" s="1"/>
  <c r="AD44" i="34"/>
  <c r="H38" i="70" s="1"/>
  <c r="AA45" i="34"/>
  <c r="E83" i="70" s="1"/>
  <c r="AD45" i="34"/>
  <c r="H83" i="70" s="1"/>
  <c r="AA46" i="34"/>
  <c r="E84" i="70" s="1"/>
  <c r="AD46" i="34"/>
  <c r="H84" i="70" s="1"/>
  <c r="AA47" i="34"/>
  <c r="E85" i="70" s="1"/>
  <c r="AD47" i="34"/>
  <c r="H85" i="70" s="1"/>
  <c r="AA48" i="34"/>
  <c r="E10" i="70" s="1"/>
  <c r="AD48" i="34"/>
  <c r="H10" i="70" s="1"/>
  <c r="AA49" i="34"/>
  <c r="E5" i="70" s="1"/>
  <c r="AD49" i="34"/>
  <c r="H5" i="70" s="1"/>
  <c r="AA50" i="34"/>
  <c r="E53" i="70" s="1"/>
  <c r="AD50" i="34"/>
  <c r="H53" i="70" s="1"/>
  <c r="AA51" i="34"/>
  <c r="E67" i="70" s="1"/>
  <c r="AD51" i="34"/>
  <c r="H67" i="70" s="1"/>
  <c r="Y52" i="34"/>
  <c r="AF52" i="34" s="1"/>
  <c r="Z52" i="34"/>
  <c r="AG52" i="34" s="1"/>
  <c r="AA52" i="34"/>
  <c r="AD52" i="34"/>
  <c r="AA53" i="34"/>
  <c r="E27" i="70" s="1"/>
  <c r="AD53" i="34"/>
  <c r="H27" i="70" s="1"/>
  <c r="AA54" i="34"/>
  <c r="E13" i="70" s="1"/>
  <c r="AD54" i="34"/>
  <c r="H13" i="70" s="1"/>
  <c r="AA55" i="34"/>
  <c r="E40" i="70" s="1"/>
  <c r="AD55" i="34"/>
  <c r="H40" i="70" s="1"/>
  <c r="AA56" i="34"/>
  <c r="E86" i="70" s="1"/>
  <c r="AD56" i="34"/>
  <c r="H86" i="70" s="1"/>
  <c r="AA57" i="34"/>
  <c r="E87" i="70" s="1"/>
  <c r="AD57" i="34"/>
  <c r="H87" i="70" s="1"/>
  <c r="Y58" i="34"/>
  <c r="AF58" i="34" s="1"/>
  <c r="Z58" i="34"/>
  <c r="AG58" i="34" s="1"/>
  <c r="AA58" i="34"/>
  <c r="AD58" i="34"/>
  <c r="AA59" i="34"/>
  <c r="E41" i="70" s="1"/>
  <c r="AA60" i="34"/>
  <c r="E47" i="70" s="1"/>
  <c r="AA61" i="34"/>
  <c r="E60" i="70" s="1"/>
  <c r="AA62" i="34"/>
  <c r="E59" i="70" s="1"/>
  <c r="AA63" i="34"/>
  <c r="E65" i="70" s="1"/>
  <c r="AA64" i="34"/>
  <c r="E66" i="70" s="1"/>
  <c r="AA65" i="34"/>
  <c r="E68" i="70" s="1"/>
  <c r="AA66" i="34"/>
  <c r="E69" i="70" s="1"/>
  <c r="AA67" i="34"/>
  <c r="E70" i="70" s="1"/>
  <c r="AA68" i="34"/>
  <c r="E71" i="70" s="1"/>
  <c r="AA69" i="34"/>
  <c r="E88" i="70" s="1"/>
  <c r="AD69" i="34"/>
  <c r="H88" i="70" s="1"/>
  <c r="AA70" i="34"/>
  <c r="E89" i="70" s="1"/>
  <c r="AD70" i="34"/>
  <c r="H89" i="70" s="1"/>
  <c r="AA71" i="34"/>
  <c r="E90" i="70" s="1"/>
  <c r="AD71" i="34"/>
  <c r="H90" i="70" s="1"/>
  <c r="AA72" i="34"/>
  <c r="E36" i="70" s="1"/>
  <c r="AD72" i="34"/>
  <c r="H36" i="70" s="1"/>
  <c r="AA73" i="34"/>
  <c r="E91" i="70" s="1"/>
  <c r="AD73" i="34"/>
  <c r="H91" i="70" s="1"/>
  <c r="AA74" i="34"/>
  <c r="E92" i="70" s="1"/>
  <c r="AD74" i="34"/>
  <c r="H92" i="70" s="1"/>
  <c r="AA75" i="34"/>
  <c r="E93" i="70" s="1"/>
  <c r="AD75" i="34"/>
  <c r="H93" i="70" s="1"/>
  <c r="AA76" i="34"/>
  <c r="E63" i="70" s="1"/>
  <c r="AD76" i="34"/>
  <c r="H63" i="70" s="1"/>
  <c r="AA77" i="34"/>
  <c r="E107" i="70" s="1"/>
  <c r="AD77" i="34"/>
  <c r="H107" i="70" s="1"/>
  <c r="AA78" i="34"/>
  <c r="E64" i="70" s="1"/>
  <c r="AD78" i="34"/>
  <c r="H64" i="70" s="1"/>
  <c r="Y79" i="34"/>
  <c r="AF79" i="34" s="1"/>
  <c r="Z79" i="34"/>
  <c r="AG79" i="34" s="1"/>
  <c r="AA79" i="34"/>
  <c r="AD79" i="34"/>
  <c r="AA80" i="34"/>
  <c r="E94" i="70" s="1"/>
  <c r="AD80" i="34"/>
  <c r="H94" i="70" s="1"/>
  <c r="AA81" i="34"/>
  <c r="E110" i="70" s="1"/>
  <c r="AD81" i="34"/>
  <c r="H110" i="70" s="1"/>
  <c r="AA82" i="34"/>
  <c r="E4" i="70" s="1"/>
  <c r="AD82" i="34"/>
  <c r="H4" i="70" s="1"/>
  <c r="AA83" i="34"/>
  <c r="E116" i="70" s="1"/>
  <c r="AD83" i="34"/>
  <c r="H116" i="70" s="1"/>
  <c r="Y84" i="34"/>
  <c r="C105" i="70" s="1"/>
  <c r="Z84" i="34"/>
  <c r="D105" i="70" s="1"/>
  <c r="AA84" i="34"/>
  <c r="E105" i="70" s="1"/>
  <c r="AD84" i="34"/>
  <c r="H105" i="70" s="1"/>
  <c r="AA85" i="34"/>
  <c r="E50" i="70" s="1"/>
  <c r="AA86" i="34"/>
  <c r="E58" i="70" s="1"/>
  <c r="AA87" i="34"/>
  <c r="E55" i="70" s="1"/>
  <c r="AA88" i="34"/>
  <c r="E32" i="70" s="1"/>
  <c r="AA89" i="34"/>
  <c r="E33" i="70" s="1"/>
  <c r="AA90" i="34"/>
  <c r="E16" i="70" s="1"/>
  <c r="AA91" i="34"/>
  <c r="E17" i="70" s="1"/>
  <c r="AA92" i="34"/>
  <c r="E19" i="70" s="1"/>
  <c r="AA93" i="34"/>
  <c r="E20" i="70" s="1"/>
  <c r="AA94" i="34"/>
  <c r="E22" i="70" s="1"/>
  <c r="AA95" i="34"/>
  <c r="E25" i="70" s="1"/>
  <c r="AA96" i="34"/>
  <c r="E26" i="70" s="1"/>
  <c r="AA97" i="34"/>
  <c r="E95" i="70" s="1"/>
  <c r="AD97" i="34"/>
  <c r="H95" i="70" s="1"/>
  <c r="AA98" i="34"/>
  <c r="E30" i="70" s="1"/>
  <c r="AD98" i="34"/>
  <c r="H30" i="70" s="1"/>
  <c r="AA99" i="34"/>
  <c r="E109" i="70" s="1"/>
  <c r="AD99" i="34"/>
  <c r="H109" i="70" s="1"/>
  <c r="AA100" i="34"/>
  <c r="E52" i="70" s="1"/>
  <c r="AD100" i="34"/>
  <c r="H52" i="70" s="1"/>
  <c r="AA101" i="34"/>
  <c r="E44" i="70" s="1"/>
  <c r="AD101" i="34"/>
  <c r="H44" i="70" s="1"/>
  <c r="AA102" i="34"/>
  <c r="E115" i="70" s="1"/>
  <c r="AD102" i="34"/>
  <c r="H115" i="70" s="1"/>
  <c r="AA103" i="34"/>
  <c r="E112" i="70" s="1"/>
  <c r="AD103" i="34"/>
  <c r="H112" i="70" s="1"/>
  <c r="AA104" i="34"/>
  <c r="E96" i="70" s="1"/>
  <c r="AD104" i="34"/>
  <c r="H96" i="70" s="1"/>
  <c r="AA105" i="34"/>
  <c r="E97" i="70" s="1"/>
  <c r="AD105" i="34"/>
  <c r="H97" i="70" s="1"/>
  <c r="AA106" i="34"/>
  <c r="E62" i="70" s="1"/>
  <c r="AD106" i="34"/>
  <c r="H62" i="70" s="1"/>
  <c r="AA107" i="34"/>
  <c r="E98" i="70" s="1"/>
  <c r="AD107" i="34"/>
  <c r="H98" i="70" s="1"/>
  <c r="AA108" i="34"/>
  <c r="E99" i="70" s="1"/>
  <c r="AD108" i="34"/>
  <c r="H99" i="70" s="1"/>
  <c r="AA109" i="34"/>
  <c r="E100" i="70" s="1"/>
  <c r="AD109" i="34"/>
  <c r="H100" i="70" s="1"/>
  <c r="AA110" i="34"/>
  <c r="E111" i="70" s="1"/>
  <c r="AD110" i="34"/>
  <c r="H111" i="70" s="1"/>
  <c r="AA111" i="34"/>
  <c r="E101" i="70" s="1"/>
  <c r="AD111" i="34"/>
  <c r="H101" i="70" s="1"/>
  <c r="AA112" i="34"/>
  <c r="E102" i="70" s="1"/>
  <c r="AD112" i="34"/>
  <c r="H102" i="70" s="1"/>
  <c r="AA113" i="34"/>
  <c r="E37" i="70" s="1"/>
  <c r="AD113" i="34"/>
  <c r="H37" i="70" s="1"/>
  <c r="AA114" i="34"/>
  <c r="E42" i="70" s="1"/>
  <c r="AD114" i="34"/>
  <c r="H42" i="70" s="1"/>
  <c r="AA115" i="34"/>
  <c r="E103" i="70" s="1"/>
  <c r="AD115" i="34"/>
  <c r="H103" i="70" s="1"/>
  <c r="AA116" i="34"/>
  <c r="E108" i="70" s="1"/>
  <c r="AD116" i="34"/>
  <c r="H108" i="70" s="1"/>
  <c r="AA117" i="34"/>
  <c r="E104" i="70" s="1"/>
  <c r="AD117" i="34"/>
  <c r="H104" i="70" s="1"/>
  <c r="Y118" i="34"/>
  <c r="AF118" i="34" s="1"/>
  <c r="Z118" i="34"/>
  <c r="AG118" i="34" s="1"/>
  <c r="AA118" i="34"/>
  <c r="AD118" i="34"/>
  <c r="AA119" i="34"/>
  <c r="E2" i="70" s="1"/>
  <c r="AD119" i="34"/>
  <c r="H2" i="70" s="1"/>
  <c r="AA120" i="34"/>
  <c r="E34" i="70" s="1"/>
  <c r="AD120" i="34"/>
  <c r="H34" i="70" s="1"/>
  <c r="AA121" i="34"/>
  <c r="E14" i="70" s="1"/>
  <c r="AD121" i="34"/>
  <c r="H14" i="70" s="1"/>
  <c r="AA122" i="34"/>
  <c r="E12" i="70" s="1"/>
  <c r="AD122" i="34"/>
  <c r="H12" i="70" s="1"/>
  <c r="AA123" i="34"/>
  <c r="E35" i="70" s="1"/>
  <c r="AD123" i="34"/>
  <c r="H35" i="70" s="1"/>
  <c r="AA124" i="34"/>
  <c r="E43" i="70" s="1"/>
  <c r="AD124" i="34"/>
  <c r="H43" i="70" s="1"/>
  <c r="AA125" i="34"/>
  <c r="E39" i="70" s="1"/>
  <c r="AD125" i="34"/>
  <c r="H39" i="70" s="1"/>
  <c r="AA126" i="34"/>
  <c r="E106" i="70" s="1"/>
  <c r="AD126" i="34"/>
  <c r="H106" i="70" s="1"/>
  <c r="AA127" i="34"/>
  <c r="E113" i="70" s="1"/>
  <c r="AD127" i="34"/>
  <c r="H113" i="70" s="1"/>
  <c r="AA128" i="34"/>
  <c r="E114" i="70" s="1"/>
  <c r="AD128" i="34"/>
  <c r="H114" i="70" s="1"/>
  <c r="AA3" i="34"/>
  <c r="E45" i="70" s="1"/>
  <c r="AD3" i="34"/>
  <c r="H45" i="70" s="1"/>
  <c r="AC27" i="34" l="1"/>
  <c r="AE27" i="34" s="1"/>
  <c r="AC52" i="34"/>
  <c r="AE52" i="34" s="1"/>
  <c r="AC4" i="34"/>
  <c r="AE4" i="34" s="1"/>
  <c r="AC84" i="34"/>
  <c r="F105" i="70"/>
  <c r="AC58" i="34"/>
  <c r="AE58" i="34" s="1"/>
  <c r="AC79" i="34"/>
  <c r="AE79" i="34" s="1"/>
  <c r="AC32" i="34"/>
  <c r="AE32" i="34" s="1"/>
  <c r="AC12" i="34"/>
  <c r="AE12" i="34" s="1"/>
  <c r="AC118" i="34"/>
  <c r="AE118" i="34" s="1"/>
  <c r="AC42" i="34"/>
  <c r="AE42" i="34" s="1"/>
  <c r="AG84" i="34"/>
  <c r="K105" i="70" s="1"/>
  <c r="AF84" i="34"/>
  <c r="J105" i="70" s="1"/>
  <c r="L126" i="46"/>
  <c r="L124" i="46"/>
  <c r="L121" i="46"/>
  <c r="L120" i="46"/>
  <c r="L119" i="46"/>
  <c r="L118" i="46"/>
  <c r="L117" i="46"/>
  <c r="L116" i="46"/>
  <c r="L115" i="46"/>
  <c r="L114" i="46"/>
  <c r="L113" i="46"/>
  <c r="L109" i="46"/>
  <c r="L106" i="46"/>
  <c r="L92" i="46"/>
  <c r="L91" i="46"/>
  <c r="L90" i="46"/>
  <c r="L89" i="46"/>
  <c r="L87" i="46"/>
  <c r="L86" i="46"/>
  <c r="L85" i="46"/>
  <c r="L84" i="46"/>
  <c r="L83" i="46"/>
  <c r="L82" i="46"/>
  <c r="L80" i="46"/>
  <c r="L79" i="46"/>
  <c r="L78" i="46"/>
  <c r="L77" i="46"/>
  <c r="L76" i="46"/>
  <c r="L75" i="46"/>
  <c r="L74" i="46"/>
  <c r="L73" i="46"/>
  <c r="L72" i="46"/>
  <c r="L71" i="46"/>
  <c r="L70" i="46"/>
  <c r="L69" i="46"/>
  <c r="L68" i="46"/>
  <c r="L66" i="46"/>
  <c r="L65" i="46"/>
  <c r="L59" i="46"/>
  <c r="L58" i="46"/>
  <c r="L57" i="46"/>
  <c r="L56" i="46"/>
  <c r="L55" i="46"/>
  <c r="L54" i="46"/>
  <c r="L50" i="46"/>
  <c r="L49" i="46"/>
  <c r="L48" i="46"/>
  <c r="L47" i="46"/>
  <c r="L46" i="46"/>
  <c r="L43" i="46"/>
  <c r="L35" i="46"/>
  <c r="L34" i="46"/>
  <c r="L30" i="46"/>
  <c r="L29" i="46"/>
  <c r="L28" i="46"/>
  <c r="L27" i="46"/>
  <c r="L26" i="46"/>
  <c r="L25" i="46"/>
  <c r="L24" i="46"/>
  <c r="L23" i="46"/>
  <c r="L22" i="46"/>
  <c r="L20" i="46"/>
  <c r="L19" i="46"/>
  <c r="L18" i="46"/>
  <c r="L17" i="46"/>
  <c r="L16" i="46"/>
  <c r="L15" i="46"/>
  <c r="L14" i="46"/>
  <c r="L12" i="46"/>
  <c r="L126" i="45"/>
  <c r="L124" i="45"/>
  <c r="L121" i="45"/>
  <c r="L120" i="45"/>
  <c r="L119" i="45"/>
  <c r="L118" i="45"/>
  <c r="L117" i="45"/>
  <c r="L116" i="45"/>
  <c r="L115" i="45"/>
  <c r="L114" i="45"/>
  <c r="L113" i="45"/>
  <c r="L109" i="45"/>
  <c r="L106" i="45"/>
  <c r="L92" i="45"/>
  <c r="L91" i="45"/>
  <c r="L90" i="45"/>
  <c r="L89" i="45"/>
  <c r="L87" i="45"/>
  <c r="L86" i="45"/>
  <c r="L85" i="45"/>
  <c r="L84" i="45"/>
  <c r="L83" i="45"/>
  <c r="L82" i="45"/>
  <c r="L80" i="45"/>
  <c r="L79" i="45"/>
  <c r="L78" i="45"/>
  <c r="L77" i="45"/>
  <c r="L76" i="45"/>
  <c r="L75" i="45"/>
  <c r="L74" i="45"/>
  <c r="L73" i="45"/>
  <c r="L72" i="45"/>
  <c r="L71" i="45"/>
  <c r="L70" i="45"/>
  <c r="L69" i="45"/>
  <c r="L68" i="45"/>
  <c r="L66" i="45"/>
  <c r="L65" i="45"/>
  <c r="L59" i="45"/>
  <c r="L58" i="45"/>
  <c r="L57" i="45"/>
  <c r="L56" i="45"/>
  <c r="L55" i="45"/>
  <c r="L54" i="45"/>
  <c r="L50" i="45"/>
  <c r="L49" i="45"/>
  <c r="L48" i="45"/>
  <c r="L47" i="45"/>
  <c r="L46" i="45"/>
  <c r="L43" i="45"/>
  <c r="L35" i="45"/>
  <c r="L34" i="45"/>
  <c r="L30" i="45"/>
  <c r="L29" i="45"/>
  <c r="L28" i="45"/>
  <c r="L27" i="45"/>
  <c r="L26" i="45"/>
  <c r="L25" i="45"/>
  <c r="L24" i="45"/>
  <c r="L23" i="45"/>
  <c r="L22" i="45"/>
  <c r="L20" i="45"/>
  <c r="L19" i="45"/>
  <c r="L18" i="45"/>
  <c r="L17" i="45"/>
  <c r="L16" i="45"/>
  <c r="L15" i="45"/>
  <c r="L14" i="45"/>
  <c r="L12" i="45"/>
  <c r="L126" i="48"/>
  <c r="L124" i="48"/>
  <c r="L121" i="48"/>
  <c r="L120" i="48"/>
  <c r="L119" i="48"/>
  <c r="L118" i="48"/>
  <c r="L117" i="48"/>
  <c r="L116" i="48"/>
  <c r="L115" i="48"/>
  <c r="L114" i="48"/>
  <c r="L113" i="48"/>
  <c r="L109" i="48"/>
  <c r="L106" i="48"/>
  <c r="L102" i="48"/>
  <c r="L92" i="48"/>
  <c r="L91" i="48"/>
  <c r="L90" i="48"/>
  <c r="L89" i="48"/>
  <c r="L87" i="48"/>
  <c r="L86" i="48"/>
  <c r="L85" i="48"/>
  <c r="L84" i="48"/>
  <c r="L83" i="48"/>
  <c r="L82" i="48"/>
  <c r="L80" i="48"/>
  <c r="L79" i="48"/>
  <c r="L78" i="48"/>
  <c r="L77" i="48"/>
  <c r="L76" i="48"/>
  <c r="L75" i="48"/>
  <c r="L74" i="48"/>
  <c r="L73" i="48"/>
  <c r="L72" i="48"/>
  <c r="L71" i="48"/>
  <c r="L70" i="48"/>
  <c r="L69" i="48"/>
  <c r="L68" i="48"/>
  <c r="L66" i="48"/>
  <c r="L65" i="48"/>
  <c r="L59" i="48"/>
  <c r="L58" i="48"/>
  <c r="L57" i="48"/>
  <c r="L56" i="48"/>
  <c r="L55" i="48"/>
  <c r="L54" i="48"/>
  <c r="L50" i="48"/>
  <c r="L49" i="48"/>
  <c r="L48" i="48"/>
  <c r="L47" i="48"/>
  <c r="L46" i="48"/>
  <c r="L43" i="48"/>
  <c r="L35" i="48"/>
  <c r="L34" i="48"/>
  <c r="L30" i="48"/>
  <c r="L29" i="48"/>
  <c r="L28" i="48"/>
  <c r="L27" i="48"/>
  <c r="L26" i="48"/>
  <c r="L25" i="48"/>
  <c r="L24" i="48"/>
  <c r="L23" i="48"/>
  <c r="L22" i="48"/>
  <c r="L20" i="48"/>
  <c r="L19" i="48"/>
  <c r="L18" i="48"/>
  <c r="L17" i="48"/>
  <c r="L16" i="48"/>
  <c r="L15" i="48"/>
  <c r="L14" i="48"/>
  <c r="L12" i="48"/>
  <c r="L126" i="47"/>
  <c r="L124" i="47"/>
  <c r="L121" i="47"/>
  <c r="L120" i="47"/>
  <c r="L119" i="47"/>
  <c r="L118" i="47"/>
  <c r="L117" i="47"/>
  <c r="L116" i="47"/>
  <c r="L115" i="47"/>
  <c r="L114" i="47"/>
  <c r="L113" i="47"/>
  <c r="L109" i="47"/>
  <c r="L106" i="47"/>
  <c r="L104" i="47"/>
  <c r="L92" i="47"/>
  <c r="L91" i="47"/>
  <c r="L90" i="47"/>
  <c r="L89" i="47"/>
  <c r="L87" i="47"/>
  <c r="L86" i="47"/>
  <c r="L85" i="47"/>
  <c r="L84" i="47"/>
  <c r="L83" i="47"/>
  <c r="L82" i="47"/>
  <c r="L80" i="47"/>
  <c r="L79" i="47"/>
  <c r="L78" i="47"/>
  <c r="L77" i="47"/>
  <c r="L76" i="47"/>
  <c r="L75" i="47"/>
  <c r="L74" i="47"/>
  <c r="L73" i="47"/>
  <c r="L72" i="47"/>
  <c r="L71" i="47"/>
  <c r="L70" i="47"/>
  <c r="L69" i="47"/>
  <c r="L68" i="47"/>
  <c r="L66" i="47"/>
  <c r="L65" i="47"/>
  <c r="L60" i="47"/>
  <c r="L59" i="47"/>
  <c r="L58" i="47"/>
  <c r="L57" i="47"/>
  <c r="L56" i="47"/>
  <c r="L55" i="47"/>
  <c r="L54" i="47"/>
  <c r="L50" i="47"/>
  <c r="L49" i="47"/>
  <c r="L48" i="47"/>
  <c r="L47" i="47"/>
  <c r="L46" i="47"/>
  <c r="L43" i="47"/>
  <c r="L35" i="47"/>
  <c r="L34" i="47"/>
  <c r="L30" i="47"/>
  <c r="L29" i="47"/>
  <c r="L28" i="47"/>
  <c r="L27" i="47"/>
  <c r="L26" i="47"/>
  <c r="L25" i="47"/>
  <c r="L24" i="47"/>
  <c r="L23" i="47"/>
  <c r="L22" i="47"/>
  <c r="L20" i="47"/>
  <c r="L19" i="47"/>
  <c r="L18" i="47"/>
  <c r="L17" i="47"/>
  <c r="L16" i="47"/>
  <c r="L15" i="47"/>
  <c r="L14" i="47"/>
  <c r="L12" i="47"/>
  <c r="L126" i="43"/>
  <c r="L124" i="43"/>
  <c r="L121" i="43"/>
  <c r="L120" i="43"/>
  <c r="L119" i="43"/>
  <c r="L118" i="43"/>
  <c r="L117" i="43"/>
  <c r="L116" i="43"/>
  <c r="L115" i="43"/>
  <c r="L114" i="43"/>
  <c r="L113" i="43"/>
  <c r="L109" i="43"/>
  <c r="L106" i="43"/>
  <c r="L92" i="43"/>
  <c r="L91" i="43"/>
  <c r="L90" i="43"/>
  <c r="L89" i="43"/>
  <c r="L87" i="43"/>
  <c r="L86" i="43"/>
  <c r="L85" i="43"/>
  <c r="L84" i="43"/>
  <c r="L83" i="43"/>
  <c r="L82" i="43"/>
  <c r="L80" i="43"/>
  <c r="L79" i="43"/>
  <c r="L78" i="43"/>
  <c r="L77" i="43"/>
  <c r="L76" i="43"/>
  <c r="L75" i="43"/>
  <c r="L74" i="43"/>
  <c r="L73" i="43"/>
  <c r="L72" i="43"/>
  <c r="L71" i="43"/>
  <c r="L70" i="43"/>
  <c r="L69" i="43"/>
  <c r="L68" i="43"/>
  <c r="L66" i="43"/>
  <c r="L65" i="43"/>
  <c r="L59" i="43"/>
  <c r="L58" i="43"/>
  <c r="L57" i="43"/>
  <c r="L56" i="43"/>
  <c r="L55" i="43"/>
  <c r="L54" i="43"/>
  <c r="L50" i="43"/>
  <c r="L49" i="43"/>
  <c r="L48" i="43"/>
  <c r="L47" i="43"/>
  <c r="L46" i="43"/>
  <c r="L43" i="43"/>
  <c r="L35" i="43"/>
  <c r="L34" i="43"/>
  <c r="L30" i="43"/>
  <c r="L29" i="43"/>
  <c r="L28" i="43"/>
  <c r="L27" i="43"/>
  <c r="L26" i="43"/>
  <c r="L25" i="43"/>
  <c r="L24" i="43"/>
  <c r="L23" i="43"/>
  <c r="L22" i="43"/>
  <c r="L20" i="43"/>
  <c r="L19" i="43"/>
  <c r="L18" i="43"/>
  <c r="L17" i="43"/>
  <c r="L16" i="43"/>
  <c r="L15" i="43"/>
  <c r="L14" i="43"/>
  <c r="L12" i="43"/>
  <c r="J100" i="39"/>
  <c r="G100" i="39"/>
  <c r="H100" i="39" s="1"/>
  <c r="L105" i="46" s="1"/>
  <c r="J99" i="39"/>
  <c r="G99" i="39"/>
  <c r="J98" i="39"/>
  <c r="G98" i="39"/>
  <c r="J97" i="39"/>
  <c r="G97" i="39"/>
  <c r="H97" i="39" s="1"/>
  <c r="L102" i="47" s="1"/>
  <c r="J96" i="39"/>
  <c r="G96" i="39"/>
  <c r="H96" i="39" s="1"/>
  <c r="L101" i="48" s="1"/>
  <c r="J95" i="39"/>
  <c r="G95" i="39"/>
  <c r="J94" i="39"/>
  <c r="G94" i="39"/>
  <c r="H94" i="39" s="1"/>
  <c r="L99" i="45" s="1"/>
  <c r="J93" i="39"/>
  <c r="G93" i="39"/>
  <c r="H93" i="39" s="1"/>
  <c r="J92" i="39"/>
  <c r="J91" i="39"/>
  <c r="J90" i="39"/>
  <c r="G90" i="39"/>
  <c r="H90" i="39" s="1"/>
  <c r="L95" i="47" s="1"/>
  <c r="J89" i="39"/>
  <c r="G89" i="39"/>
  <c r="H89" i="39" s="1"/>
  <c r="L94" i="47" s="1"/>
  <c r="H99" i="39"/>
  <c r="L104" i="46" s="1"/>
  <c r="H98" i="39"/>
  <c r="L103" i="47" s="1"/>
  <c r="H95" i="39"/>
  <c r="L100" i="48" s="1"/>
  <c r="E48" i="69"/>
  <c r="E47" i="69"/>
  <c r="E46" i="69"/>
  <c r="E45" i="69"/>
  <c r="E44" i="69"/>
  <c r="E43" i="69"/>
  <c r="E42" i="69"/>
  <c r="E41" i="69"/>
  <c r="E40" i="69"/>
  <c r="G92" i="39" s="1"/>
  <c r="H92" i="39" s="1"/>
  <c r="L97" i="46" s="1"/>
  <c r="E39" i="69"/>
  <c r="G91" i="39" s="1"/>
  <c r="H91" i="39" s="1"/>
  <c r="L96" i="46" s="1"/>
  <c r="E38" i="69"/>
  <c r="E37" i="69"/>
  <c r="J107" i="39"/>
  <c r="J106" i="39"/>
  <c r="J131" i="39"/>
  <c r="J132" i="39"/>
  <c r="J129" i="39"/>
  <c r="J130" i="39"/>
  <c r="J128" i="39"/>
  <c r="J127" i="39"/>
  <c r="J126" i="39"/>
  <c r="J125" i="39"/>
  <c r="J124" i="39"/>
  <c r="J123" i="39"/>
  <c r="J120" i="39"/>
  <c r="J118" i="39"/>
  <c r="J117" i="39"/>
  <c r="E31" i="69"/>
  <c r="G106" i="39" s="1"/>
  <c r="H106" i="39" s="1"/>
  <c r="L111" i="47" s="1"/>
  <c r="E30" i="69"/>
  <c r="E29" i="69"/>
  <c r="E28" i="69"/>
  <c r="G129" i="39" s="1"/>
  <c r="H129" i="39" s="1"/>
  <c r="L134" i="48" s="1"/>
  <c r="E27" i="69"/>
  <c r="G128" i="39" s="1"/>
  <c r="H128" i="39" s="1"/>
  <c r="L133" i="48" s="1"/>
  <c r="E26" i="69"/>
  <c r="G125" i="39" s="1"/>
  <c r="H125" i="39" s="1"/>
  <c r="L130" i="46" s="1"/>
  <c r="E25" i="69"/>
  <c r="G124" i="39" s="1"/>
  <c r="H123" i="39" s="1"/>
  <c r="L128" i="47" s="1"/>
  <c r="E24" i="69"/>
  <c r="G120" i="39" s="1"/>
  <c r="H120" i="39" s="1"/>
  <c r="L125" i="48" s="1"/>
  <c r="E23" i="69"/>
  <c r="G118" i="39" s="1"/>
  <c r="H118" i="39" s="1"/>
  <c r="L123" i="45" s="1"/>
  <c r="J105" i="39"/>
  <c r="E22" i="69"/>
  <c r="G105" i="39" s="1"/>
  <c r="H105" i="39" s="1"/>
  <c r="L110" i="47" s="1"/>
  <c r="J59" i="39"/>
  <c r="J76" i="39"/>
  <c r="J103" i="39"/>
  <c r="J102" i="39"/>
  <c r="E21" i="69"/>
  <c r="G103" i="39" s="1"/>
  <c r="H103" i="39" s="1"/>
  <c r="L108" i="48" s="1"/>
  <c r="E20" i="69"/>
  <c r="G76" i="39" s="1"/>
  <c r="H76" i="39" s="1"/>
  <c r="L81" i="45" s="1"/>
  <c r="E19" i="69"/>
  <c r="G59" i="39" s="1"/>
  <c r="H59" i="39" s="1"/>
  <c r="L64" i="45" s="1"/>
  <c r="J58" i="39"/>
  <c r="E18" i="69"/>
  <c r="G58" i="39" s="1"/>
  <c r="H58" i="39" s="1"/>
  <c r="L63" i="45" s="1"/>
  <c r="J55" i="39"/>
  <c r="E17" i="69"/>
  <c r="G55" i="39" s="1"/>
  <c r="H55" i="39" s="1"/>
  <c r="L60" i="46" s="1"/>
  <c r="J41" i="39"/>
  <c r="J44" i="39"/>
  <c r="E44" i="39"/>
  <c r="G44" i="39" s="1"/>
  <c r="H44" i="39" s="1"/>
  <c r="J40" i="39"/>
  <c r="J39" i="39"/>
  <c r="E15" i="69"/>
  <c r="G39" i="39" s="1"/>
  <c r="H39" i="39" s="1"/>
  <c r="L44" i="45" s="1"/>
  <c r="J34" i="39"/>
  <c r="E14" i="69"/>
  <c r="G34" i="39" s="1"/>
  <c r="H34" i="39" s="1"/>
  <c r="L39" i="47" s="1"/>
  <c r="J35" i="39"/>
  <c r="J33" i="39"/>
  <c r="E13" i="69"/>
  <c r="G32" i="39" s="1"/>
  <c r="H32" i="39" s="1"/>
  <c r="L37" i="48" s="1"/>
  <c r="E12" i="69"/>
  <c r="G27" i="39" s="1"/>
  <c r="H27" i="39" s="1"/>
  <c r="L32" i="46" s="1"/>
  <c r="J32" i="39"/>
  <c r="J28" i="39"/>
  <c r="J27" i="39"/>
  <c r="J26" i="39"/>
  <c r="G105" i="70" l="1"/>
  <c r="AE84" i="34"/>
  <c r="I105" i="70" s="1"/>
  <c r="L94" i="48"/>
  <c r="L98" i="45"/>
  <c r="L98" i="48"/>
  <c r="L98" i="47"/>
  <c r="L98" i="46"/>
  <c r="L98" i="43"/>
  <c r="L63" i="43"/>
  <c r="L96" i="47"/>
  <c r="L110" i="48"/>
  <c r="L100" i="45"/>
  <c r="L108" i="45"/>
  <c r="L133" i="45"/>
  <c r="L63" i="46"/>
  <c r="L44" i="43"/>
  <c r="L64" i="43"/>
  <c r="L81" i="43"/>
  <c r="L99" i="43"/>
  <c r="L123" i="43"/>
  <c r="L32" i="47"/>
  <c r="L97" i="47"/>
  <c r="L105" i="47"/>
  <c r="L130" i="47"/>
  <c r="L39" i="48"/>
  <c r="L95" i="48"/>
  <c r="L103" i="48"/>
  <c r="L111" i="48"/>
  <c r="L128" i="48"/>
  <c r="L37" i="45"/>
  <c r="L101" i="45"/>
  <c r="L125" i="45"/>
  <c r="L134" i="45"/>
  <c r="L44" i="46"/>
  <c r="L64" i="46"/>
  <c r="L81" i="46"/>
  <c r="L99" i="46"/>
  <c r="L123" i="46"/>
  <c r="L100" i="43"/>
  <c r="L108" i="43"/>
  <c r="L133" i="43"/>
  <c r="L63" i="47"/>
  <c r="L60" i="48"/>
  <c r="L96" i="48"/>
  <c r="L104" i="48"/>
  <c r="L94" i="45"/>
  <c r="L102" i="45"/>
  <c r="L110" i="45"/>
  <c r="L100" i="46"/>
  <c r="L108" i="46"/>
  <c r="L133" i="46"/>
  <c r="L37" i="43"/>
  <c r="L101" i="43"/>
  <c r="L125" i="43"/>
  <c r="L134" i="43"/>
  <c r="L44" i="47"/>
  <c r="L64" i="47"/>
  <c r="L81" i="47"/>
  <c r="L99" i="47"/>
  <c r="L123" i="47"/>
  <c r="L32" i="48"/>
  <c r="L97" i="48"/>
  <c r="L105" i="48"/>
  <c r="L130" i="48"/>
  <c r="L39" i="45"/>
  <c r="L95" i="45"/>
  <c r="L103" i="45"/>
  <c r="L111" i="45"/>
  <c r="L128" i="45"/>
  <c r="L37" i="46"/>
  <c r="L101" i="46"/>
  <c r="L125" i="46"/>
  <c r="L134" i="46"/>
  <c r="L94" i="43"/>
  <c r="L102" i="43"/>
  <c r="L110" i="43"/>
  <c r="L100" i="47"/>
  <c r="L108" i="47"/>
  <c r="L133" i="47"/>
  <c r="L63" i="48"/>
  <c r="L60" i="45"/>
  <c r="L96" i="45"/>
  <c r="L104" i="45"/>
  <c r="L94" i="46"/>
  <c r="L102" i="46"/>
  <c r="L110" i="46"/>
  <c r="L39" i="43"/>
  <c r="L95" i="43"/>
  <c r="L103" i="43"/>
  <c r="L111" i="43"/>
  <c r="L128" i="43"/>
  <c r="L37" i="47"/>
  <c r="L101" i="47"/>
  <c r="L125" i="47"/>
  <c r="L134" i="47"/>
  <c r="L44" i="48"/>
  <c r="L64" i="48"/>
  <c r="L81" i="48"/>
  <c r="L99" i="48"/>
  <c r="L123" i="48"/>
  <c r="L32" i="45"/>
  <c r="L97" i="45"/>
  <c r="L105" i="45"/>
  <c r="L130" i="45"/>
  <c r="L39" i="46"/>
  <c r="L95" i="46"/>
  <c r="L103" i="46"/>
  <c r="L111" i="46"/>
  <c r="L128" i="46"/>
  <c r="L60" i="43"/>
  <c r="L96" i="43"/>
  <c r="L104" i="43"/>
  <c r="L32" i="43"/>
  <c r="L97" i="43"/>
  <c r="L105" i="43"/>
  <c r="L130" i="43"/>
  <c r="G107" i="39"/>
  <c r="H107" i="39" s="1"/>
  <c r="G28" i="39"/>
  <c r="H28" i="39" s="1"/>
  <c r="G102" i="39"/>
  <c r="H102" i="39" s="1"/>
  <c r="G117" i="39"/>
  <c r="H117" i="39" s="1"/>
  <c r="G132" i="39"/>
  <c r="H132" i="39" s="1"/>
  <c r="G126" i="39"/>
  <c r="H126" i="39" s="1"/>
  <c r="G131" i="39"/>
  <c r="H131" i="39" s="1"/>
  <c r="G26" i="39"/>
  <c r="G40" i="39"/>
  <c r="H40" i="39" s="1"/>
  <c r="G127" i="39"/>
  <c r="H127" i="39" s="1"/>
  <c r="G35" i="39"/>
  <c r="H35" i="39" s="1"/>
  <c r="G123" i="39"/>
  <c r="G130" i="39"/>
  <c r="H130" i="39" s="1"/>
  <c r="G33" i="39"/>
  <c r="H33" i="39" s="1"/>
  <c r="H124" i="39"/>
  <c r="L135" i="47" l="1"/>
  <c r="L135" i="46"/>
  <c r="L135" i="43"/>
  <c r="L135" i="45"/>
  <c r="L135" i="48"/>
  <c r="L131" i="45"/>
  <c r="L131" i="48"/>
  <c r="L131" i="47"/>
  <c r="L131" i="46"/>
  <c r="L131" i="43"/>
  <c r="L137" i="46"/>
  <c r="L137" i="43"/>
  <c r="L137" i="45"/>
  <c r="L137" i="48"/>
  <c r="L137" i="47"/>
  <c r="L40" i="46"/>
  <c r="L40" i="43"/>
  <c r="L40" i="45"/>
  <c r="L40" i="48"/>
  <c r="L40" i="47"/>
  <c r="L107" i="45"/>
  <c r="L107" i="48"/>
  <c r="L107" i="47"/>
  <c r="L107" i="46"/>
  <c r="L107" i="43"/>
  <c r="L122" i="45"/>
  <c r="L122" i="48"/>
  <c r="L122" i="47"/>
  <c r="L122" i="46"/>
  <c r="L122" i="43"/>
  <c r="L33" i="45"/>
  <c r="L33" i="48"/>
  <c r="L33" i="43"/>
  <c r="L33" i="47"/>
  <c r="L33" i="46"/>
  <c r="L136" i="47"/>
  <c r="L136" i="46"/>
  <c r="L136" i="43"/>
  <c r="L136" i="45"/>
  <c r="L136" i="48"/>
  <c r="L38" i="47"/>
  <c r="L38" i="46"/>
  <c r="L38" i="43"/>
  <c r="L38" i="45"/>
  <c r="L38" i="48"/>
  <c r="L45" i="48"/>
  <c r="L45" i="47"/>
  <c r="L45" i="46"/>
  <c r="L45" i="43"/>
  <c r="L45" i="45"/>
  <c r="L129" i="46"/>
  <c r="L129" i="43"/>
  <c r="L129" i="45"/>
  <c r="L129" i="48"/>
  <c r="L129" i="47"/>
  <c r="L132" i="45"/>
  <c r="L132" i="48"/>
  <c r="L132" i="47"/>
  <c r="L132" i="46"/>
  <c r="L132" i="43"/>
  <c r="L112" i="46"/>
  <c r="L112" i="43"/>
  <c r="L112" i="45"/>
  <c r="L112" i="48"/>
  <c r="L112" i="47"/>
  <c r="N96" i="34" l="1"/>
  <c r="N95" i="34"/>
  <c r="N94" i="34"/>
  <c r="N93" i="34"/>
  <c r="N92" i="34"/>
  <c r="N91" i="34"/>
  <c r="N90" i="34"/>
  <c r="N88" i="34"/>
  <c r="N87" i="34"/>
  <c r="N86" i="34"/>
  <c r="N85" i="34"/>
  <c r="J121" i="39"/>
  <c r="J119" i="39"/>
  <c r="J116" i="39"/>
  <c r="J115" i="39"/>
  <c r="J114" i="39"/>
  <c r="J113" i="39"/>
  <c r="J112" i="39"/>
  <c r="J111" i="39"/>
  <c r="J110" i="39"/>
  <c r="J109" i="39"/>
  <c r="J108" i="39"/>
  <c r="J104" i="39"/>
  <c r="J101" i="39"/>
  <c r="J88" i="39"/>
  <c r="J87" i="39"/>
  <c r="J86" i="39"/>
  <c r="J85" i="39"/>
  <c r="J84" i="39"/>
  <c r="J82" i="39"/>
  <c r="J81" i="39"/>
  <c r="J80" i="39"/>
  <c r="J79" i="39"/>
  <c r="J78" i="39"/>
  <c r="J77" i="39"/>
  <c r="J75" i="39"/>
  <c r="J74" i="39"/>
  <c r="J73" i="39"/>
  <c r="J72" i="39"/>
  <c r="J71" i="39"/>
  <c r="J70" i="39"/>
  <c r="J69" i="39"/>
  <c r="J68" i="39"/>
  <c r="J67" i="39"/>
  <c r="J66" i="39"/>
  <c r="J65" i="39"/>
  <c r="J64" i="39"/>
  <c r="J63" i="39"/>
  <c r="J61" i="39"/>
  <c r="J60" i="39"/>
  <c r="J57" i="39"/>
  <c r="J54" i="39"/>
  <c r="J53" i="39"/>
  <c r="J52" i="39"/>
  <c r="J51" i="39"/>
  <c r="J50" i="39"/>
  <c r="J49" i="39"/>
  <c r="J48" i="39"/>
  <c r="J47" i="39"/>
  <c r="J45" i="39"/>
  <c r="J43" i="39"/>
  <c r="J42" i="39"/>
  <c r="J38" i="39"/>
  <c r="J37" i="39"/>
  <c r="J30" i="39"/>
  <c r="J29" i="39"/>
  <c r="J25" i="39"/>
  <c r="J24" i="39"/>
  <c r="J23" i="39"/>
  <c r="J22" i="39"/>
  <c r="J21" i="39"/>
  <c r="J20" i="39"/>
  <c r="J19" i="39"/>
  <c r="J18" i="39"/>
  <c r="J17" i="39"/>
  <c r="J15" i="39"/>
  <c r="J14" i="39"/>
  <c r="J13" i="39"/>
  <c r="J12" i="39"/>
  <c r="J11" i="39"/>
  <c r="J10" i="39"/>
  <c r="J9" i="39"/>
  <c r="J7" i="39"/>
  <c r="D19" i="68" l="1"/>
  <c r="D18" i="68"/>
  <c r="D17" i="68"/>
  <c r="E10" i="68"/>
  <c r="F10" i="68" s="1"/>
  <c r="E9" i="68"/>
  <c r="F9" i="68" s="1"/>
  <c r="E8" i="68"/>
  <c r="E11" i="68"/>
  <c r="F11" i="68" s="1"/>
  <c r="E12" i="68" l="1"/>
  <c r="F12" i="68" s="1"/>
  <c r="N89" i="34"/>
  <c r="F8" i="68"/>
  <c r="D14" i="68"/>
  <c r="E14" i="68" s="1"/>
  <c r="F14" i="68" s="1"/>
  <c r="E13" i="68" l="1"/>
  <c r="F13" i="68" s="1"/>
  <c r="D15" i="68"/>
  <c r="E15" i="68" l="1"/>
  <c r="F15" i="68" s="1"/>
  <c r="E16" i="68"/>
  <c r="F16" i="68" s="1"/>
  <c r="E17" i="68" l="1"/>
  <c r="F17" i="68" s="1"/>
  <c r="E18" i="68" l="1"/>
  <c r="F18" i="68" s="1"/>
  <c r="E19" i="68" l="1"/>
  <c r="F19" i="68" s="1"/>
  <c r="E10" i="63" l="1"/>
  <c r="G5" i="45"/>
  <c r="H5" i="45"/>
  <c r="J5" i="45" s="1"/>
  <c r="I5" i="45"/>
  <c r="F5" i="45"/>
  <c r="G4" i="45"/>
  <c r="H4" i="45"/>
  <c r="I4" i="45"/>
  <c r="J4" i="45"/>
  <c r="F4" i="45"/>
  <c r="E18" i="55"/>
  <c r="E17" i="55"/>
  <c r="E16" i="55"/>
  <c r="E15" i="55"/>
  <c r="E14" i="55"/>
  <c r="E13" i="55"/>
  <c r="E12" i="55"/>
  <c r="E11" i="55"/>
  <c r="E10" i="55"/>
  <c r="E9" i="55"/>
  <c r="E8" i="55"/>
  <c r="E7" i="55"/>
  <c r="E6" i="55"/>
  <c r="E5" i="55"/>
  <c r="E4" i="55"/>
  <c r="E3" i="55"/>
  <c r="N55" i="40"/>
  <c r="N56" i="40"/>
  <c r="N57" i="40"/>
  <c r="N58" i="40"/>
  <c r="N59" i="40"/>
  <c r="N60" i="40"/>
  <c r="N54" i="40"/>
  <c r="A54" i="40"/>
  <c r="B54" i="40"/>
  <c r="C54" i="40"/>
  <c r="A55" i="40"/>
  <c r="B55" i="40"/>
  <c r="C55" i="40"/>
  <c r="A56" i="40"/>
  <c r="B56" i="40"/>
  <c r="C56" i="40"/>
  <c r="A57" i="40"/>
  <c r="B57" i="40"/>
  <c r="C57" i="40"/>
  <c r="A58" i="40"/>
  <c r="B58" i="40"/>
  <c r="C58" i="40"/>
  <c r="A59" i="40"/>
  <c r="B59" i="40"/>
  <c r="C59" i="40"/>
  <c r="A60" i="40"/>
  <c r="B60" i="40"/>
  <c r="C60" i="40"/>
  <c r="K53" i="40"/>
  <c r="E53" i="40"/>
  <c r="F53" i="40"/>
  <c r="G53" i="40"/>
  <c r="H53" i="40"/>
  <c r="I53" i="40"/>
  <c r="J53" i="40"/>
  <c r="B53" i="40"/>
  <c r="C53" i="40"/>
  <c r="D53" i="40"/>
  <c r="A53" i="40"/>
  <c r="N142" i="65"/>
  <c r="L142" i="65"/>
  <c r="J142" i="65"/>
  <c r="I142" i="65"/>
  <c r="G139" i="65"/>
  <c r="S139" i="65" s="1"/>
  <c r="E139" i="65"/>
  <c r="D139" i="65"/>
  <c r="C139" i="65"/>
  <c r="B139" i="65"/>
  <c r="G138" i="65"/>
  <c r="E138" i="65"/>
  <c r="D138" i="65"/>
  <c r="C138" i="65"/>
  <c r="B138" i="65"/>
  <c r="G137" i="65"/>
  <c r="S137" i="65" s="1"/>
  <c r="E137" i="65"/>
  <c r="D137" i="65"/>
  <c r="C137" i="65"/>
  <c r="B137" i="65"/>
  <c r="G136" i="65"/>
  <c r="E136" i="65"/>
  <c r="D136" i="65"/>
  <c r="C136" i="65"/>
  <c r="B136" i="65"/>
  <c r="G135" i="65"/>
  <c r="S135" i="65" s="1"/>
  <c r="E135" i="65"/>
  <c r="D135" i="65"/>
  <c r="C135" i="65"/>
  <c r="B135" i="65"/>
  <c r="G134" i="65"/>
  <c r="S134" i="65" s="1"/>
  <c r="E134" i="65"/>
  <c r="D134" i="65"/>
  <c r="C134" i="65"/>
  <c r="B134" i="65"/>
  <c r="G133" i="65"/>
  <c r="E133" i="65"/>
  <c r="D133" i="65"/>
  <c r="C133" i="65"/>
  <c r="B133" i="65"/>
  <c r="G132" i="65"/>
  <c r="E132" i="65"/>
  <c r="D132" i="65"/>
  <c r="C132" i="65"/>
  <c r="B132" i="65"/>
  <c r="G131" i="65"/>
  <c r="E131" i="65"/>
  <c r="D131" i="65"/>
  <c r="C131" i="65"/>
  <c r="B131" i="65"/>
  <c r="G130" i="65"/>
  <c r="E130" i="65"/>
  <c r="D130" i="65"/>
  <c r="C130" i="65"/>
  <c r="B130" i="65"/>
  <c r="B129" i="65"/>
  <c r="G128" i="65"/>
  <c r="E128" i="65"/>
  <c r="D128" i="65"/>
  <c r="C128" i="65"/>
  <c r="B128" i="65"/>
  <c r="G127" i="65"/>
  <c r="E127" i="65"/>
  <c r="D127" i="65"/>
  <c r="C127" i="65"/>
  <c r="B127" i="65"/>
  <c r="G126" i="65"/>
  <c r="E126" i="65"/>
  <c r="D126" i="65"/>
  <c r="C126" i="65"/>
  <c r="B126" i="65"/>
  <c r="G125" i="65"/>
  <c r="E125" i="65"/>
  <c r="D125" i="65"/>
  <c r="C125" i="65"/>
  <c r="B125" i="65"/>
  <c r="G124" i="65"/>
  <c r="E124" i="65"/>
  <c r="D124" i="65"/>
  <c r="C124" i="65"/>
  <c r="B124" i="65"/>
  <c r="G123" i="65"/>
  <c r="E123" i="65"/>
  <c r="D123" i="65"/>
  <c r="C123" i="65"/>
  <c r="B123" i="65"/>
  <c r="G122" i="65"/>
  <c r="E122" i="65"/>
  <c r="D122" i="65"/>
  <c r="C122" i="65"/>
  <c r="B122" i="65"/>
  <c r="G121" i="65"/>
  <c r="E121" i="65"/>
  <c r="D121" i="65"/>
  <c r="C121" i="65"/>
  <c r="B121" i="65"/>
  <c r="G120" i="65"/>
  <c r="E120" i="65"/>
  <c r="D120" i="65"/>
  <c r="C120" i="65"/>
  <c r="B120" i="65"/>
  <c r="G119" i="65"/>
  <c r="E119" i="65"/>
  <c r="D119" i="65"/>
  <c r="C119" i="65"/>
  <c r="B119" i="65"/>
  <c r="G118" i="65"/>
  <c r="E118" i="65"/>
  <c r="D118" i="65"/>
  <c r="C118" i="65"/>
  <c r="B118" i="65"/>
  <c r="G117" i="65"/>
  <c r="E117" i="65"/>
  <c r="D117" i="65"/>
  <c r="C117" i="65"/>
  <c r="B117" i="65"/>
  <c r="G116" i="65"/>
  <c r="E116" i="65"/>
  <c r="D116" i="65"/>
  <c r="C116" i="65"/>
  <c r="B116" i="65"/>
  <c r="G115" i="65"/>
  <c r="E115" i="65"/>
  <c r="D115" i="65"/>
  <c r="C115" i="65"/>
  <c r="B115" i="65"/>
  <c r="G114" i="65"/>
  <c r="E114" i="65"/>
  <c r="D114" i="65"/>
  <c r="C114" i="65"/>
  <c r="B114" i="65"/>
  <c r="G113" i="65"/>
  <c r="E113" i="65"/>
  <c r="D113" i="65"/>
  <c r="C113" i="65"/>
  <c r="B113" i="65"/>
  <c r="G112" i="65"/>
  <c r="E112" i="65"/>
  <c r="D112" i="65"/>
  <c r="C112" i="65"/>
  <c r="B112" i="65"/>
  <c r="G111" i="65"/>
  <c r="E111" i="65"/>
  <c r="D111" i="65"/>
  <c r="C111" i="65"/>
  <c r="B111" i="65"/>
  <c r="G110" i="65"/>
  <c r="E110" i="65"/>
  <c r="D110" i="65"/>
  <c r="C110" i="65"/>
  <c r="B110" i="65"/>
  <c r="G109" i="65"/>
  <c r="E109" i="65"/>
  <c r="D109" i="65"/>
  <c r="C109" i="65"/>
  <c r="B109" i="65"/>
  <c r="G108" i="65"/>
  <c r="E108" i="65"/>
  <c r="D108" i="65"/>
  <c r="C108" i="65"/>
  <c r="B108" i="65"/>
  <c r="G107" i="65"/>
  <c r="D107" i="65"/>
  <c r="C107" i="65"/>
  <c r="B107" i="65"/>
  <c r="G106" i="65"/>
  <c r="D106" i="65"/>
  <c r="C106" i="65"/>
  <c r="B106" i="65"/>
  <c r="G105" i="65"/>
  <c r="D105" i="65"/>
  <c r="C105" i="65"/>
  <c r="B105" i="65"/>
  <c r="G104" i="65"/>
  <c r="D104" i="65"/>
  <c r="C104" i="65"/>
  <c r="B104" i="65"/>
  <c r="G103" i="65"/>
  <c r="D103" i="65"/>
  <c r="C103" i="65"/>
  <c r="B103" i="65"/>
  <c r="G102" i="65"/>
  <c r="D102" i="65"/>
  <c r="C102" i="65"/>
  <c r="B102" i="65"/>
  <c r="G101" i="65"/>
  <c r="D101" i="65"/>
  <c r="C101" i="65"/>
  <c r="B101" i="65"/>
  <c r="G100" i="65"/>
  <c r="D100" i="65"/>
  <c r="C100" i="65"/>
  <c r="B100" i="65"/>
  <c r="G99" i="65"/>
  <c r="D99" i="65"/>
  <c r="C99" i="65"/>
  <c r="B99" i="65"/>
  <c r="G98" i="65"/>
  <c r="D98" i="65"/>
  <c r="C98" i="65"/>
  <c r="B98" i="65"/>
  <c r="G97" i="65"/>
  <c r="D97" i="65"/>
  <c r="C97" i="65"/>
  <c r="B97" i="65"/>
  <c r="G96" i="65"/>
  <c r="D96" i="65"/>
  <c r="C96" i="65"/>
  <c r="B96" i="65"/>
  <c r="C95" i="65"/>
  <c r="B95" i="65"/>
  <c r="G94" i="65"/>
  <c r="E94" i="65"/>
  <c r="D94" i="65"/>
  <c r="C94" i="65"/>
  <c r="B94" i="65"/>
  <c r="G93" i="65"/>
  <c r="E93" i="65"/>
  <c r="D93" i="65"/>
  <c r="C93" i="65"/>
  <c r="B93" i="65"/>
  <c r="G92" i="65"/>
  <c r="E92" i="65"/>
  <c r="D92" i="65"/>
  <c r="C92" i="65"/>
  <c r="B92" i="65"/>
  <c r="G91" i="65"/>
  <c r="E91" i="65"/>
  <c r="D91" i="65"/>
  <c r="C91" i="65"/>
  <c r="B91" i="65"/>
  <c r="B90" i="65"/>
  <c r="G89" i="65"/>
  <c r="E89" i="65"/>
  <c r="D89" i="65"/>
  <c r="C89" i="65"/>
  <c r="B89" i="65"/>
  <c r="G88" i="65"/>
  <c r="E88" i="65"/>
  <c r="D88" i="65"/>
  <c r="C88" i="65"/>
  <c r="B88" i="65"/>
  <c r="G87" i="65"/>
  <c r="E87" i="65"/>
  <c r="D87" i="65"/>
  <c r="C87" i="65"/>
  <c r="B87" i="65"/>
  <c r="G86" i="65"/>
  <c r="E86" i="65"/>
  <c r="D86" i="65"/>
  <c r="C86" i="65"/>
  <c r="B86" i="65"/>
  <c r="G85" i="65"/>
  <c r="E85" i="65"/>
  <c r="D85" i="65"/>
  <c r="C85" i="65"/>
  <c r="B85" i="65"/>
  <c r="G84" i="65"/>
  <c r="E84" i="65"/>
  <c r="D84" i="65"/>
  <c r="C84" i="65"/>
  <c r="B84" i="65"/>
  <c r="G83" i="65"/>
  <c r="E83" i="65"/>
  <c r="D83" i="65"/>
  <c r="C83" i="65"/>
  <c r="B83" i="65"/>
  <c r="G82" i="65"/>
  <c r="E82" i="65"/>
  <c r="D82" i="65"/>
  <c r="C82" i="65"/>
  <c r="B82" i="65"/>
  <c r="G81" i="65"/>
  <c r="E81" i="65"/>
  <c r="D81" i="65"/>
  <c r="C81" i="65"/>
  <c r="B81" i="65"/>
  <c r="G80" i="65"/>
  <c r="E80" i="65"/>
  <c r="D80" i="65"/>
  <c r="C80" i="65"/>
  <c r="B80" i="65"/>
  <c r="G79" i="65"/>
  <c r="D79" i="65"/>
  <c r="C79" i="65"/>
  <c r="B79" i="65"/>
  <c r="G78" i="65"/>
  <c r="D78" i="65"/>
  <c r="C78" i="65"/>
  <c r="B78" i="65"/>
  <c r="G77" i="65"/>
  <c r="D77" i="65"/>
  <c r="C77" i="65"/>
  <c r="B77" i="65"/>
  <c r="G76" i="65"/>
  <c r="D76" i="65"/>
  <c r="C76" i="65"/>
  <c r="B76" i="65"/>
  <c r="G75" i="65"/>
  <c r="D75" i="65"/>
  <c r="C75" i="65"/>
  <c r="B75" i="65"/>
  <c r="G74" i="65"/>
  <c r="D74" i="65"/>
  <c r="C74" i="65"/>
  <c r="B74" i="65"/>
  <c r="G73" i="65"/>
  <c r="D73" i="65"/>
  <c r="C73" i="65"/>
  <c r="B73" i="65"/>
  <c r="G72" i="65"/>
  <c r="D72" i="65"/>
  <c r="C72" i="65"/>
  <c r="B72" i="65"/>
  <c r="G71" i="65"/>
  <c r="D71" i="65"/>
  <c r="C71" i="65"/>
  <c r="B71" i="65"/>
  <c r="G70" i="65"/>
  <c r="D70" i="65"/>
  <c r="C70" i="65"/>
  <c r="B70" i="65"/>
  <c r="B69" i="65"/>
  <c r="G68" i="65"/>
  <c r="E68" i="65"/>
  <c r="D68" i="65"/>
  <c r="C68" i="65"/>
  <c r="B68" i="65"/>
  <c r="G67" i="65"/>
  <c r="E67" i="65"/>
  <c r="D67" i="65"/>
  <c r="C67" i="65"/>
  <c r="B67" i="65"/>
  <c r="G66" i="65"/>
  <c r="E66" i="65"/>
  <c r="D66" i="65"/>
  <c r="C66" i="65"/>
  <c r="B66" i="65"/>
  <c r="G65" i="65"/>
  <c r="E65" i="65"/>
  <c r="D65" i="65"/>
  <c r="C65" i="65"/>
  <c r="B65" i="65"/>
  <c r="G64" i="65"/>
  <c r="E64" i="65"/>
  <c r="D64" i="65"/>
  <c r="C64" i="65"/>
  <c r="B64" i="65"/>
  <c r="B63" i="65"/>
  <c r="G62" i="65"/>
  <c r="E62" i="65"/>
  <c r="D62" i="65"/>
  <c r="C62" i="65"/>
  <c r="B62" i="65"/>
  <c r="G61" i="65"/>
  <c r="E61" i="65"/>
  <c r="D61" i="65"/>
  <c r="C61" i="65"/>
  <c r="B61" i="65"/>
  <c r="G60" i="65"/>
  <c r="E60" i="65"/>
  <c r="D60" i="65"/>
  <c r="C60" i="65"/>
  <c r="B60" i="65"/>
  <c r="G59" i="65"/>
  <c r="E59" i="65"/>
  <c r="D59" i="65"/>
  <c r="C59" i="65"/>
  <c r="B59" i="65"/>
  <c r="G58" i="65"/>
  <c r="E58" i="65"/>
  <c r="D58" i="65"/>
  <c r="C58" i="65"/>
  <c r="B58" i="65"/>
  <c r="G57" i="65"/>
  <c r="E57" i="65"/>
  <c r="D57" i="65"/>
  <c r="C57" i="65"/>
  <c r="B57" i="65"/>
  <c r="G56" i="65"/>
  <c r="E56" i="65"/>
  <c r="D56" i="65"/>
  <c r="C56" i="65"/>
  <c r="B56" i="65"/>
  <c r="G55" i="65"/>
  <c r="E55" i="65"/>
  <c r="D55" i="65"/>
  <c r="C55" i="65"/>
  <c r="B55" i="65"/>
  <c r="G54" i="65"/>
  <c r="E54" i="65"/>
  <c r="D54" i="65"/>
  <c r="C54" i="65"/>
  <c r="B54" i="65"/>
  <c r="B53" i="65"/>
  <c r="G52" i="65"/>
  <c r="E52" i="65"/>
  <c r="D52" i="65"/>
  <c r="C52" i="65"/>
  <c r="B52" i="65"/>
  <c r="G51" i="65"/>
  <c r="D51" i="65"/>
  <c r="C51" i="65"/>
  <c r="B51" i="65"/>
  <c r="G50" i="65"/>
  <c r="D50" i="65"/>
  <c r="C50" i="65"/>
  <c r="B50" i="65"/>
  <c r="G49" i="65"/>
  <c r="E49" i="65"/>
  <c r="D49" i="65"/>
  <c r="C49" i="65"/>
  <c r="B49" i="65"/>
  <c r="G48" i="65"/>
  <c r="E48" i="65"/>
  <c r="D48" i="65"/>
  <c r="C48" i="65"/>
  <c r="B48" i="65"/>
  <c r="G47" i="65"/>
  <c r="E47" i="65"/>
  <c r="D47" i="65"/>
  <c r="C47" i="65"/>
  <c r="B47" i="65"/>
  <c r="G46" i="65"/>
  <c r="E46" i="65"/>
  <c r="D46" i="65"/>
  <c r="C46" i="65"/>
  <c r="B46" i="65"/>
  <c r="G45" i="65"/>
  <c r="E45" i="65"/>
  <c r="D45" i="65"/>
  <c r="C45" i="65"/>
  <c r="B45" i="65"/>
  <c r="G44" i="65"/>
  <c r="E44" i="65"/>
  <c r="D44" i="65"/>
  <c r="C44" i="65"/>
  <c r="B44" i="65"/>
  <c r="B43" i="65"/>
  <c r="G42" i="65"/>
  <c r="E42" i="65"/>
  <c r="D42" i="65"/>
  <c r="C42" i="65"/>
  <c r="B42" i="65"/>
  <c r="G41" i="65"/>
  <c r="E41" i="65"/>
  <c r="D41" i="65"/>
  <c r="C41" i="65"/>
  <c r="B41" i="65"/>
  <c r="G40" i="65"/>
  <c r="E40" i="65"/>
  <c r="D40" i="65"/>
  <c r="C40" i="65"/>
  <c r="B40" i="65"/>
  <c r="G39" i="65"/>
  <c r="E39" i="65"/>
  <c r="D39" i="65"/>
  <c r="C39" i="65"/>
  <c r="B39" i="65"/>
  <c r="B38" i="65"/>
  <c r="G37" i="65"/>
  <c r="E37" i="65"/>
  <c r="D37" i="65"/>
  <c r="C37" i="65"/>
  <c r="B37" i="65"/>
  <c r="G36" i="65"/>
  <c r="E36" i="65"/>
  <c r="D36" i="65"/>
  <c r="C36" i="65"/>
  <c r="B36" i="65"/>
  <c r="G35" i="65"/>
  <c r="E35" i="65"/>
  <c r="D35" i="65"/>
  <c r="C35" i="65"/>
  <c r="B35" i="65"/>
  <c r="G34" i="65"/>
  <c r="E34" i="65"/>
  <c r="D34" i="65"/>
  <c r="C34" i="65"/>
  <c r="B34" i="65"/>
  <c r="G33" i="65"/>
  <c r="E33" i="65"/>
  <c r="D33" i="65"/>
  <c r="C33" i="65"/>
  <c r="B33" i="65"/>
  <c r="G32" i="65"/>
  <c r="E32" i="65"/>
  <c r="D32" i="65"/>
  <c r="C32" i="65"/>
  <c r="B32" i="65"/>
  <c r="G31" i="65"/>
  <c r="E31" i="65"/>
  <c r="D31" i="65"/>
  <c r="C31" i="65"/>
  <c r="B31" i="65"/>
  <c r="G30" i="65"/>
  <c r="E30" i="65"/>
  <c r="D30" i="65"/>
  <c r="C30" i="65"/>
  <c r="B30" i="65"/>
  <c r="G29" i="65"/>
  <c r="E29" i="65"/>
  <c r="D29" i="65"/>
  <c r="C29" i="65"/>
  <c r="B29" i="65"/>
  <c r="G28" i="65"/>
  <c r="E28" i="65"/>
  <c r="D28" i="65"/>
  <c r="C28" i="65"/>
  <c r="B28" i="65"/>
  <c r="G27" i="65"/>
  <c r="E27" i="65"/>
  <c r="D27" i="65"/>
  <c r="C27" i="65"/>
  <c r="B27" i="65"/>
  <c r="G26" i="65"/>
  <c r="E26" i="65"/>
  <c r="D26" i="65"/>
  <c r="C26" i="65"/>
  <c r="B26" i="65"/>
  <c r="G25" i="65"/>
  <c r="E25" i="65"/>
  <c r="D25" i="65"/>
  <c r="C25" i="65"/>
  <c r="B25" i="65"/>
  <c r="G24" i="65"/>
  <c r="E24" i="65"/>
  <c r="D24" i="65"/>
  <c r="C24" i="65"/>
  <c r="B24" i="65"/>
  <c r="B23" i="65"/>
  <c r="G22" i="65"/>
  <c r="E22" i="65"/>
  <c r="D22" i="65"/>
  <c r="C22" i="65"/>
  <c r="B22" i="65"/>
  <c r="G21" i="65"/>
  <c r="E21" i="65"/>
  <c r="D21" i="65"/>
  <c r="C21" i="65"/>
  <c r="B21" i="65"/>
  <c r="G20" i="65"/>
  <c r="E20" i="65"/>
  <c r="D20" i="65"/>
  <c r="C20" i="65"/>
  <c r="B20" i="65"/>
  <c r="G19" i="65"/>
  <c r="E19" i="65"/>
  <c r="D19" i="65"/>
  <c r="C19" i="65"/>
  <c r="B19" i="65"/>
  <c r="G18" i="65"/>
  <c r="E18" i="65"/>
  <c r="D18" i="65"/>
  <c r="C18" i="65"/>
  <c r="B18" i="65"/>
  <c r="G17" i="65"/>
  <c r="E17" i="65"/>
  <c r="D17" i="65"/>
  <c r="C17" i="65"/>
  <c r="B17" i="65"/>
  <c r="G16" i="65"/>
  <c r="E16" i="65"/>
  <c r="D16" i="65"/>
  <c r="C16" i="65"/>
  <c r="B16" i="65"/>
  <c r="B15" i="65"/>
  <c r="G14" i="65"/>
  <c r="C14" i="65"/>
  <c r="B13" i="65"/>
  <c r="E23" i="45"/>
  <c r="G15" i="63"/>
  <c r="AF15" i="63"/>
  <c r="X15" i="63"/>
  <c r="G129" i="49"/>
  <c r="G127" i="49"/>
  <c r="G124" i="49"/>
  <c r="G123" i="49"/>
  <c r="G121" i="49"/>
  <c r="G120" i="49"/>
  <c r="G119" i="49"/>
  <c r="G117" i="49"/>
  <c r="G116" i="49"/>
  <c r="G109" i="49"/>
  <c r="G92" i="49"/>
  <c r="G85" i="49"/>
  <c r="G86" i="49"/>
  <c r="G87" i="49"/>
  <c r="G81" i="49"/>
  <c r="G82" i="49"/>
  <c r="G83" i="49"/>
  <c r="G68" i="49"/>
  <c r="G69" i="49"/>
  <c r="G57" i="49"/>
  <c r="G58" i="49"/>
  <c r="G59" i="49"/>
  <c r="G47" i="49"/>
  <c r="G48" i="49"/>
  <c r="G43" i="49"/>
  <c r="G27" i="49"/>
  <c r="G30" i="49"/>
  <c r="G37" i="49"/>
  <c r="G38" i="49"/>
  <c r="G17" i="49"/>
  <c r="G22" i="49"/>
  <c r="G23" i="49"/>
  <c r="G53" i="49"/>
  <c r="H143" i="65" l="1"/>
  <c r="H147" i="65"/>
  <c r="H151" i="65" s="1"/>
  <c r="S136" i="65"/>
  <c r="S138" i="65"/>
  <c r="L7" i="63"/>
  <c r="T7" i="63" s="1"/>
  <c r="AJ7" i="63" s="1"/>
  <c r="L10" i="63"/>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L9" i="63"/>
  <c r="T9" i="63" s="1"/>
  <c r="AB9" i="63" s="1"/>
  <c r="AJ9" i="63" s="1"/>
  <c r="L11" i="63"/>
  <c r="L12" i="63"/>
  <c r="Q4" i="9"/>
  <c r="Q5" i="9"/>
  <c r="Q6" i="9"/>
  <c r="Q7" i="9"/>
  <c r="Q3" i="9"/>
  <c r="O4" i="9"/>
  <c r="O5" i="9"/>
  <c r="O6" i="9"/>
  <c r="O7" i="9"/>
  <c r="O3" i="9"/>
  <c r="T12" i="63" l="1"/>
  <c r="AB12" i="63" s="1"/>
  <c r="AJ12" i="63" s="1"/>
  <c r="T10" i="63"/>
  <c r="AB10" i="63" s="1"/>
  <c r="AJ10" i="63" s="1"/>
  <c r="T11" i="63"/>
  <c r="AB11" i="63" s="1"/>
  <c r="AJ11" i="63" s="1"/>
  <c r="AB7" i="63"/>
  <c r="E87" i="45"/>
  <c r="E85" i="45"/>
  <c r="E106" i="45"/>
  <c r="AC4" i="63"/>
  <c r="U4" i="63"/>
  <c r="M4" i="63"/>
  <c r="AK4" i="63" s="1"/>
  <c r="M87" i="34"/>
  <c r="M60" i="34"/>
  <c r="M14" i="34"/>
  <c r="L6" i="63"/>
  <c r="T6" i="63" s="1"/>
  <c r="AB6" i="63" s="1"/>
  <c r="AJ6" i="63" s="1"/>
  <c r="L5" i="63"/>
  <c r="T5" i="63" s="1"/>
  <c r="AB5" i="63" s="1"/>
  <c r="AJ5" i="63" s="1"/>
  <c r="M13" i="34"/>
  <c r="Z5" i="8"/>
  <c r="H74" i="63"/>
  <c r="G74" i="63"/>
  <c r="F74" i="63"/>
  <c r="E74" i="63"/>
  <c r="H73" i="63"/>
  <c r="G73" i="63"/>
  <c r="F73" i="63"/>
  <c r="E73" i="63"/>
  <c r="H72" i="63"/>
  <c r="G72" i="63"/>
  <c r="F72" i="63"/>
  <c r="E72" i="63"/>
  <c r="H71" i="63"/>
  <c r="G71" i="63"/>
  <c r="F71" i="63"/>
  <c r="E71" i="63"/>
  <c r="C70" i="63"/>
  <c r="H5" i="9"/>
  <c r="H3" i="9"/>
  <c r="K5" i="9"/>
  <c r="K3" i="9"/>
  <c r="J5" i="9"/>
  <c r="J3" i="9"/>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H19" i="62"/>
  <c r="F19" i="62"/>
  <c r="J19" i="62" s="1"/>
  <c r="D19" i="62"/>
  <c r="C19" i="62"/>
  <c r="B19" i="62"/>
  <c r="AB18" i="62"/>
  <c r="H18" i="62"/>
  <c r="F18" i="62"/>
  <c r="J18" i="62" s="1"/>
  <c r="D18" i="62"/>
  <c r="C18" i="62"/>
  <c r="B18" i="62"/>
  <c r="AB17" i="62"/>
  <c r="H17" i="62"/>
  <c r="F17" i="62"/>
  <c r="J17" i="62" s="1"/>
  <c r="D17" i="62"/>
  <c r="C17" i="62"/>
  <c r="B17" i="62"/>
  <c r="AB16" i="62"/>
  <c r="H16" i="62"/>
  <c r="F16" i="62"/>
  <c r="J16" i="62" s="1"/>
  <c r="D16" i="62"/>
  <c r="C16" i="62"/>
  <c r="B16" i="62"/>
  <c r="AB15" i="62"/>
  <c r="H15" i="62"/>
  <c r="F15" i="62"/>
  <c r="J15" i="62" s="1"/>
  <c r="D15" i="62"/>
  <c r="C15" i="62"/>
  <c r="B15" i="62"/>
  <c r="AB14" i="62"/>
  <c r="H14" i="62"/>
  <c r="F14" i="62"/>
  <c r="J14" i="62" s="1"/>
  <c r="D14" i="62"/>
  <c r="C14" i="62"/>
  <c r="B14" i="62"/>
  <c r="AB13" i="62"/>
  <c r="H13" i="62"/>
  <c r="F13" i="62"/>
  <c r="J13" i="62" s="1"/>
  <c r="D13" i="62"/>
  <c r="C13" i="62"/>
  <c r="B13" i="62"/>
  <c r="M7" i="62"/>
  <c r="K17" i="62" s="1"/>
  <c r="M6" i="62"/>
  <c r="D1" i="62"/>
  <c r="E25" i="42"/>
  <c r="R10" i="59" l="1"/>
  <c r="T9" i="59" s="1"/>
  <c r="O9" i="59"/>
  <c r="N10" i="59"/>
  <c r="K13" i="62"/>
  <c r="K14"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E108" i="46" l="1"/>
  <c r="E107" i="46"/>
  <c r="E25" i="46"/>
  <c r="E37" i="46"/>
  <c r="Y7" i="10"/>
  <c r="G75" i="56" l="1"/>
  <c r="G74" i="56"/>
  <c r="G73" i="56"/>
  <c r="G72" i="56"/>
  <c r="E75" i="56"/>
  <c r="E74" i="56"/>
  <c r="E73" i="56"/>
  <c r="E72" i="56"/>
  <c r="C71" i="56"/>
  <c r="G23" i="50"/>
  <c r="G22" i="50"/>
  <c r="G21" i="50"/>
  <c r="G20" i="50"/>
  <c r="AK5" i="63" s="1"/>
  <c r="G19" i="50"/>
  <c r="G18" i="50"/>
  <c r="G17" i="50"/>
  <c r="G15" i="50"/>
  <c r="AK6" i="63" l="1"/>
  <c r="AK7" i="63" s="1"/>
  <c r="AN14" i="63"/>
  <c r="AA11" i="7"/>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M136" i="44" l="1"/>
  <c r="M135" i="44"/>
  <c r="M133" i="44"/>
  <c r="M132" i="44"/>
  <c r="M131" i="44"/>
  <c r="M130" i="44"/>
  <c r="M128" i="44"/>
  <c r="M126" i="44"/>
  <c r="M125" i="44"/>
  <c r="M124" i="44"/>
  <c r="M123" i="44"/>
  <c r="M122" i="44"/>
  <c r="M121" i="44"/>
  <c r="M119" i="44"/>
  <c r="M118" i="44"/>
  <c r="M117" i="44"/>
  <c r="M116" i="44"/>
  <c r="M115" i="44"/>
  <c r="M114" i="44"/>
  <c r="M113" i="44"/>
  <c r="M112" i="44"/>
  <c r="M111" i="44"/>
  <c r="M110" i="44"/>
  <c r="M107" i="44"/>
  <c r="M106" i="44"/>
  <c r="M103" i="44"/>
  <c r="M102" i="44"/>
  <c r="M101" i="44"/>
  <c r="M100" i="44"/>
  <c r="M99" i="44"/>
  <c r="M98" i="44"/>
  <c r="M95" i="44"/>
  <c r="M94" i="44"/>
  <c r="M91" i="44"/>
  <c r="M90" i="44"/>
  <c r="M89" i="44"/>
  <c r="M87" i="44"/>
  <c r="M86" i="44"/>
  <c r="M85" i="44"/>
  <c r="M72" i="44"/>
  <c r="M71" i="44"/>
  <c r="M70" i="44"/>
  <c r="M69" i="44"/>
  <c r="M68" i="44"/>
  <c r="M66" i="44"/>
  <c r="M65" i="44"/>
  <c r="M64" i="44"/>
  <c r="M63" i="44"/>
  <c r="M62" i="44"/>
  <c r="M59" i="44"/>
  <c r="M58" i="44"/>
  <c r="M57" i="44"/>
  <c r="M56" i="44"/>
  <c r="M54" i="44"/>
  <c r="M53" i="44"/>
  <c r="M50" i="44"/>
  <c r="M49" i="44"/>
  <c r="M48" i="44"/>
  <c r="M47" i="44"/>
  <c r="M46" i="44"/>
  <c r="M45" i="44"/>
  <c r="M44" i="44"/>
  <c r="M43" i="44"/>
  <c r="M42" i="44"/>
  <c r="M40" i="44"/>
  <c r="M39" i="44"/>
  <c r="M37" i="44"/>
  <c r="M35" i="44"/>
  <c r="M34" i="44"/>
  <c r="M33" i="44"/>
  <c r="M32" i="44"/>
  <c r="M31" i="44"/>
  <c r="M30" i="44"/>
  <c r="M27" i="44"/>
  <c r="M25" i="44"/>
  <c r="M24" i="44"/>
  <c r="M23" i="44"/>
  <c r="M22" i="44"/>
  <c r="M20" i="44"/>
  <c r="M18" i="44"/>
  <c r="M17" i="44"/>
  <c r="M16" i="44"/>
  <c r="M15" i="44"/>
  <c r="M14" i="44"/>
  <c r="M84" i="44"/>
  <c r="M83" i="44"/>
  <c r="M81" i="44"/>
  <c r="M80" i="44"/>
  <c r="M79" i="44"/>
  <c r="M78" i="44"/>
  <c r="M77" i="44"/>
  <c r="M76" i="44"/>
  <c r="M75" i="44"/>
  <c r="AW11" i="7"/>
  <c r="AS11" i="7"/>
  <c r="AO11" i="7"/>
  <c r="AK11" i="7"/>
  <c r="AE11" i="7"/>
  <c r="AA13" i="9"/>
  <c r="AC13" i="9"/>
  <c r="F4" i="9"/>
  <c r="G4" i="9" s="1"/>
  <c r="I4" i="9" s="1"/>
  <c r="F5" i="9"/>
  <c r="F6" i="9"/>
  <c r="F3" i="9"/>
  <c r="G68" i="34"/>
  <c r="G67" i="34"/>
  <c r="G66" i="34"/>
  <c r="G65" i="34"/>
  <c r="G64" i="34"/>
  <c r="G63" i="34"/>
  <c r="G62" i="34"/>
  <c r="G61" i="34"/>
  <c r="G60" i="34"/>
  <c r="G59" i="34"/>
  <c r="G96" i="34"/>
  <c r="G95" i="34"/>
  <c r="G94" i="34"/>
  <c r="G93" i="34"/>
  <c r="G92" i="34"/>
  <c r="G91" i="34"/>
  <c r="G90" i="34"/>
  <c r="G89" i="34"/>
  <c r="G88" i="34"/>
  <c r="G87" i="34"/>
  <c r="G86" i="34"/>
  <c r="G85" i="34"/>
  <c r="E57" i="39"/>
  <c r="G57" i="39" s="1"/>
  <c r="H57" i="39" s="1"/>
  <c r="E51" i="39"/>
  <c r="G51" i="39" s="1"/>
  <c r="H51" i="39" s="1"/>
  <c r="E48" i="39"/>
  <c r="G48" i="39" s="1"/>
  <c r="H48" i="39" s="1"/>
  <c r="E47" i="39"/>
  <c r="G47" i="39" s="1"/>
  <c r="H47" i="39" s="1"/>
  <c r="E38" i="39"/>
  <c r="E37" i="39"/>
  <c r="E30" i="39"/>
  <c r="G30" i="39" s="1"/>
  <c r="H30" i="39" s="1"/>
  <c r="E29" i="39"/>
  <c r="G29" i="39" s="1"/>
  <c r="H29" i="39" s="1"/>
  <c r="H26" i="39"/>
  <c r="E25" i="39"/>
  <c r="G25" i="39" s="1"/>
  <c r="H25" i="39" s="1"/>
  <c r="E24" i="39"/>
  <c r="G24" i="39" s="1"/>
  <c r="H24" i="39" s="1"/>
  <c r="E23" i="39"/>
  <c r="G23" i="39" s="1"/>
  <c r="H23" i="39" s="1"/>
  <c r="E22" i="39"/>
  <c r="G22" i="39" s="1"/>
  <c r="H22" i="39" s="1"/>
  <c r="E21" i="39"/>
  <c r="G21" i="39" s="1"/>
  <c r="H21" i="39" s="1"/>
  <c r="E20" i="39"/>
  <c r="G20" i="39" s="1"/>
  <c r="H20" i="39" s="1"/>
  <c r="E19" i="39"/>
  <c r="G19" i="39" s="1"/>
  <c r="H19" i="39" s="1"/>
  <c r="E18" i="39"/>
  <c r="G18" i="39" s="1"/>
  <c r="H18" i="39" s="1"/>
  <c r="E17" i="39"/>
  <c r="G17" i="39" s="1"/>
  <c r="H17" i="39" s="1"/>
  <c r="E15" i="39"/>
  <c r="G15" i="39" s="1"/>
  <c r="H15" i="39" s="1"/>
  <c r="E14" i="39"/>
  <c r="G14" i="39" s="1"/>
  <c r="H14" i="39" s="1"/>
  <c r="E13" i="39"/>
  <c r="G13" i="39" s="1"/>
  <c r="H13" i="39" s="1"/>
  <c r="E12" i="39"/>
  <c r="G12" i="39" s="1"/>
  <c r="H12" i="39" s="1"/>
  <c r="E11" i="39"/>
  <c r="G11" i="39" s="1"/>
  <c r="H11" i="39" s="1"/>
  <c r="E10" i="39"/>
  <c r="G10" i="39" s="1"/>
  <c r="H10" i="39" s="1"/>
  <c r="E9" i="39"/>
  <c r="G9" i="39" s="1"/>
  <c r="H9" i="39" s="1"/>
  <c r="E7" i="39"/>
  <c r="F18" i="55"/>
  <c r="F17" i="55"/>
  <c r="F16" i="55"/>
  <c r="F15" i="55"/>
  <c r="F14" i="55"/>
  <c r="E54" i="39" s="1"/>
  <c r="G54" i="39" s="1"/>
  <c r="H54" i="39" s="1"/>
  <c r="F13" i="55"/>
  <c r="F12" i="55"/>
  <c r="F11" i="55"/>
  <c r="E43" i="39" s="1"/>
  <c r="G43" i="39" s="1"/>
  <c r="H43" i="39" s="1"/>
  <c r="F10" i="55"/>
  <c r="F9" i="55"/>
  <c r="F8" i="55"/>
  <c r="E114" i="39" s="1"/>
  <c r="G114" i="39" s="1"/>
  <c r="H114" i="39" s="1"/>
  <c r="F7" i="55"/>
  <c r="F6" i="55"/>
  <c r="F5" i="55"/>
  <c r="E49" i="39" s="1"/>
  <c r="G49" i="39" s="1"/>
  <c r="H49" i="39" s="1"/>
  <c r="F4" i="55"/>
  <c r="F3" i="55"/>
  <c r="E82" i="39" s="1"/>
  <c r="G82" i="39" s="1"/>
  <c r="H82" i="39" s="1"/>
  <c r="G25" i="50"/>
  <c r="G26" i="50"/>
  <c r="G27" i="50"/>
  <c r="G28" i="50"/>
  <c r="G29" i="50"/>
  <c r="G30" i="50"/>
  <c r="G31" i="50"/>
  <c r="G32" i="50"/>
  <c r="G33" i="50"/>
  <c r="G34" i="50"/>
  <c r="G35" i="50"/>
  <c r="G36" i="50"/>
  <c r="G37" i="50"/>
  <c r="G38" i="50"/>
  <c r="G40" i="50"/>
  <c r="G41" i="50"/>
  <c r="G42" i="50"/>
  <c r="G43" i="50"/>
  <c r="G45" i="50"/>
  <c r="G46" i="50"/>
  <c r="G47" i="50"/>
  <c r="G48" i="50"/>
  <c r="G49" i="50"/>
  <c r="G50" i="50"/>
  <c r="G51" i="50"/>
  <c r="G52" i="50"/>
  <c r="G53" i="50"/>
  <c r="G55" i="50"/>
  <c r="G56" i="50"/>
  <c r="G57" i="50"/>
  <c r="G58" i="50"/>
  <c r="G59" i="50"/>
  <c r="G60" i="50"/>
  <c r="G61" i="50"/>
  <c r="G62" i="50"/>
  <c r="G63" i="50"/>
  <c r="G65" i="50"/>
  <c r="G66" i="50"/>
  <c r="G67" i="50"/>
  <c r="G68" i="50"/>
  <c r="G69" i="50"/>
  <c r="G71" i="50"/>
  <c r="G72" i="50"/>
  <c r="G73" i="50"/>
  <c r="G74" i="50"/>
  <c r="G75" i="50"/>
  <c r="G76" i="50"/>
  <c r="G77" i="50"/>
  <c r="G78" i="50"/>
  <c r="G79" i="50"/>
  <c r="G80" i="50"/>
  <c r="G81" i="50"/>
  <c r="G82" i="50"/>
  <c r="G83" i="50"/>
  <c r="G84" i="50"/>
  <c r="G85" i="50"/>
  <c r="G86" i="50"/>
  <c r="G87" i="50"/>
  <c r="G88" i="50"/>
  <c r="G89" i="50"/>
  <c r="G90" i="50"/>
  <c r="G92" i="50"/>
  <c r="G93" i="50"/>
  <c r="G94" i="50"/>
  <c r="G95" i="50"/>
  <c r="G97" i="50"/>
  <c r="G98" i="50"/>
  <c r="Z5" i="56" s="1"/>
  <c r="Z6" i="56" s="1"/>
  <c r="Z7" i="56" s="1"/>
  <c r="Z8" i="56" s="1"/>
  <c r="Z9" i="56" s="1"/>
  <c r="Z10" i="56" s="1"/>
  <c r="Z11" i="56" s="1"/>
  <c r="Z12" i="56" s="1"/>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29" i="50"/>
  <c r="G131" i="50"/>
  <c r="G132" i="50"/>
  <c r="G133" i="50"/>
  <c r="G134" i="50"/>
  <c r="G135" i="50"/>
  <c r="G142" i="50" s="1"/>
  <c r="G144" i="50" s="1"/>
  <c r="G136" i="50"/>
  <c r="G137" i="50"/>
  <c r="G138" i="50"/>
  <c r="G139" i="50"/>
  <c r="G140" i="50"/>
  <c r="G14" i="42"/>
  <c r="G15" i="42"/>
  <c r="G16" i="42"/>
  <c r="G17" i="42"/>
  <c r="G18" i="42"/>
  <c r="G19" i="42"/>
  <c r="G20" i="42"/>
  <c r="G22" i="42"/>
  <c r="E5" i="63" s="1"/>
  <c r="G23" i="42"/>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8" i="49"/>
  <c r="G19" i="49"/>
  <c r="G20" i="49"/>
  <c r="G21" i="49"/>
  <c r="G25" i="49"/>
  <c r="G26" i="49"/>
  <c r="G28" i="49"/>
  <c r="G29" i="49"/>
  <c r="G31" i="49"/>
  <c r="G32" i="49"/>
  <c r="G33" i="49"/>
  <c r="G34" i="49"/>
  <c r="G35" i="49"/>
  <c r="G36" i="49"/>
  <c r="G40" i="49"/>
  <c r="G41" i="49"/>
  <c r="G42" i="49"/>
  <c r="G45" i="49"/>
  <c r="G46" i="49"/>
  <c r="G49" i="49"/>
  <c r="G50" i="49"/>
  <c r="G51" i="49"/>
  <c r="G52" i="49"/>
  <c r="G55" i="49"/>
  <c r="G56" i="49"/>
  <c r="G60" i="49"/>
  <c r="G61" i="49"/>
  <c r="G62" i="49"/>
  <c r="G63" i="49"/>
  <c r="G65" i="49"/>
  <c r="G66" i="49"/>
  <c r="G67" i="49"/>
  <c r="G71" i="49"/>
  <c r="G72" i="49"/>
  <c r="G73" i="49"/>
  <c r="G74" i="49"/>
  <c r="G75" i="49"/>
  <c r="G76" i="49"/>
  <c r="G77" i="49"/>
  <c r="G78" i="49"/>
  <c r="G79" i="49"/>
  <c r="G80" i="49"/>
  <c r="G84" i="49"/>
  <c r="G88" i="49"/>
  <c r="G89" i="49"/>
  <c r="G90" i="49"/>
  <c r="G93" i="49"/>
  <c r="G94" i="49"/>
  <c r="G95" i="49"/>
  <c r="G97" i="49"/>
  <c r="G98" i="49"/>
  <c r="G99" i="49"/>
  <c r="AC5" i="63" s="1"/>
  <c r="G100" i="49"/>
  <c r="G101" i="49"/>
  <c r="G102" i="49"/>
  <c r="G103" i="49"/>
  <c r="G104" i="49"/>
  <c r="G105" i="49"/>
  <c r="G106" i="49"/>
  <c r="G107" i="49"/>
  <c r="G108" i="49"/>
  <c r="G110" i="49"/>
  <c r="G111" i="49"/>
  <c r="G112" i="49"/>
  <c r="G113" i="49"/>
  <c r="G114" i="49"/>
  <c r="G115" i="49"/>
  <c r="G118" i="49"/>
  <c r="G122" i="49"/>
  <c r="G125" i="49"/>
  <c r="G126" i="49"/>
  <c r="G128" i="49"/>
  <c r="G131" i="49"/>
  <c r="G132" i="49"/>
  <c r="G133" i="49"/>
  <c r="G134" i="49"/>
  <c r="G135" i="49"/>
  <c r="G136" i="49"/>
  <c r="G137" i="49"/>
  <c r="G138" i="49"/>
  <c r="G139" i="49"/>
  <c r="G140" i="49"/>
  <c r="G12" i="42"/>
  <c r="G12" i="44"/>
  <c r="G12" i="46"/>
  <c r="G12" i="48"/>
  <c r="G12" i="33"/>
  <c r="G12" i="43"/>
  <c r="G12" i="45"/>
  <c r="G12" i="47"/>
  <c r="G15" i="49"/>
  <c r="M129" i="44"/>
  <c r="M137" i="44"/>
  <c r="M92" i="44"/>
  <c r="M96" i="44"/>
  <c r="M104" i="44"/>
  <c r="M108" i="44"/>
  <c r="M120" i="44"/>
  <c r="M73" i="44"/>
  <c r="M82" i="44"/>
  <c r="M55" i="44"/>
  <c r="M28" i="44"/>
  <c r="M19" i="44"/>
  <c r="M12" i="44"/>
  <c r="AD85" i="34" l="1"/>
  <c r="H50" i="70" s="1"/>
  <c r="T85" i="34"/>
  <c r="W85" i="34" s="1"/>
  <c r="AD93" i="34"/>
  <c r="H20" i="70" s="1"/>
  <c r="T93" i="34"/>
  <c r="W93" i="34" s="1"/>
  <c r="AD63" i="34"/>
  <c r="H65" i="70" s="1"/>
  <c r="T63" i="34"/>
  <c r="W63" i="34" s="1"/>
  <c r="AD91" i="34"/>
  <c r="H17" i="70" s="1"/>
  <c r="T91" i="34"/>
  <c r="W91" i="34" s="1"/>
  <c r="AD92" i="34"/>
  <c r="H19" i="70" s="1"/>
  <c r="T92" i="34"/>
  <c r="W92" i="34" s="1"/>
  <c r="AD62" i="34"/>
  <c r="H59" i="70" s="1"/>
  <c r="T62" i="34"/>
  <c r="W62" i="34" s="1"/>
  <c r="AD86" i="34"/>
  <c r="H58" i="70" s="1"/>
  <c r="T86" i="34"/>
  <c r="W86" i="34" s="1"/>
  <c r="AD94" i="34"/>
  <c r="H22" i="70" s="1"/>
  <c r="T94" i="34"/>
  <c r="W94" i="34" s="1"/>
  <c r="AD64" i="34"/>
  <c r="H66" i="70" s="1"/>
  <c r="T64" i="34"/>
  <c r="W64" i="34" s="1"/>
  <c r="AD88" i="34"/>
  <c r="H32" i="70" s="1"/>
  <c r="T88" i="34"/>
  <c r="W88" i="34" s="1"/>
  <c r="AD96" i="34"/>
  <c r="H26" i="70" s="1"/>
  <c r="T96" i="34"/>
  <c r="W96" i="34" s="1"/>
  <c r="AD66" i="34"/>
  <c r="H69" i="70" s="1"/>
  <c r="T66" i="34"/>
  <c r="W66" i="34" s="1"/>
  <c r="AD89" i="34"/>
  <c r="H33" i="70" s="1"/>
  <c r="T89" i="34"/>
  <c r="W89" i="34" s="1"/>
  <c r="AD59" i="34"/>
  <c r="H41" i="70" s="1"/>
  <c r="T59" i="34"/>
  <c r="W59" i="34" s="1"/>
  <c r="AD67" i="34"/>
  <c r="H70" i="70" s="1"/>
  <c r="T67" i="34"/>
  <c r="W67" i="34" s="1"/>
  <c r="AD61" i="34"/>
  <c r="H60" i="70" s="1"/>
  <c r="T61" i="34"/>
  <c r="W61" i="34" s="1"/>
  <c r="AD87" i="34"/>
  <c r="H55" i="70" s="1"/>
  <c r="T87" i="34"/>
  <c r="W87" i="34" s="1"/>
  <c r="AD95" i="34"/>
  <c r="H25" i="70" s="1"/>
  <c r="T95" i="34"/>
  <c r="W95" i="34" s="1"/>
  <c r="AD65" i="34"/>
  <c r="H68" i="70" s="1"/>
  <c r="T65" i="34"/>
  <c r="W65" i="34" s="1"/>
  <c r="AD90" i="34"/>
  <c r="H16" i="70" s="1"/>
  <c r="T90" i="34"/>
  <c r="W90" i="34" s="1"/>
  <c r="AD60" i="34"/>
  <c r="H47" i="70" s="1"/>
  <c r="T60" i="34"/>
  <c r="W60" i="34" s="1"/>
  <c r="AD68" i="34"/>
  <c r="H71" i="70" s="1"/>
  <c r="T68" i="34"/>
  <c r="W68" i="34" s="1"/>
  <c r="E102" i="65"/>
  <c r="E72" i="65"/>
  <c r="E103" i="65"/>
  <c r="E76" i="65"/>
  <c r="E96" i="65"/>
  <c r="E77" i="65"/>
  <c r="E105" i="65"/>
  <c r="E98" i="65"/>
  <c r="E70" i="65"/>
  <c r="E75" i="65"/>
  <c r="E106" i="65"/>
  <c r="E101" i="65"/>
  <c r="E79" i="65"/>
  <c r="E76" i="46"/>
  <c r="E78" i="65"/>
  <c r="E71" i="44"/>
  <c r="E73" i="65"/>
  <c r="E72" i="45"/>
  <c r="E74" i="65"/>
  <c r="E69" i="44"/>
  <c r="E71" i="65"/>
  <c r="AF14" i="63"/>
  <c r="AC6" i="63"/>
  <c r="AC7" i="63" s="1"/>
  <c r="AC17" i="63" s="1"/>
  <c r="AK9" i="63" s="1"/>
  <c r="M6" i="63"/>
  <c r="O14" i="63"/>
  <c r="G14" i="63"/>
  <c r="E6" i="63"/>
  <c r="E7" i="63" s="1"/>
  <c r="S5" i="56"/>
  <c r="S6" i="56" s="1"/>
  <c r="S7" i="56" s="1"/>
  <c r="S8" i="56" s="1"/>
  <c r="S9" i="56" s="1"/>
  <c r="S10" i="56" s="1"/>
  <c r="S11" i="56" s="1"/>
  <c r="S12" i="56" s="1"/>
  <c r="U5" i="63"/>
  <c r="AT4" i="63" s="1"/>
  <c r="L31" i="46"/>
  <c r="L31" i="43"/>
  <c r="L31" i="45"/>
  <c r="L31" i="48"/>
  <c r="L31" i="47"/>
  <c r="L62" i="46"/>
  <c r="L62" i="43"/>
  <c r="L62" i="45"/>
  <c r="L62" i="48"/>
  <c r="L62" i="47"/>
  <c r="L52" i="47"/>
  <c r="L52" i="43"/>
  <c r="L52" i="48"/>
  <c r="L52" i="46"/>
  <c r="L52" i="45"/>
  <c r="L53" i="45"/>
  <c r="L53" i="47"/>
  <c r="L53" i="46"/>
  <c r="L53" i="48"/>
  <c r="L53" i="43"/>
  <c r="E102" i="46"/>
  <c r="E104" i="65"/>
  <c r="E99" i="65"/>
  <c r="E97" i="45"/>
  <c r="E107" i="65"/>
  <c r="E105" i="45"/>
  <c r="E100" i="65"/>
  <c r="E98" i="45"/>
  <c r="E95" i="44"/>
  <c r="E97" i="65"/>
  <c r="E71" i="39"/>
  <c r="G71" i="39" s="1"/>
  <c r="H71" i="39" s="1"/>
  <c r="E80" i="39"/>
  <c r="G80" i="39" s="1"/>
  <c r="H80" i="39" s="1"/>
  <c r="E42" i="39"/>
  <c r="G42" i="39" s="1"/>
  <c r="H42" i="39" s="1"/>
  <c r="E63" i="39"/>
  <c r="G63" i="39" s="1"/>
  <c r="H63" i="39" s="1"/>
  <c r="M26" i="44"/>
  <c r="E50" i="39"/>
  <c r="G50" i="39" s="1"/>
  <c r="H50" i="39" s="1"/>
  <c r="L55" i="42" s="1"/>
  <c r="E64" i="39"/>
  <c r="G64" i="39" s="1"/>
  <c r="H64" i="39" s="1"/>
  <c r="E72" i="39"/>
  <c r="G72" i="39" s="1"/>
  <c r="H72" i="39" s="1"/>
  <c r="L77" i="33" s="1"/>
  <c r="L129" i="33"/>
  <c r="E45" i="39"/>
  <c r="E67" i="39"/>
  <c r="G67" i="39" s="1"/>
  <c r="H67" i="39" s="1"/>
  <c r="E75" i="39"/>
  <c r="G75" i="39" s="1"/>
  <c r="H75" i="39" s="1"/>
  <c r="L80" i="42" s="1"/>
  <c r="L132" i="42"/>
  <c r="E41" i="39"/>
  <c r="G41" i="39" s="1"/>
  <c r="H41" i="39" s="1"/>
  <c r="E68" i="39"/>
  <c r="G68" i="39" s="1"/>
  <c r="H68" i="39" s="1"/>
  <c r="L73" i="33" s="1"/>
  <c r="E79" i="39"/>
  <c r="G79" i="39" s="1"/>
  <c r="H79" i="39" s="1"/>
  <c r="L84" i="42" s="1"/>
  <c r="L44" i="44"/>
  <c r="O44" i="44" s="1"/>
  <c r="E121" i="39"/>
  <c r="G121" i="39" s="1"/>
  <c r="H121" i="39" s="1"/>
  <c r="L126" i="33" s="1"/>
  <c r="E60" i="39"/>
  <c r="G60" i="39" s="1"/>
  <c r="H60" i="39" s="1"/>
  <c r="E78" i="39"/>
  <c r="G78" i="39" s="1"/>
  <c r="H78" i="39" s="1"/>
  <c r="E61" i="39"/>
  <c r="G61" i="39" s="1"/>
  <c r="H61" i="39" s="1"/>
  <c r="E115" i="39"/>
  <c r="G115" i="39" s="1"/>
  <c r="H115" i="39" s="1"/>
  <c r="E84" i="39"/>
  <c r="G84" i="39" s="1"/>
  <c r="H84" i="39" s="1"/>
  <c r="E88" i="39"/>
  <c r="G88" i="39" s="1"/>
  <c r="H88" i="39" s="1"/>
  <c r="E104" i="39"/>
  <c r="G104" i="39" s="1"/>
  <c r="H104" i="39" s="1"/>
  <c r="E108" i="39"/>
  <c r="G108" i="39" s="1"/>
  <c r="H108" i="39" s="1"/>
  <c r="E112" i="39"/>
  <c r="G112" i="39" s="1"/>
  <c r="H112" i="39" s="1"/>
  <c r="E116" i="39"/>
  <c r="G116" i="39" s="1"/>
  <c r="H116" i="39" s="1"/>
  <c r="L125" i="44"/>
  <c r="O125" i="44" s="1"/>
  <c r="E87" i="39"/>
  <c r="G87" i="39" s="1"/>
  <c r="H87" i="39" s="1"/>
  <c r="E111" i="39"/>
  <c r="G111" i="39" s="1"/>
  <c r="H111" i="39" s="1"/>
  <c r="E85" i="39"/>
  <c r="G85" i="39" s="1"/>
  <c r="H85" i="39" s="1"/>
  <c r="G101" i="39"/>
  <c r="H101" i="39" s="1"/>
  <c r="E109" i="39"/>
  <c r="G109" i="39" s="1"/>
  <c r="H109" i="39" s="1"/>
  <c r="E113" i="39"/>
  <c r="G113" i="39" s="1"/>
  <c r="H113" i="39" s="1"/>
  <c r="E119" i="39"/>
  <c r="G119" i="39" s="1"/>
  <c r="H119" i="39" s="1"/>
  <c r="E86" i="39"/>
  <c r="G86" i="39" s="1"/>
  <c r="H86" i="39" s="1"/>
  <c r="E110" i="39"/>
  <c r="G110" i="39" s="1"/>
  <c r="H110" i="39" s="1"/>
  <c r="E52" i="39"/>
  <c r="G52" i="39" s="1"/>
  <c r="H52" i="39" s="1"/>
  <c r="E53" i="39"/>
  <c r="G53" i="39" s="1"/>
  <c r="H53" i="39" s="1"/>
  <c r="E65" i="39"/>
  <c r="G65" i="39" s="1"/>
  <c r="H65" i="39" s="1"/>
  <c r="E69" i="39"/>
  <c r="G69" i="39" s="1"/>
  <c r="H69" i="39" s="1"/>
  <c r="E73" i="39"/>
  <c r="G73" i="39" s="1"/>
  <c r="H73" i="39" s="1"/>
  <c r="E77" i="39"/>
  <c r="G77" i="39" s="1"/>
  <c r="H77" i="39" s="1"/>
  <c r="E81" i="39"/>
  <c r="G81" i="39" s="1"/>
  <c r="H81" i="39" s="1"/>
  <c r="E66" i="39"/>
  <c r="G66" i="39" s="1"/>
  <c r="H66" i="39" s="1"/>
  <c r="E70" i="39"/>
  <c r="G70" i="39" s="1"/>
  <c r="H70" i="39" s="1"/>
  <c r="E74" i="39"/>
  <c r="G74" i="39" s="1"/>
  <c r="H74" i="39" s="1"/>
  <c r="M13" i="62"/>
  <c r="L14" i="33"/>
  <c r="L14" i="42"/>
  <c r="L27" i="33"/>
  <c r="L26" i="33"/>
  <c r="L26" i="42"/>
  <c r="L27" i="42"/>
  <c r="L33" i="44"/>
  <c r="O33" i="44" s="1"/>
  <c r="L33" i="33"/>
  <c r="L33" i="42"/>
  <c r="L35" i="44"/>
  <c r="O35" i="44" s="1"/>
  <c r="L35" i="33"/>
  <c r="L35" i="42"/>
  <c r="M19" i="62"/>
  <c r="L20" i="33"/>
  <c r="L20" i="42"/>
  <c r="L29" i="44"/>
  <c r="L29" i="33"/>
  <c r="L29" i="42"/>
  <c r="L52" i="33"/>
  <c r="L52" i="42"/>
  <c r="L63" i="33"/>
  <c r="L63" i="42"/>
  <c r="M83" i="47"/>
  <c r="M83" i="45"/>
  <c r="M83" i="43"/>
  <c r="M83" i="33"/>
  <c r="M83" i="48"/>
  <c r="M83" i="46"/>
  <c r="M83" i="42"/>
  <c r="N15" i="62"/>
  <c r="M16" i="47"/>
  <c r="O16" i="47" s="1"/>
  <c r="M16" i="45"/>
  <c r="M16" i="43"/>
  <c r="O16" i="43" s="1"/>
  <c r="M16" i="33"/>
  <c r="M16" i="48"/>
  <c r="M16" i="46"/>
  <c r="M16" i="42"/>
  <c r="M29" i="47"/>
  <c r="M29" i="45"/>
  <c r="M29" i="33"/>
  <c r="M29" i="48"/>
  <c r="M29" i="46"/>
  <c r="M29" i="43"/>
  <c r="M29" i="42"/>
  <c r="M38" i="47"/>
  <c r="O38" i="47" s="1"/>
  <c r="M38" i="45"/>
  <c r="M38" i="33"/>
  <c r="M38" i="48"/>
  <c r="M38" i="46"/>
  <c r="M38" i="43"/>
  <c r="M38" i="42"/>
  <c r="M52" i="47"/>
  <c r="M52" i="43"/>
  <c r="M52" i="33"/>
  <c r="M52" i="45"/>
  <c r="M52" i="48"/>
  <c r="M52" i="46"/>
  <c r="M52" i="42"/>
  <c r="M60" i="47"/>
  <c r="M60" i="45"/>
  <c r="M60" i="43"/>
  <c r="O60" i="43" s="1"/>
  <c r="M60" i="33"/>
  <c r="M60" i="48"/>
  <c r="M60" i="46"/>
  <c r="O60" i="46" s="1"/>
  <c r="M60" i="42"/>
  <c r="M74" i="33"/>
  <c r="M74" i="47"/>
  <c r="M74" i="45"/>
  <c r="M74" i="43"/>
  <c r="M74" i="48"/>
  <c r="M74" i="46"/>
  <c r="M74" i="42"/>
  <c r="M109" i="47"/>
  <c r="M109" i="45"/>
  <c r="M109" i="43"/>
  <c r="M109" i="33"/>
  <c r="M109" i="48"/>
  <c r="M109" i="46"/>
  <c r="M109" i="42"/>
  <c r="M134" i="47"/>
  <c r="M134" i="45"/>
  <c r="M134" i="43"/>
  <c r="M134" i="33"/>
  <c r="M134" i="48"/>
  <c r="M134" i="46"/>
  <c r="M134" i="42"/>
  <c r="M29" i="44"/>
  <c r="M74" i="44"/>
  <c r="M109" i="44"/>
  <c r="L17" i="44"/>
  <c r="O17" i="44" s="1"/>
  <c r="M16" i="62"/>
  <c r="L17" i="33"/>
  <c r="L17" i="42"/>
  <c r="L39" i="33"/>
  <c r="L39" i="42"/>
  <c r="L62" i="33"/>
  <c r="L62" i="42"/>
  <c r="L22" i="33"/>
  <c r="L22" i="42"/>
  <c r="L30" i="33"/>
  <c r="L30" i="42"/>
  <c r="L53" i="33"/>
  <c r="L53" i="42"/>
  <c r="M76" i="47"/>
  <c r="M76" i="45"/>
  <c r="M76" i="43"/>
  <c r="M76" i="33"/>
  <c r="M76" i="48"/>
  <c r="M76" i="46"/>
  <c r="M76" i="42"/>
  <c r="M80" i="47"/>
  <c r="M80" i="45"/>
  <c r="M80" i="43"/>
  <c r="M80" i="33"/>
  <c r="M80" i="48"/>
  <c r="M80" i="46"/>
  <c r="M80" i="42"/>
  <c r="M84" i="47"/>
  <c r="M84" i="45"/>
  <c r="M84" i="43"/>
  <c r="M84" i="33"/>
  <c r="M84" i="48"/>
  <c r="M84" i="46"/>
  <c r="M84" i="42"/>
  <c r="N16" i="62"/>
  <c r="M17" i="47"/>
  <c r="M17" i="45"/>
  <c r="M17" i="43"/>
  <c r="M17" i="33"/>
  <c r="M17" i="48"/>
  <c r="M17" i="46"/>
  <c r="O17" i="46" s="1"/>
  <c r="M17" i="42"/>
  <c r="M22" i="47"/>
  <c r="M22" i="45"/>
  <c r="M22" i="43"/>
  <c r="M22" i="33"/>
  <c r="M22" i="48"/>
  <c r="M22" i="46"/>
  <c r="M22" i="42"/>
  <c r="M30" i="47"/>
  <c r="M30" i="45"/>
  <c r="M30" i="43"/>
  <c r="M30" i="48"/>
  <c r="M30" i="33"/>
  <c r="M30" i="46"/>
  <c r="M30" i="42"/>
  <c r="M34" i="47"/>
  <c r="M34" i="45"/>
  <c r="M34" i="43"/>
  <c r="M34" i="33"/>
  <c r="M34" i="46"/>
  <c r="M34" i="48"/>
  <c r="M34" i="42"/>
  <c r="M39" i="47"/>
  <c r="M39" i="45"/>
  <c r="M39" i="43"/>
  <c r="M39" i="33"/>
  <c r="M39" i="48"/>
  <c r="M39" i="46"/>
  <c r="M39" i="42"/>
  <c r="M44" i="43"/>
  <c r="M44" i="33"/>
  <c r="M44" i="47"/>
  <c r="M44" i="45"/>
  <c r="M44" i="48"/>
  <c r="M44" i="46"/>
  <c r="M44" i="42"/>
  <c r="M48" i="45"/>
  <c r="M48" i="43"/>
  <c r="M48" i="33"/>
  <c r="M48" i="47"/>
  <c r="M48" i="48"/>
  <c r="M48" i="46"/>
  <c r="M48" i="42"/>
  <c r="M53" i="47"/>
  <c r="M53" i="45"/>
  <c r="M53" i="43"/>
  <c r="M53" i="33"/>
  <c r="M53" i="48"/>
  <c r="M53" i="46"/>
  <c r="M53" i="42"/>
  <c r="M57" i="47"/>
  <c r="M57" i="45"/>
  <c r="M57" i="43"/>
  <c r="M57" i="33"/>
  <c r="M57" i="48"/>
  <c r="M57" i="46"/>
  <c r="M57" i="42"/>
  <c r="M62" i="45"/>
  <c r="M62" i="43"/>
  <c r="M62" i="33"/>
  <c r="M62" i="47"/>
  <c r="M62" i="48"/>
  <c r="M62" i="46"/>
  <c r="M62" i="42"/>
  <c r="M66" i="47"/>
  <c r="M66" i="45"/>
  <c r="M66" i="43"/>
  <c r="M66" i="33"/>
  <c r="M66" i="48"/>
  <c r="M66" i="46"/>
  <c r="M66" i="42"/>
  <c r="M71" i="47"/>
  <c r="M71" i="43"/>
  <c r="M71" i="33"/>
  <c r="M71" i="48"/>
  <c r="M71" i="46"/>
  <c r="M71" i="42"/>
  <c r="M71" i="45"/>
  <c r="M85" i="47"/>
  <c r="M85" i="45"/>
  <c r="M85" i="43"/>
  <c r="M85" i="33"/>
  <c r="M85" i="48"/>
  <c r="M85" i="46"/>
  <c r="O85" i="46" s="1"/>
  <c r="M85" i="42"/>
  <c r="M90" i="47"/>
  <c r="M90" i="45"/>
  <c r="M90" i="43"/>
  <c r="M90" i="33"/>
  <c r="M90" i="48"/>
  <c r="M90" i="46"/>
  <c r="M90" i="42"/>
  <c r="M94" i="47"/>
  <c r="M94" i="45"/>
  <c r="M94" i="43"/>
  <c r="M94" i="33"/>
  <c r="M94" i="48"/>
  <c r="M94" i="46"/>
  <c r="M94" i="42"/>
  <c r="M106" i="47"/>
  <c r="M106" i="45"/>
  <c r="M106" i="43"/>
  <c r="M106" i="33"/>
  <c r="M106" i="46"/>
  <c r="M106" i="48"/>
  <c r="M106" i="42"/>
  <c r="M110" i="47"/>
  <c r="M110" i="45"/>
  <c r="M110" i="43"/>
  <c r="M110" i="33"/>
  <c r="M110" i="46"/>
  <c r="M110" i="48"/>
  <c r="M110" i="42"/>
  <c r="M114" i="47"/>
  <c r="M114" i="45"/>
  <c r="M114" i="43"/>
  <c r="M114" i="33"/>
  <c r="M114" i="48"/>
  <c r="M114" i="46"/>
  <c r="M114" i="42"/>
  <c r="M118" i="47"/>
  <c r="M118" i="45"/>
  <c r="M118" i="43"/>
  <c r="M118" i="33"/>
  <c r="M118" i="48"/>
  <c r="M118" i="46"/>
  <c r="M118" i="42"/>
  <c r="M122" i="47"/>
  <c r="M122" i="45"/>
  <c r="M122" i="43"/>
  <c r="M122" i="33"/>
  <c r="M122" i="46"/>
  <c r="M122" i="48"/>
  <c r="M122" i="42"/>
  <c r="M126" i="47"/>
  <c r="M126" i="45"/>
  <c r="M126" i="43"/>
  <c r="M126" i="33"/>
  <c r="M126" i="46"/>
  <c r="M126" i="48"/>
  <c r="M126" i="42"/>
  <c r="M131" i="47"/>
  <c r="M131" i="45"/>
  <c r="M131" i="43"/>
  <c r="M131" i="33"/>
  <c r="M131" i="48"/>
  <c r="M131" i="46"/>
  <c r="M131" i="42"/>
  <c r="M135" i="47"/>
  <c r="M135" i="45"/>
  <c r="M135" i="43"/>
  <c r="M135" i="33"/>
  <c r="M135" i="48"/>
  <c r="M135" i="46"/>
  <c r="M135" i="42"/>
  <c r="M15" i="62"/>
  <c r="L16" i="33"/>
  <c r="L16" i="42"/>
  <c r="M75" i="47"/>
  <c r="M75" i="45"/>
  <c r="M75" i="43"/>
  <c r="M75" i="48"/>
  <c r="M75" i="46"/>
  <c r="M75" i="42"/>
  <c r="M75" i="33"/>
  <c r="M25" i="47"/>
  <c r="M25" i="45"/>
  <c r="M25" i="33"/>
  <c r="M25" i="43"/>
  <c r="O25" i="43" s="1"/>
  <c r="M25" i="48"/>
  <c r="M25" i="46"/>
  <c r="M25" i="42"/>
  <c r="M43" i="47"/>
  <c r="M43" i="45"/>
  <c r="M43" i="43"/>
  <c r="M43" i="33"/>
  <c r="M43" i="48"/>
  <c r="M43" i="46"/>
  <c r="M43" i="42"/>
  <c r="M65" i="47"/>
  <c r="M65" i="33"/>
  <c r="M65" i="45"/>
  <c r="M65" i="43"/>
  <c r="M65" i="48"/>
  <c r="M65" i="46"/>
  <c r="M65" i="42"/>
  <c r="M125" i="47"/>
  <c r="M125" i="45"/>
  <c r="M125" i="43"/>
  <c r="M125" i="33"/>
  <c r="M125" i="48"/>
  <c r="M125" i="46"/>
  <c r="M125" i="42"/>
  <c r="M60" i="44"/>
  <c r="M52" i="44"/>
  <c r="M134" i="44"/>
  <c r="L23" i="33"/>
  <c r="L23" i="42"/>
  <c r="G37" i="39"/>
  <c r="M17" i="62"/>
  <c r="L18" i="33"/>
  <c r="L18" i="42"/>
  <c r="L31" i="33"/>
  <c r="L31" i="42"/>
  <c r="M77" i="47"/>
  <c r="M77" i="45"/>
  <c r="M77" i="43"/>
  <c r="M77" i="33"/>
  <c r="M77" i="46"/>
  <c r="M77" i="48"/>
  <c r="M77" i="42"/>
  <c r="M81" i="47"/>
  <c r="M81" i="45"/>
  <c r="M81" i="43"/>
  <c r="M81" i="33"/>
  <c r="M81" i="46"/>
  <c r="M81" i="48"/>
  <c r="M81" i="42"/>
  <c r="N13" i="62"/>
  <c r="M14" i="47"/>
  <c r="M14" i="45"/>
  <c r="M14" i="33"/>
  <c r="M14" i="48"/>
  <c r="M14" i="43"/>
  <c r="M14" i="46"/>
  <c r="M14" i="42"/>
  <c r="N17" i="62"/>
  <c r="M18" i="45"/>
  <c r="M18" i="43"/>
  <c r="M18" i="48"/>
  <c r="M18" i="33"/>
  <c r="M18" i="47"/>
  <c r="M18" i="46"/>
  <c r="M18" i="42"/>
  <c r="M23" i="48"/>
  <c r="M23" i="47"/>
  <c r="M23" i="43"/>
  <c r="M23" i="33"/>
  <c r="M23" i="45"/>
  <c r="M23" i="46"/>
  <c r="M23" i="42"/>
  <c r="M26" i="47"/>
  <c r="M26" i="45"/>
  <c r="M26" i="43"/>
  <c r="O26" i="43" s="1"/>
  <c r="M27" i="43"/>
  <c r="M27" i="47"/>
  <c r="M27" i="48"/>
  <c r="M27" i="45"/>
  <c r="M27" i="33"/>
  <c r="M27" i="42"/>
  <c r="M27" i="46"/>
  <c r="M26" i="33"/>
  <c r="M26" i="48"/>
  <c r="M26" i="46"/>
  <c r="M26" i="42"/>
  <c r="M31" i="47"/>
  <c r="M31" i="45"/>
  <c r="M31" i="48"/>
  <c r="M31" i="46"/>
  <c r="M31" i="43"/>
  <c r="M31" i="33"/>
  <c r="M31" i="42"/>
  <c r="M35" i="47"/>
  <c r="M35" i="45"/>
  <c r="M35" i="43"/>
  <c r="M35" i="48"/>
  <c r="M35" i="46"/>
  <c r="M35" i="33"/>
  <c r="M35" i="42"/>
  <c r="M40" i="47"/>
  <c r="M40" i="33"/>
  <c r="M40" i="48"/>
  <c r="M40" i="46"/>
  <c r="M40" i="43"/>
  <c r="M40" i="42"/>
  <c r="M40" i="45"/>
  <c r="M45" i="47"/>
  <c r="M45" i="45"/>
  <c r="M45" i="43"/>
  <c r="M45" i="48"/>
  <c r="M45" i="46"/>
  <c r="M45" i="33"/>
  <c r="M45" i="42"/>
  <c r="M49" i="47"/>
  <c r="M49" i="43"/>
  <c r="M49" i="48"/>
  <c r="M49" i="46"/>
  <c r="M49" i="45"/>
  <c r="M49" i="33"/>
  <c r="M49" i="42"/>
  <c r="M54" i="47"/>
  <c r="M54" i="45"/>
  <c r="M54" i="43"/>
  <c r="M54" i="33"/>
  <c r="M54" i="48"/>
  <c r="M54" i="46"/>
  <c r="M54" i="42"/>
  <c r="M58" i="47"/>
  <c r="M58" i="45"/>
  <c r="M58" i="43"/>
  <c r="M58" i="33"/>
  <c r="M58" i="48"/>
  <c r="M58" i="46"/>
  <c r="M58" i="42"/>
  <c r="M63" i="47"/>
  <c r="M63" i="45"/>
  <c r="M63" i="43"/>
  <c r="M63" i="33"/>
  <c r="M63" i="48"/>
  <c r="M63" i="46"/>
  <c r="M63" i="42"/>
  <c r="M68" i="47"/>
  <c r="M68" i="45"/>
  <c r="M68" i="43"/>
  <c r="M68" i="33"/>
  <c r="M68" i="48"/>
  <c r="M68" i="46"/>
  <c r="M68" i="42"/>
  <c r="M72" i="47"/>
  <c r="M72" i="45"/>
  <c r="M72" i="43"/>
  <c r="M72" i="33"/>
  <c r="M72" i="48"/>
  <c r="M72" i="46"/>
  <c r="M72" i="42"/>
  <c r="M86" i="45"/>
  <c r="M86" i="43"/>
  <c r="M86" i="33"/>
  <c r="M86" i="47"/>
  <c r="M86" i="48"/>
  <c r="M86" i="46"/>
  <c r="M86" i="42"/>
  <c r="M91" i="33"/>
  <c r="M91" i="47"/>
  <c r="M91" i="45"/>
  <c r="M91" i="43"/>
  <c r="M91" i="48"/>
  <c r="M91" i="46"/>
  <c r="M91" i="42"/>
  <c r="M107" i="45"/>
  <c r="M107" i="43"/>
  <c r="M107" i="33"/>
  <c r="M107" i="47"/>
  <c r="M107" i="48"/>
  <c r="M107" i="46"/>
  <c r="M107" i="42"/>
  <c r="M111" i="47"/>
  <c r="M111" i="33"/>
  <c r="M111" i="45"/>
  <c r="M111" i="43"/>
  <c r="M111" i="48"/>
  <c r="M111" i="46"/>
  <c r="M111" i="42"/>
  <c r="M115" i="45"/>
  <c r="M115" i="43"/>
  <c r="M115" i="33"/>
  <c r="M115" i="48"/>
  <c r="M115" i="46"/>
  <c r="M115" i="47"/>
  <c r="M115" i="42"/>
  <c r="M119" i="33"/>
  <c r="M119" i="47"/>
  <c r="M119" i="45"/>
  <c r="M119" i="43"/>
  <c r="M119" i="48"/>
  <c r="M119" i="46"/>
  <c r="M119" i="42"/>
  <c r="M123" i="45"/>
  <c r="M123" i="43"/>
  <c r="M123" i="33"/>
  <c r="M123" i="47"/>
  <c r="M123" i="48"/>
  <c r="M123" i="46"/>
  <c r="M123" i="42"/>
  <c r="M128" i="47"/>
  <c r="M128" i="33"/>
  <c r="M128" i="45"/>
  <c r="M128" i="43"/>
  <c r="M128" i="48"/>
  <c r="M128" i="46"/>
  <c r="M128" i="42"/>
  <c r="M132" i="45"/>
  <c r="M132" i="43"/>
  <c r="M132" i="33"/>
  <c r="M132" i="47"/>
  <c r="M132" i="48"/>
  <c r="M132" i="46"/>
  <c r="M132" i="42"/>
  <c r="M136" i="33"/>
  <c r="M136" i="47"/>
  <c r="M136" i="45"/>
  <c r="M136" i="43"/>
  <c r="M136" i="48"/>
  <c r="M136" i="46"/>
  <c r="M136" i="42"/>
  <c r="L25" i="44"/>
  <c r="O25" i="44" s="1"/>
  <c r="L25" i="33"/>
  <c r="L25" i="42"/>
  <c r="L38" i="33"/>
  <c r="L38" i="42"/>
  <c r="M79" i="47"/>
  <c r="M79" i="48"/>
  <c r="M79" i="46"/>
  <c r="M79" i="45"/>
  <c r="M79" i="33"/>
  <c r="M79" i="42"/>
  <c r="M79" i="43"/>
  <c r="N19" i="62"/>
  <c r="M20" i="47"/>
  <c r="M20" i="45"/>
  <c r="M20" i="33"/>
  <c r="M20" i="48"/>
  <c r="M20" i="46"/>
  <c r="M20" i="43"/>
  <c r="M20" i="42"/>
  <c r="M33" i="47"/>
  <c r="M33" i="45"/>
  <c r="M33" i="33"/>
  <c r="M33" i="43"/>
  <c r="M33" i="48"/>
  <c r="M33" i="46"/>
  <c r="M33" i="42"/>
  <c r="M47" i="47"/>
  <c r="M47" i="45"/>
  <c r="M47" i="43"/>
  <c r="M47" i="33"/>
  <c r="M47" i="46"/>
  <c r="M47" i="48"/>
  <c r="M47" i="42"/>
  <c r="M56" i="47"/>
  <c r="M56" i="33"/>
  <c r="M56" i="45"/>
  <c r="M56" i="48"/>
  <c r="M56" i="46"/>
  <c r="M56" i="43"/>
  <c r="M56" i="42"/>
  <c r="M70" i="45"/>
  <c r="M70" i="43"/>
  <c r="M70" i="33"/>
  <c r="M70" i="47"/>
  <c r="M70" i="48"/>
  <c r="M70" i="46"/>
  <c r="M70" i="42"/>
  <c r="M89" i="47"/>
  <c r="M89" i="45"/>
  <c r="M89" i="43"/>
  <c r="M89" i="33"/>
  <c r="M89" i="48"/>
  <c r="M89" i="46"/>
  <c r="M89" i="42"/>
  <c r="M113" i="47"/>
  <c r="M113" i="45"/>
  <c r="M113" i="43"/>
  <c r="M113" i="33"/>
  <c r="M113" i="48"/>
  <c r="M113" i="46"/>
  <c r="M113" i="42"/>
  <c r="M117" i="47"/>
  <c r="M117" i="45"/>
  <c r="M117" i="43"/>
  <c r="M117" i="33"/>
  <c r="M117" i="48"/>
  <c r="M117" i="46"/>
  <c r="M117" i="42"/>
  <c r="M121" i="47"/>
  <c r="M121" i="45"/>
  <c r="M121" i="43"/>
  <c r="M121" i="33"/>
  <c r="M121" i="48"/>
  <c r="M121" i="46"/>
  <c r="M121" i="42"/>
  <c r="M130" i="47"/>
  <c r="M130" i="45"/>
  <c r="M130" i="43"/>
  <c r="M130" i="33"/>
  <c r="M130" i="48"/>
  <c r="M130" i="46"/>
  <c r="M130" i="42"/>
  <c r="M38" i="44"/>
  <c r="L24" i="33"/>
  <c r="L24" i="42"/>
  <c r="L34" i="33"/>
  <c r="L34" i="42"/>
  <c r="M14" i="62"/>
  <c r="L15" i="33"/>
  <c r="L15" i="42"/>
  <c r="M18" i="62"/>
  <c r="L19" i="33"/>
  <c r="L19" i="42"/>
  <c r="L28" i="33"/>
  <c r="L28" i="42"/>
  <c r="L32" i="33"/>
  <c r="L32" i="42"/>
  <c r="L37" i="33"/>
  <c r="L37" i="42"/>
  <c r="H37" i="39"/>
  <c r="L60" i="42"/>
  <c r="L60" i="33"/>
  <c r="M12" i="47"/>
  <c r="M12" i="45"/>
  <c r="M12" i="43"/>
  <c r="M12" i="48"/>
  <c r="M12" i="33"/>
  <c r="M12" i="46"/>
  <c r="M12" i="42"/>
  <c r="M78" i="45"/>
  <c r="M78" i="43"/>
  <c r="M78" i="33"/>
  <c r="M78" i="47"/>
  <c r="M78" i="48"/>
  <c r="M78" i="46"/>
  <c r="M78" i="42"/>
  <c r="M82" i="47"/>
  <c r="M82" i="33"/>
  <c r="M82" i="45"/>
  <c r="M82" i="43"/>
  <c r="M82" i="48"/>
  <c r="M82" i="46"/>
  <c r="M82" i="42"/>
  <c r="N14" i="62"/>
  <c r="M15" i="47"/>
  <c r="M15" i="45"/>
  <c r="M15" i="43"/>
  <c r="M15" i="48"/>
  <c r="M15" i="33"/>
  <c r="M15" i="46"/>
  <c r="M15" i="42"/>
  <c r="N18" i="62"/>
  <c r="M19" i="47"/>
  <c r="M19" i="45"/>
  <c r="M19" i="43"/>
  <c r="M19" i="33"/>
  <c r="M19" i="48"/>
  <c r="M19" i="46"/>
  <c r="M19" i="42"/>
  <c r="M24" i="47"/>
  <c r="M24" i="45"/>
  <c r="O24" i="45" s="1"/>
  <c r="M24" i="43"/>
  <c r="M24" i="33"/>
  <c r="M24" i="48"/>
  <c r="M24" i="46"/>
  <c r="M24" i="42"/>
  <c r="M28" i="47"/>
  <c r="M28" i="45"/>
  <c r="M28" i="43"/>
  <c r="M28" i="33"/>
  <c r="M28" i="46"/>
  <c r="M28" i="48"/>
  <c r="M28" i="42"/>
  <c r="M32" i="47"/>
  <c r="M32" i="45"/>
  <c r="M32" i="43"/>
  <c r="M32" i="33"/>
  <c r="M32" i="48"/>
  <c r="M32" i="46"/>
  <c r="M32" i="42"/>
  <c r="M37" i="47"/>
  <c r="M37" i="45"/>
  <c r="M37" i="43"/>
  <c r="M37" i="33"/>
  <c r="M37" i="46"/>
  <c r="O37" i="46" s="1"/>
  <c r="M37" i="48"/>
  <c r="M37" i="42"/>
  <c r="M42" i="47"/>
  <c r="M42" i="45"/>
  <c r="M42" i="43"/>
  <c r="M42" i="33"/>
  <c r="M42" i="48"/>
  <c r="M42" i="46"/>
  <c r="M42" i="42"/>
  <c r="M46" i="47"/>
  <c r="M46" i="45"/>
  <c r="M46" i="43"/>
  <c r="M46" i="33"/>
  <c r="M46" i="48"/>
  <c r="M46" i="46"/>
  <c r="M46" i="42"/>
  <c r="M50" i="47"/>
  <c r="M50" i="45"/>
  <c r="M50" i="43"/>
  <c r="M50" i="33"/>
  <c r="M50" i="48"/>
  <c r="M50" i="46"/>
  <c r="M50" i="42"/>
  <c r="M55" i="45"/>
  <c r="M55" i="43"/>
  <c r="M55" i="33"/>
  <c r="M55" i="47"/>
  <c r="M55" i="48"/>
  <c r="M55" i="46"/>
  <c r="M55" i="42"/>
  <c r="M59" i="33"/>
  <c r="M59" i="47"/>
  <c r="M59" i="45"/>
  <c r="M59" i="43"/>
  <c r="M59" i="48"/>
  <c r="M59" i="46"/>
  <c r="M59" i="42"/>
  <c r="M64" i="47"/>
  <c r="M64" i="45"/>
  <c r="M64" i="43"/>
  <c r="M64" i="33"/>
  <c r="M64" i="46"/>
  <c r="M64" i="48"/>
  <c r="M64" i="42"/>
  <c r="M69" i="47"/>
  <c r="M69" i="45"/>
  <c r="M69" i="43"/>
  <c r="M69" i="33"/>
  <c r="M69" i="48"/>
  <c r="M69" i="46"/>
  <c r="M69" i="42"/>
  <c r="M73" i="47"/>
  <c r="M73" i="45"/>
  <c r="M73" i="43"/>
  <c r="M73" i="33"/>
  <c r="M73" i="48"/>
  <c r="M73" i="46"/>
  <c r="M73" i="42"/>
  <c r="M87" i="47"/>
  <c r="M87" i="33"/>
  <c r="M87" i="45"/>
  <c r="O87" i="45" s="1"/>
  <c r="M87" i="48"/>
  <c r="M87" i="46"/>
  <c r="M87" i="43"/>
  <c r="M87" i="42"/>
  <c r="M92" i="47"/>
  <c r="M92" i="45"/>
  <c r="M92" i="43"/>
  <c r="M92" i="48"/>
  <c r="M92" i="46"/>
  <c r="M92" i="42"/>
  <c r="M92" i="33"/>
  <c r="M108" i="47"/>
  <c r="M108" i="45"/>
  <c r="M108" i="43"/>
  <c r="M108" i="48"/>
  <c r="M108" i="46"/>
  <c r="M108" i="33"/>
  <c r="M108" i="42"/>
  <c r="M112" i="47"/>
  <c r="M112" i="45"/>
  <c r="M112" i="43"/>
  <c r="M112" i="33"/>
  <c r="M112" i="48"/>
  <c r="M112" i="46"/>
  <c r="M112" i="42"/>
  <c r="M116" i="47"/>
  <c r="M116" i="43"/>
  <c r="M116" i="33"/>
  <c r="M116" i="48"/>
  <c r="M116" i="46"/>
  <c r="M116" i="42"/>
  <c r="M116" i="45"/>
  <c r="M120" i="47"/>
  <c r="M120" i="45"/>
  <c r="M120" i="43"/>
  <c r="M120" i="48"/>
  <c r="M120" i="46"/>
  <c r="M120" i="33"/>
  <c r="M120" i="42"/>
  <c r="M124" i="47"/>
  <c r="M124" i="48"/>
  <c r="M124" i="46"/>
  <c r="M124" i="45"/>
  <c r="M124" i="33"/>
  <c r="M124" i="42"/>
  <c r="M124" i="43"/>
  <c r="M129" i="47"/>
  <c r="M129" i="45"/>
  <c r="M129" i="43"/>
  <c r="M129" i="33"/>
  <c r="M129" i="48"/>
  <c r="M129" i="46"/>
  <c r="M129" i="42"/>
  <c r="M133" i="47"/>
  <c r="M133" i="33"/>
  <c r="M133" i="45"/>
  <c r="M133" i="48"/>
  <c r="M133" i="46"/>
  <c r="M133" i="43"/>
  <c r="M133" i="42"/>
  <c r="M137" i="47"/>
  <c r="M137" i="45"/>
  <c r="M137" i="43"/>
  <c r="M137" i="48"/>
  <c r="M137" i="46"/>
  <c r="M137" i="42"/>
  <c r="M137" i="33"/>
  <c r="L87" i="42"/>
  <c r="L87" i="33"/>
  <c r="L85" i="33"/>
  <c r="L85" i="42"/>
  <c r="L84" i="33"/>
  <c r="L81" i="33"/>
  <c r="L81" i="42"/>
  <c r="L78" i="44"/>
  <c r="O78" i="44" s="1"/>
  <c r="L76" i="33"/>
  <c r="L76" i="42"/>
  <c r="L73" i="42"/>
  <c r="L72" i="33"/>
  <c r="L72" i="42"/>
  <c r="L69" i="33"/>
  <c r="L69" i="42"/>
  <c r="L68" i="33"/>
  <c r="L68" i="42"/>
  <c r="L65" i="42"/>
  <c r="L64" i="33"/>
  <c r="L59" i="33"/>
  <c r="L59" i="42"/>
  <c r="L57" i="42"/>
  <c r="L56" i="33"/>
  <c r="L56" i="42"/>
  <c r="L55" i="33"/>
  <c r="L54" i="33"/>
  <c r="L54" i="42"/>
  <c r="G45" i="39"/>
  <c r="H45" i="39" s="1"/>
  <c r="G38" i="39"/>
  <c r="H38" i="39" s="1"/>
  <c r="L48" i="42"/>
  <c r="L48" i="33"/>
  <c r="L46" i="33"/>
  <c r="L47" i="33"/>
  <c r="L47" i="42"/>
  <c r="L136" i="33"/>
  <c r="L136" i="42"/>
  <c r="L133" i="42"/>
  <c r="L137" i="42"/>
  <c r="L137" i="33"/>
  <c r="L128" i="42"/>
  <c r="L110" i="33"/>
  <c r="L118" i="42"/>
  <c r="L122" i="33"/>
  <c r="L122" i="42"/>
  <c r="L92" i="33"/>
  <c r="L91" i="33"/>
  <c r="L119" i="33"/>
  <c r="L119" i="42"/>
  <c r="L123" i="33"/>
  <c r="L123" i="42"/>
  <c r="L108" i="44"/>
  <c r="O108" i="44" s="1"/>
  <c r="L108" i="33"/>
  <c r="L108" i="42"/>
  <c r="L96" i="33"/>
  <c r="L96" i="42"/>
  <c r="L97" i="42"/>
  <c r="L113" i="44"/>
  <c r="O113" i="44" s="1"/>
  <c r="L113" i="33"/>
  <c r="L113" i="42"/>
  <c r="L90" i="33"/>
  <c r="M98" i="33"/>
  <c r="M98" i="43"/>
  <c r="M98" i="42"/>
  <c r="M98" i="45"/>
  <c r="M98" i="46"/>
  <c r="M98" i="47"/>
  <c r="M98" i="48"/>
  <c r="M99" i="43"/>
  <c r="M99" i="42"/>
  <c r="M99" i="45"/>
  <c r="M99" i="46"/>
  <c r="M99" i="47"/>
  <c r="M99" i="48"/>
  <c r="M99" i="33"/>
  <c r="M100" i="45"/>
  <c r="M100" i="46"/>
  <c r="M100" i="47"/>
  <c r="M100" i="48"/>
  <c r="M100" i="33"/>
  <c r="M100" i="43"/>
  <c r="M100" i="42"/>
  <c r="M105" i="47"/>
  <c r="M105" i="48"/>
  <c r="M105" i="33"/>
  <c r="M105" i="43"/>
  <c r="M105" i="42"/>
  <c r="M105" i="45"/>
  <c r="M105" i="46"/>
  <c r="M101" i="47"/>
  <c r="M101" i="48"/>
  <c r="M101" i="33"/>
  <c r="M101" i="43"/>
  <c r="M101" i="42"/>
  <c r="M101" i="45"/>
  <c r="M101" i="46"/>
  <c r="M102" i="33"/>
  <c r="M102" i="43"/>
  <c r="M102" i="42"/>
  <c r="M102" i="45"/>
  <c r="M102" i="46"/>
  <c r="M102" i="47"/>
  <c r="M102" i="48"/>
  <c r="M103" i="43"/>
  <c r="M103" i="42"/>
  <c r="M103" i="45"/>
  <c r="M103" i="46"/>
  <c r="M103" i="47"/>
  <c r="M103" i="48"/>
  <c r="M103" i="33"/>
  <c r="M105" i="44"/>
  <c r="M104" i="45"/>
  <c r="M104" i="46"/>
  <c r="M104" i="47"/>
  <c r="M104" i="48"/>
  <c r="M104" i="33"/>
  <c r="M104" i="43"/>
  <c r="M104" i="42"/>
  <c r="M97" i="47"/>
  <c r="M97" i="42"/>
  <c r="M97" i="46"/>
  <c r="M97" i="48"/>
  <c r="M97" i="33"/>
  <c r="M97" i="43"/>
  <c r="M97" i="45"/>
  <c r="M97" i="44"/>
  <c r="M96" i="47"/>
  <c r="M96" i="45"/>
  <c r="M96" i="43"/>
  <c r="M96" i="33"/>
  <c r="M96" i="48"/>
  <c r="M96" i="46"/>
  <c r="M96" i="42"/>
  <c r="M95" i="48"/>
  <c r="M95" i="46"/>
  <c r="M95" i="42"/>
  <c r="M95" i="47"/>
  <c r="O95" i="47" s="1"/>
  <c r="M95" i="45"/>
  <c r="M95" i="33"/>
  <c r="M95" i="43"/>
  <c r="L95" i="42"/>
  <c r="L95" i="33"/>
  <c r="O95" i="46"/>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3" i="44"/>
  <c r="O123" i="44" s="1"/>
  <c r="L90" i="44"/>
  <c r="O90" i="44" s="1"/>
  <c r="L85" i="44"/>
  <c r="O85" i="44" s="1"/>
  <c r="L69" i="44"/>
  <c r="O69" i="44" s="1"/>
  <c r="L87" i="44"/>
  <c r="O87" i="44" s="1"/>
  <c r="L63" i="44"/>
  <c r="O63" i="44" s="1"/>
  <c r="L65" i="44"/>
  <c r="O65" i="44" s="1"/>
  <c r="L52" i="44"/>
  <c r="L56" i="44"/>
  <c r="O56" i="44" s="1"/>
  <c r="L54" i="44"/>
  <c r="O54" i="44" s="1"/>
  <c r="L60" i="44"/>
  <c r="L47" i="44"/>
  <c r="O47" i="44" s="1"/>
  <c r="L38" i="44"/>
  <c r="L27" i="44"/>
  <c r="O27" i="44" s="1"/>
  <c r="L26" i="44"/>
  <c r="L32" i="44"/>
  <c r="O32" i="44" s="1"/>
  <c r="L34" i="44"/>
  <c r="O34" i="44" s="1"/>
  <c r="L16" i="44"/>
  <c r="O16" i="44" s="1"/>
  <c r="L20" i="44"/>
  <c r="O20" i="44" s="1"/>
  <c r="L15" i="44"/>
  <c r="O15" i="44" s="1"/>
  <c r="L18" i="44"/>
  <c r="O18" i="44" s="1"/>
  <c r="G7" i="39"/>
  <c r="H7" i="39" s="1"/>
  <c r="L30" i="44"/>
  <c r="O30" i="44" s="1"/>
  <c r="L39" i="44"/>
  <c r="O39" i="44" s="1"/>
  <c r="L48" i="44"/>
  <c r="O48" i="44" s="1"/>
  <c r="L23" i="44"/>
  <c r="O23" i="44" s="1"/>
  <c r="L31" i="44"/>
  <c r="O31" i="44" s="1"/>
  <c r="L68" i="44"/>
  <c r="O68" i="44" s="1"/>
  <c r="L76" i="44"/>
  <c r="O76" i="44" s="1"/>
  <c r="L84" i="44"/>
  <c r="O84" i="44" s="1"/>
  <c r="L24" i="44"/>
  <c r="O24" i="44" s="1"/>
  <c r="L59" i="44"/>
  <c r="O59" i="44" s="1"/>
  <c r="L94" i="44"/>
  <c r="O94" i="44" s="1"/>
  <c r="L110" i="44"/>
  <c r="O110" i="44" s="1"/>
  <c r="L126" i="44"/>
  <c r="O126" i="44" s="1"/>
  <c r="L22" i="44"/>
  <c r="O22" i="44" s="1"/>
  <c r="L122" i="44"/>
  <c r="O122" i="44" s="1"/>
  <c r="L55" i="44"/>
  <c r="O55" i="44" s="1"/>
  <c r="L37" i="44"/>
  <c r="O37" i="44" s="1"/>
  <c r="L73" i="44"/>
  <c r="O73" i="44" s="1"/>
  <c r="L92" i="44"/>
  <c r="O92" i="44" s="1"/>
  <c r="L136" i="44"/>
  <c r="O136" i="44" s="1"/>
  <c r="L96" i="44"/>
  <c r="O96" i="44" s="1"/>
  <c r="L137" i="44"/>
  <c r="O137" i="44" s="1"/>
  <c r="L97" i="44"/>
  <c r="L133" i="44"/>
  <c r="O133" i="44" s="1"/>
  <c r="L99" i="44"/>
  <c r="O99" i="44" s="1"/>
  <c r="L119" i="44"/>
  <c r="O119" i="44" s="1"/>
  <c r="L95" i="44"/>
  <c r="O95" i="44" s="1"/>
  <c r="L72" i="44"/>
  <c r="O72" i="44" s="1"/>
  <c r="L62" i="44"/>
  <c r="O62" i="44" s="1"/>
  <c r="L53" i="44"/>
  <c r="O53" i="44" s="1"/>
  <c r="L28" i="44"/>
  <c r="O28" i="44" s="1"/>
  <c r="L19" i="44"/>
  <c r="O19" i="44" s="1"/>
  <c r="L14" i="44"/>
  <c r="O14" i="44" s="1"/>
  <c r="B48" i="41"/>
  <c r="B47" i="41"/>
  <c r="B48" i="40"/>
  <c r="B47" i="40"/>
  <c r="E140" i="50"/>
  <c r="D140" i="50"/>
  <c r="C140" i="50"/>
  <c r="B140" i="5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B130" i="50"/>
  <c r="E129" i="50"/>
  <c r="D129" i="50"/>
  <c r="C129"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C96" i="50"/>
  <c r="B96" i="50"/>
  <c r="E95" i="50"/>
  <c r="D95" i="50"/>
  <c r="C95" i="50"/>
  <c r="B95" i="50"/>
  <c r="E94" i="50"/>
  <c r="D94" i="50"/>
  <c r="C94" i="50"/>
  <c r="B94" i="50"/>
  <c r="E93" i="50"/>
  <c r="D93" i="50"/>
  <c r="C93" i="50"/>
  <c r="B93" i="50"/>
  <c r="E92" i="50"/>
  <c r="D92" i="50"/>
  <c r="C92" i="50"/>
  <c r="B92" i="50"/>
  <c r="B91" i="50"/>
  <c r="E90" i="50"/>
  <c r="D90" i="50"/>
  <c r="C90"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B70" i="50"/>
  <c r="E69" i="50"/>
  <c r="D69" i="50"/>
  <c r="C69" i="50"/>
  <c r="B69" i="50"/>
  <c r="E68" i="50"/>
  <c r="D68" i="50"/>
  <c r="C68" i="50"/>
  <c r="B68" i="50"/>
  <c r="E67" i="50"/>
  <c r="D67" i="50"/>
  <c r="C67" i="50"/>
  <c r="B67" i="50"/>
  <c r="E66" i="50"/>
  <c r="D66" i="50"/>
  <c r="C66" i="50"/>
  <c r="B66" i="50"/>
  <c r="E65" i="50"/>
  <c r="D65" i="50"/>
  <c r="C65" i="50"/>
  <c r="B65" i="50"/>
  <c r="B64" i="50"/>
  <c r="E63" i="50"/>
  <c r="D63" i="50"/>
  <c r="C63"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B54" i="50"/>
  <c r="E53" i="50"/>
  <c r="D53" i="50"/>
  <c r="C53" i="50"/>
  <c r="B53" i="50"/>
  <c r="D52" i="50"/>
  <c r="C52" i="50"/>
  <c r="B52" i="50"/>
  <c r="D51" i="50"/>
  <c r="C51" i="50"/>
  <c r="B51" i="50"/>
  <c r="E50" i="50"/>
  <c r="D50" i="50"/>
  <c r="C50" i="50"/>
  <c r="B50" i="50"/>
  <c r="E49" i="50"/>
  <c r="D49" i="50"/>
  <c r="C49" i="50"/>
  <c r="B49" i="50"/>
  <c r="E48" i="50"/>
  <c r="D48" i="50"/>
  <c r="C48" i="50"/>
  <c r="B48" i="50"/>
  <c r="E47" i="50"/>
  <c r="D47" i="50"/>
  <c r="C47" i="50"/>
  <c r="B47" i="50"/>
  <c r="E46" i="50"/>
  <c r="D46" i="50"/>
  <c r="C46" i="50"/>
  <c r="B46" i="50"/>
  <c r="E45" i="50"/>
  <c r="D45" i="50"/>
  <c r="C45" i="50"/>
  <c r="B45" i="50"/>
  <c r="B44" i="50"/>
  <c r="E43" i="50"/>
  <c r="D43" i="50"/>
  <c r="C43" i="50"/>
  <c r="B43" i="50"/>
  <c r="E42" i="50"/>
  <c r="D42" i="50"/>
  <c r="C42" i="50"/>
  <c r="B42" i="50"/>
  <c r="E41" i="50"/>
  <c r="D41" i="50"/>
  <c r="C41" i="50"/>
  <c r="B41" i="50"/>
  <c r="E40" i="50"/>
  <c r="D40" i="50"/>
  <c r="C40" i="50"/>
  <c r="B40" i="50"/>
  <c r="B39" i="50"/>
  <c r="E38" i="50"/>
  <c r="D38" i="50"/>
  <c r="C38"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B24" i="50"/>
  <c r="E23" i="50"/>
  <c r="D23" i="50"/>
  <c r="C23"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B16" i="50"/>
  <c r="C15" i="50"/>
  <c r="B14" i="50"/>
  <c r="M7" i="63" l="1"/>
  <c r="M9" i="63"/>
  <c r="U6" i="63"/>
  <c r="U7" i="63" s="1"/>
  <c r="X14" i="63"/>
  <c r="AN15" i="63"/>
  <c r="AK11" i="63"/>
  <c r="AK10" i="63" s="1"/>
  <c r="AK12" i="63" s="1"/>
  <c r="L42" i="46"/>
  <c r="L42" i="43"/>
  <c r="L42" i="45"/>
  <c r="L42" i="48"/>
  <c r="L42" i="47"/>
  <c r="O26" i="44"/>
  <c r="O16" i="45"/>
  <c r="L129" i="44"/>
  <c r="O129" i="44" s="1"/>
  <c r="L44" i="33"/>
  <c r="L44" i="42"/>
  <c r="O63" i="33"/>
  <c r="L132" i="33"/>
  <c r="L132" i="44"/>
  <c r="O132" i="44" s="1"/>
  <c r="L125" i="33"/>
  <c r="O125" i="33" s="1"/>
  <c r="L129" i="42"/>
  <c r="O20" i="45"/>
  <c r="O60" i="48"/>
  <c r="L12" i="44"/>
  <c r="O12" i="44" s="1"/>
  <c r="O12" i="43"/>
  <c r="O47" i="43"/>
  <c r="L75" i="33"/>
  <c r="O75" i="33" s="1"/>
  <c r="O75" i="43"/>
  <c r="O75" i="45"/>
  <c r="O57" i="48"/>
  <c r="L118" i="33"/>
  <c r="O118" i="46"/>
  <c r="O118" i="47"/>
  <c r="O118" i="48"/>
  <c r="O92" i="45"/>
  <c r="O97" i="46"/>
  <c r="L112" i="44"/>
  <c r="O112" i="44" s="1"/>
  <c r="O112" i="48"/>
  <c r="O112" i="43"/>
  <c r="O112" i="45"/>
  <c r="O112" i="46"/>
  <c r="O81" i="43"/>
  <c r="O137" i="48"/>
  <c r="O137" i="45"/>
  <c r="O137" i="46"/>
  <c r="O42" i="45"/>
  <c r="O42" i="47"/>
  <c r="L71" i="42"/>
  <c r="O115" i="46"/>
  <c r="O114" i="48"/>
  <c r="O125" i="46"/>
  <c r="O125" i="47"/>
  <c r="O83" i="47"/>
  <c r="O83" i="48"/>
  <c r="O83" i="43"/>
  <c r="O132" i="47"/>
  <c r="O132" i="48"/>
  <c r="O129" i="47"/>
  <c r="O86" i="45"/>
  <c r="O107" i="48"/>
  <c r="O106" i="48"/>
  <c r="O106" i="46"/>
  <c r="L121" i="33"/>
  <c r="O121" i="48"/>
  <c r="O121" i="43"/>
  <c r="O121" i="46"/>
  <c r="L89" i="33"/>
  <c r="O89" i="33" s="1"/>
  <c r="O89" i="46"/>
  <c r="O89" i="47"/>
  <c r="L134" i="42"/>
  <c r="O134" i="46"/>
  <c r="O134" i="47"/>
  <c r="O133" i="47"/>
  <c r="O133" i="48"/>
  <c r="O110" i="47"/>
  <c r="O110" i="48"/>
  <c r="O110" i="43"/>
  <c r="O96" i="45"/>
  <c r="O96" i="46"/>
  <c r="O45" i="43"/>
  <c r="O45" i="46"/>
  <c r="O45" i="47"/>
  <c r="O137" i="43"/>
  <c r="L40" i="44"/>
  <c r="O40" i="44" s="1"/>
  <c r="O40" i="43"/>
  <c r="O40" i="45"/>
  <c r="O75" i="47"/>
  <c r="L82" i="42"/>
  <c r="O82" i="43"/>
  <c r="O82" i="45"/>
  <c r="O103" i="43"/>
  <c r="O102" i="45"/>
  <c r="O120" i="48"/>
  <c r="O130" i="46"/>
  <c r="O130" i="47"/>
  <c r="O64" i="43"/>
  <c r="L80" i="33"/>
  <c r="O80" i="33" s="1"/>
  <c r="O80" i="48"/>
  <c r="O80" i="47"/>
  <c r="O77" i="43"/>
  <c r="O77" i="46"/>
  <c r="L114" i="33"/>
  <c r="L110" i="42"/>
  <c r="L133" i="33"/>
  <c r="O49" i="48"/>
  <c r="L78" i="33"/>
  <c r="O99" i="45"/>
  <c r="L98" i="33"/>
  <c r="O98" i="33" s="1"/>
  <c r="O98" i="43"/>
  <c r="O98" i="46"/>
  <c r="O113" i="48"/>
  <c r="O113" i="43"/>
  <c r="O113" i="45"/>
  <c r="O108" i="45"/>
  <c r="O108" i="46"/>
  <c r="O65" i="48"/>
  <c r="O65" i="43"/>
  <c r="O122" i="47"/>
  <c r="O72" i="43"/>
  <c r="O72" i="45"/>
  <c r="O69" i="45"/>
  <c r="O69" i="43"/>
  <c r="O69" i="47"/>
  <c r="O50" i="43"/>
  <c r="O74" i="48"/>
  <c r="O91" i="47"/>
  <c r="O91" i="45"/>
  <c r="O90" i="46"/>
  <c r="O109" i="45"/>
  <c r="O109" i="48"/>
  <c r="O135" i="43"/>
  <c r="O126" i="47"/>
  <c r="O84" i="48"/>
  <c r="O84" i="43"/>
  <c r="O55" i="48"/>
  <c r="O55" i="43"/>
  <c r="O70" i="43"/>
  <c r="O70" i="45"/>
  <c r="O116" i="45"/>
  <c r="O116" i="43"/>
  <c r="O105" i="47"/>
  <c r="L111" i="42"/>
  <c r="O111" i="48"/>
  <c r="O111" i="43"/>
  <c r="O111" i="46"/>
  <c r="O111" i="47"/>
  <c r="O73" i="47"/>
  <c r="O73" i="48"/>
  <c r="O123" i="47"/>
  <c r="O126" i="48"/>
  <c r="O79" i="48"/>
  <c r="O79" i="45"/>
  <c r="L58" i="42"/>
  <c r="O58" i="46"/>
  <c r="O58" i="47"/>
  <c r="O58" i="48"/>
  <c r="O100" i="45"/>
  <c r="O100" i="46"/>
  <c r="O100" i="43"/>
  <c r="O104" i="45"/>
  <c r="L101" i="42"/>
  <c r="O101" i="47"/>
  <c r="O101" i="43"/>
  <c r="O66" i="43"/>
  <c r="O94" i="46"/>
  <c r="O94" i="48"/>
  <c r="O94" i="43"/>
  <c r="O94" i="45"/>
  <c r="L46" i="42"/>
  <c r="O46" i="46"/>
  <c r="L128" i="33"/>
  <c r="O128" i="33" s="1"/>
  <c r="O128" i="48"/>
  <c r="O128" i="45"/>
  <c r="O128" i="46"/>
  <c r="O128" i="47"/>
  <c r="O81" i="33"/>
  <c r="O60" i="33"/>
  <c r="O84" i="33"/>
  <c r="O76" i="33"/>
  <c r="O69" i="33"/>
  <c r="L77" i="44"/>
  <c r="O77" i="44" s="1"/>
  <c r="L64" i="44"/>
  <c r="O64" i="44" s="1"/>
  <c r="L64" i="42"/>
  <c r="O80" i="45"/>
  <c r="L46" i="44"/>
  <c r="O46" i="44" s="1"/>
  <c r="L58" i="33"/>
  <c r="O58" i="33" s="1"/>
  <c r="L77" i="42"/>
  <c r="L80" i="44"/>
  <c r="O80" i="44" s="1"/>
  <c r="L128" i="44"/>
  <c r="O128" i="44" s="1"/>
  <c r="L104" i="42"/>
  <c r="O77" i="45"/>
  <c r="L100" i="44"/>
  <c r="O100" i="44" s="1"/>
  <c r="L104" i="44"/>
  <c r="O104" i="44" s="1"/>
  <c r="L98" i="42"/>
  <c r="O117" i="48"/>
  <c r="O92" i="46"/>
  <c r="O122" i="48"/>
  <c r="O130" i="45"/>
  <c r="O132" i="43"/>
  <c r="O48" i="47"/>
  <c r="O54" i="48"/>
  <c r="L57" i="33"/>
  <c r="O57" i="33" s="1"/>
  <c r="O59" i="45"/>
  <c r="O72" i="47"/>
  <c r="O75" i="46"/>
  <c r="O78" i="47"/>
  <c r="O15" i="43"/>
  <c r="O20" i="46"/>
  <c r="L103" i="44"/>
  <c r="O103" i="44" s="1"/>
  <c r="O124" i="47"/>
  <c r="L100" i="33"/>
  <c r="O100" i="33" s="1"/>
  <c r="L75" i="44"/>
  <c r="O75" i="44" s="1"/>
  <c r="L98" i="44"/>
  <c r="O98" i="44" s="1"/>
  <c r="L118" i="44"/>
  <c r="O118" i="44" s="1"/>
  <c r="L112" i="42"/>
  <c r="L112" i="33"/>
  <c r="O104" i="43"/>
  <c r="O108" i="47"/>
  <c r="O118" i="43"/>
  <c r="L99" i="33"/>
  <c r="O99" i="33" s="1"/>
  <c r="L130" i="33"/>
  <c r="O130" i="33" s="1"/>
  <c r="O133" i="33"/>
  <c r="O136" i="45"/>
  <c r="O46" i="33"/>
  <c r="O46" i="43"/>
  <c r="O48" i="48"/>
  <c r="O56" i="48"/>
  <c r="O57" i="46"/>
  <c r="L57" i="44"/>
  <c r="O57" i="44" s="1"/>
  <c r="L65" i="33"/>
  <c r="O65" i="33" s="1"/>
  <c r="L75" i="42"/>
  <c r="L121" i="42"/>
  <c r="O99" i="47"/>
  <c r="O121" i="47"/>
  <c r="L106" i="42"/>
  <c r="L70" i="44"/>
  <c r="O70" i="44" s="1"/>
  <c r="O24" i="33"/>
  <c r="O117" i="47"/>
  <c r="O33" i="45"/>
  <c r="L116" i="33"/>
  <c r="O116" i="33" s="1"/>
  <c r="O89" i="43"/>
  <c r="O89" i="48"/>
  <c r="L89" i="44"/>
  <c r="O89" i="44" s="1"/>
  <c r="O131" i="45"/>
  <c r="O131" i="43"/>
  <c r="L131" i="44"/>
  <c r="O131" i="44" s="1"/>
  <c r="L111" i="33"/>
  <c r="O111" i="33" s="1"/>
  <c r="L105" i="44"/>
  <c r="O105" i="44" s="1"/>
  <c r="O113" i="47"/>
  <c r="L124" i="33"/>
  <c r="O124" i="33" s="1"/>
  <c r="O111" i="45"/>
  <c r="O116" i="47"/>
  <c r="O58" i="43"/>
  <c r="L58" i="44"/>
  <c r="O58" i="44" s="1"/>
  <c r="O100" i="48"/>
  <c r="L100" i="42"/>
  <c r="L101" i="33"/>
  <c r="O101" i="33" s="1"/>
  <c r="L101" i="44"/>
  <c r="O101" i="44" s="1"/>
  <c r="O120" i="43"/>
  <c r="L66" i="33"/>
  <c r="O66" i="33" s="1"/>
  <c r="L66" i="44"/>
  <c r="O66" i="44" s="1"/>
  <c r="L66" i="42"/>
  <c r="L111" i="44"/>
  <c r="O111" i="44" s="1"/>
  <c r="L102" i="44"/>
  <c r="O102" i="44" s="1"/>
  <c r="O103" i="48"/>
  <c r="O99" i="43"/>
  <c r="L105" i="33"/>
  <c r="O105" i="33" s="1"/>
  <c r="L124" i="42"/>
  <c r="L120" i="42"/>
  <c r="L120" i="33"/>
  <c r="O120" i="33" s="1"/>
  <c r="L117" i="42"/>
  <c r="O101" i="46"/>
  <c r="O123" i="48"/>
  <c r="O119" i="43"/>
  <c r="O94" i="47"/>
  <c r="O131" i="47"/>
  <c r="O137" i="47"/>
  <c r="O66" i="48"/>
  <c r="O78" i="43"/>
  <c r="O62" i="48"/>
  <c r="L107" i="33"/>
  <c r="O107" i="33" s="1"/>
  <c r="O106" i="45"/>
  <c r="L106" i="44"/>
  <c r="O106" i="44" s="1"/>
  <c r="L121" i="44"/>
  <c r="O121" i="44" s="1"/>
  <c r="L134" i="33"/>
  <c r="O134" i="33" s="1"/>
  <c r="O134" i="43"/>
  <c r="L134" i="44"/>
  <c r="O134" i="44" s="1"/>
  <c r="L107" i="44"/>
  <c r="O107" i="44" s="1"/>
  <c r="O99" i="48"/>
  <c r="O105" i="46"/>
  <c r="O110" i="33"/>
  <c r="O106" i="47"/>
  <c r="O79" i="43"/>
  <c r="L79" i="44"/>
  <c r="O79" i="44" s="1"/>
  <c r="O103" i="46"/>
  <c r="L103" i="42"/>
  <c r="L102" i="42"/>
  <c r="O117" i="43"/>
  <c r="L130" i="44"/>
  <c r="O130" i="44" s="1"/>
  <c r="L130" i="42"/>
  <c r="L117" i="44"/>
  <c r="O117" i="44" s="1"/>
  <c r="L120" i="44"/>
  <c r="O120" i="44" s="1"/>
  <c r="O97" i="43"/>
  <c r="L89" i="42"/>
  <c r="O124" i="48"/>
  <c r="L102" i="33"/>
  <c r="L104" i="33"/>
  <c r="O104" i="33" s="1"/>
  <c r="L117" i="33"/>
  <c r="O117" i="33" s="1"/>
  <c r="O108" i="33"/>
  <c r="O101" i="45"/>
  <c r="L103" i="33"/>
  <c r="O103" i="33" s="1"/>
  <c r="O116" i="48"/>
  <c r="L116" i="44"/>
  <c r="O116" i="44" s="1"/>
  <c r="O107" i="47"/>
  <c r="L94" i="42"/>
  <c r="L94" i="33"/>
  <c r="O94" i="33" s="1"/>
  <c r="L106" i="33"/>
  <c r="O106" i="33" s="1"/>
  <c r="L131" i="42"/>
  <c r="O58" i="45"/>
  <c r="O66" i="47"/>
  <c r="O77" i="47"/>
  <c r="O78" i="46"/>
  <c r="O81" i="45"/>
  <c r="O44" i="48"/>
  <c r="L81" i="44"/>
  <c r="O81" i="44" s="1"/>
  <c r="L97" i="33"/>
  <c r="O97" i="33" s="1"/>
  <c r="O98" i="48"/>
  <c r="O108" i="43"/>
  <c r="L92" i="42"/>
  <c r="L99" i="42"/>
  <c r="O129" i="46"/>
  <c r="O136" i="48"/>
  <c r="O48" i="43"/>
  <c r="L78" i="42"/>
  <c r="O81" i="47"/>
  <c r="O87" i="43"/>
  <c r="O37" i="33"/>
  <c r="O32" i="43"/>
  <c r="O28" i="45"/>
  <c r="O60" i="47"/>
  <c r="O38" i="33"/>
  <c r="O14" i="33"/>
  <c r="O53" i="33"/>
  <c r="O39" i="48"/>
  <c r="O39" i="47"/>
  <c r="O87" i="46"/>
  <c r="O78" i="33"/>
  <c r="O30" i="48"/>
  <c r="O39" i="46"/>
  <c r="O29" i="33"/>
  <c r="O115" i="47"/>
  <c r="O85" i="33"/>
  <c r="O105" i="48"/>
  <c r="L115" i="42"/>
  <c r="L135" i="42"/>
  <c r="L109" i="33"/>
  <c r="O109" i="33" s="1"/>
  <c r="O114" i="43"/>
  <c r="O91" i="48"/>
  <c r="O126" i="45"/>
  <c r="O125" i="45"/>
  <c r="O115" i="48"/>
  <c r="L124" i="44"/>
  <c r="O124" i="44" s="1"/>
  <c r="L109" i="44"/>
  <c r="O109" i="44" s="1"/>
  <c r="L83" i="44"/>
  <c r="O83" i="44" s="1"/>
  <c r="O38" i="44"/>
  <c r="L115" i="44"/>
  <c r="O115" i="44" s="1"/>
  <c r="O89" i="45"/>
  <c r="O90" i="43"/>
  <c r="O90" i="45"/>
  <c r="L105" i="42"/>
  <c r="O124" i="43"/>
  <c r="O114" i="47"/>
  <c r="O91" i="43"/>
  <c r="L116" i="42"/>
  <c r="L107" i="42"/>
  <c r="L125" i="42"/>
  <c r="O115" i="43"/>
  <c r="O106" i="43"/>
  <c r="L131" i="33"/>
  <c r="O134" i="45"/>
  <c r="O135" i="48"/>
  <c r="O59" i="47"/>
  <c r="L70" i="42"/>
  <c r="L83" i="33"/>
  <c r="O83" i="33" s="1"/>
  <c r="O87" i="33"/>
  <c r="O37" i="45"/>
  <c r="O32" i="48"/>
  <c r="O32" i="47"/>
  <c r="O28" i="33"/>
  <c r="O25" i="45"/>
  <c r="O18" i="47"/>
  <c r="O39" i="43"/>
  <c r="L135" i="44"/>
  <c r="O135" i="44" s="1"/>
  <c r="L90" i="42"/>
  <c r="O109" i="47"/>
  <c r="L91" i="44"/>
  <c r="O91" i="44" s="1"/>
  <c r="L114" i="44"/>
  <c r="O114" i="44" s="1"/>
  <c r="L109" i="42"/>
  <c r="L114" i="42"/>
  <c r="L91" i="42"/>
  <c r="L126" i="42"/>
  <c r="L115" i="33"/>
  <c r="O115" i="33" s="1"/>
  <c r="L135" i="33"/>
  <c r="O135" i="33" s="1"/>
  <c r="O46" i="47"/>
  <c r="O64" i="47"/>
  <c r="O76" i="46"/>
  <c r="O76" i="45"/>
  <c r="L83" i="42"/>
  <c r="L86" i="33"/>
  <c r="O86" i="33" s="1"/>
  <c r="O120" i="45"/>
  <c r="O20" i="47"/>
  <c r="O27" i="33"/>
  <c r="O64" i="48"/>
  <c r="O59" i="33"/>
  <c r="O28" i="46"/>
  <c r="O19" i="48"/>
  <c r="O31" i="33"/>
  <c r="O65" i="46"/>
  <c r="O63" i="48"/>
  <c r="O55" i="47"/>
  <c r="O33" i="47"/>
  <c r="O59" i="48"/>
  <c r="O77" i="48"/>
  <c r="O83" i="46"/>
  <c r="O84" i="47"/>
  <c r="O85" i="48"/>
  <c r="O17" i="48"/>
  <c r="O46" i="45"/>
  <c r="O42" i="46"/>
  <c r="O81" i="48"/>
  <c r="O86" i="48"/>
  <c r="L42" i="44"/>
  <c r="O42" i="44" s="1"/>
  <c r="L86" i="44"/>
  <c r="O86" i="44" s="1"/>
  <c r="O90" i="48"/>
  <c r="L42" i="42"/>
  <c r="O31" i="45"/>
  <c r="O30" i="46"/>
  <c r="O30" i="45"/>
  <c r="O22" i="48"/>
  <c r="O74" i="46"/>
  <c r="O82" i="48"/>
  <c r="O79" i="47"/>
  <c r="O82" i="47"/>
  <c r="O42" i="48"/>
  <c r="O24" i="47"/>
  <c r="O121" i="33"/>
  <c r="O47" i="48"/>
  <c r="O136" i="47"/>
  <c r="O132" i="45"/>
  <c r="O123" i="33"/>
  <c r="O31" i="48"/>
  <c r="O25" i="47"/>
  <c r="O76" i="43"/>
  <c r="O134" i="48"/>
  <c r="O16" i="46"/>
  <c r="O63" i="47"/>
  <c r="O74" i="43"/>
  <c r="O76" i="48"/>
  <c r="O76" i="47"/>
  <c r="L79" i="33"/>
  <c r="O79" i="33" s="1"/>
  <c r="L82" i="33"/>
  <c r="O129" i="43"/>
  <c r="O119" i="48"/>
  <c r="O33" i="46"/>
  <c r="O47" i="45"/>
  <c r="O56" i="45"/>
  <c r="O64" i="45"/>
  <c r="O71" i="47"/>
  <c r="O114" i="46"/>
  <c r="O120" i="47"/>
  <c r="O119" i="46"/>
  <c r="O107" i="46"/>
  <c r="O107" i="43"/>
  <c r="O126" i="46"/>
  <c r="O122" i="33"/>
  <c r="O118" i="45"/>
  <c r="O125" i="43"/>
  <c r="O136" i="46"/>
  <c r="O136" i="33"/>
  <c r="O135" i="46"/>
  <c r="O44" i="33"/>
  <c r="O48" i="33"/>
  <c r="O56" i="43"/>
  <c r="O68" i="43"/>
  <c r="O73" i="33"/>
  <c r="O86" i="47"/>
  <c r="O24" i="48"/>
  <c r="O62" i="43"/>
  <c r="O17" i="47"/>
  <c r="O63" i="46"/>
  <c r="O26" i="46"/>
  <c r="O71" i="43"/>
  <c r="O71" i="48"/>
  <c r="L71" i="44"/>
  <c r="O71" i="44" s="1"/>
  <c r="L71" i="33"/>
  <c r="O71" i="33" s="1"/>
  <c r="O74" i="47"/>
  <c r="O74" i="45"/>
  <c r="L74" i="44"/>
  <c r="O74" i="44" s="1"/>
  <c r="L74" i="33"/>
  <c r="O74" i="33" s="1"/>
  <c r="O114" i="45"/>
  <c r="O131" i="46"/>
  <c r="O71" i="45"/>
  <c r="L74" i="42"/>
  <c r="O75" i="48"/>
  <c r="O83" i="45"/>
  <c r="O85" i="47"/>
  <c r="O87" i="47"/>
  <c r="L42" i="33"/>
  <c r="O42" i="33" s="1"/>
  <c r="O15" i="48"/>
  <c r="O25" i="48"/>
  <c r="O18" i="43"/>
  <c r="O20" i="33"/>
  <c r="O35" i="43"/>
  <c r="O26" i="48"/>
  <c r="O26" i="47"/>
  <c r="O62" i="45"/>
  <c r="O17" i="33"/>
  <c r="O27" i="43"/>
  <c r="O86" i="46"/>
  <c r="L86" i="42"/>
  <c r="O70" i="47"/>
  <c r="L70" i="33"/>
  <c r="O70" i="33" s="1"/>
  <c r="O60" i="44"/>
  <c r="O117" i="46"/>
  <c r="O116" i="46"/>
  <c r="O92" i="47"/>
  <c r="O128" i="43"/>
  <c r="O47" i="47"/>
  <c r="O44" i="46"/>
  <c r="O48" i="46"/>
  <c r="O54" i="43"/>
  <c r="O54" i="33"/>
  <c r="O56" i="33"/>
  <c r="O57" i="47"/>
  <c r="O59" i="43"/>
  <c r="O66" i="46"/>
  <c r="O68" i="46"/>
  <c r="O68" i="45"/>
  <c r="O69" i="46"/>
  <c r="O70" i="46"/>
  <c r="O72" i="33"/>
  <c r="O80" i="43"/>
  <c r="O86" i="43"/>
  <c r="O34" i="33"/>
  <c r="O33" i="33"/>
  <c r="O38" i="48"/>
  <c r="O35" i="33"/>
  <c r="O31" i="47"/>
  <c r="O23" i="46"/>
  <c r="O23" i="47"/>
  <c r="O14" i="47"/>
  <c r="O16" i="48"/>
  <c r="O53" i="46"/>
  <c r="O53" i="45"/>
  <c r="O30" i="33"/>
  <c r="O30" i="47"/>
  <c r="O22" i="33"/>
  <c r="O52" i="33"/>
  <c r="O29" i="46"/>
  <c r="O29" i="47"/>
  <c r="O79" i="46"/>
  <c r="L79" i="42"/>
  <c r="L82" i="44"/>
  <c r="O82" i="44" s="1"/>
  <c r="O90" i="47"/>
  <c r="O113" i="46"/>
  <c r="O109" i="43"/>
  <c r="O120" i="46"/>
  <c r="O117" i="45"/>
  <c r="O123" i="46"/>
  <c r="O123" i="43"/>
  <c r="O119" i="33"/>
  <c r="O119" i="47"/>
  <c r="O91" i="46"/>
  <c r="O91" i="33"/>
  <c r="O126" i="33"/>
  <c r="O122" i="43"/>
  <c r="O110" i="46"/>
  <c r="O115" i="45"/>
  <c r="O130" i="48"/>
  <c r="O131" i="48"/>
  <c r="O135" i="45"/>
  <c r="O47" i="46"/>
  <c r="O46" i="48"/>
  <c r="O44" i="43"/>
  <c r="O55" i="33"/>
  <c r="O64" i="46"/>
  <c r="O65" i="45"/>
  <c r="O66" i="45"/>
  <c r="O73" i="43"/>
  <c r="O19" i="47"/>
  <c r="O60" i="45"/>
  <c r="O34" i="43"/>
  <c r="O35" i="46"/>
  <c r="O26" i="45"/>
  <c r="O23" i="48"/>
  <c r="O14" i="48"/>
  <c r="O53" i="47"/>
  <c r="O39" i="45"/>
  <c r="O22" i="43"/>
  <c r="O52" i="43"/>
  <c r="O96" i="48"/>
  <c r="O129" i="33"/>
  <c r="O133" i="46"/>
  <c r="O37" i="48"/>
  <c r="O19" i="46"/>
  <c r="O19" i="45"/>
  <c r="O15" i="46"/>
  <c r="O15" i="45"/>
  <c r="O95" i="43"/>
  <c r="O97" i="48"/>
  <c r="O104" i="47"/>
  <c r="O103" i="45"/>
  <c r="O102" i="47"/>
  <c r="O124" i="46"/>
  <c r="O112" i="33"/>
  <c r="O37" i="47"/>
  <c r="O32" i="33"/>
  <c r="O28" i="43"/>
  <c r="O98" i="45"/>
  <c r="O95" i="45"/>
  <c r="O24" i="46"/>
  <c r="O31" i="46"/>
  <c r="O23" i="43"/>
  <c r="O63" i="45"/>
  <c r="O105" i="43"/>
  <c r="O102" i="33"/>
  <c r="O102" i="43"/>
  <c r="O129" i="48"/>
  <c r="O124" i="45"/>
  <c r="O112" i="47"/>
  <c r="O108" i="48"/>
  <c r="O92" i="33"/>
  <c r="O92" i="43"/>
  <c r="O55" i="45"/>
  <c r="O119" i="45"/>
  <c r="O54" i="47"/>
  <c r="O18" i="48"/>
  <c r="O52" i="44"/>
  <c r="O125" i="48"/>
  <c r="O25" i="46"/>
  <c r="O122" i="46"/>
  <c r="O85" i="45"/>
  <c r="O71" i="46"/>
  <c r="O34" i="46"/>
  <c r="O84" i="46"/>
  <c r="O53" i="43"/>
  <c r="O22" i="47"/>
  <c r="O62" i="33"/>
  <c r="O17" i="45"/>
  <c r="O52" i="46"/>
  <c r="O29" i="45"/>
  <c r="O29" i="44"/>
  <c r="O27" i="47"/>
  <c r="O14" i="46"/>
  <c r="O14" i="45"/>
  <c r="O15" i="47"/>
  <c r="O96" i="43"/>
  <c r="O103" i="47"/>
  <c r="O99" i="46"/>
  <c r="O73" i="46"/>
  <c r="O37" i="43"/>
  <c r="O32" i="46"/>
  <c r="O32" i="45"/>
  <c r="O28" i="48"/>
  <c r="O28" i="47"/>
  <c r="O19" i="33"/>
  <c r="P18" i="62"/>
  <c r="O15" i="33"/>
  <c r="P14" i="62"/>
  <c r="O18" i="46"/>
  <c r="O23" i="33"/>
  <c r="O30" i="43"/>
  <c r="O22" i="46"/>
  <c r="O22" i="45"/>
  <c r="O109" i="46"/>
  <c r="O23" i="45"/>
  <c r="O18" i="33"/>
  <c r="O100" i="47"/>
  <c r="O92" i="48"/>
  <c r="O69" i="48"/>
  <c r="O64" i="33"/>
  <c r="O55" i="46"/>
  <c r="O42" i="43"/>
  <c r="O82" i="46"/>
  <c r="O78" i="48"/>
  <c r="O78" i="45"/>
  <c r="O121" i="45"/>
  <c r="O113" i="33"/>
  <c r="O56" i="46"/>
  <c r="O56" i="47"/>
  <c r="O136" i="43"/>
  <c r="O132" i="33"/>
  <c r="O123" i="45"/>
  <c r="O107" i="45"/>
  <c r="O72" i="46"/>
  <c r="O68" i="48"/>
  <c r="O68" i="47"/>
  <c r="O54" i="46"/>
  <c r="O54" i="45"/>
  <c r="O81" i="46"/>
  <c r="O77" i="33"/>
  <c r="O65" i="47"/>
  <c r="O25" i="33"/>
  <c r="O131" i="33"/>
  <c r="O126" i="43"/>
  <c r="O90" i="33"/>
  <c r="O85" i="43"/>
  <c r="O57" i="43"/>
  <c r="O48" i="45"/>
  <c r="O44" i="45"/>
  <c r="O34" i="48"/>
  <c r="O34" i="45"/>
  <c r="O80" i="46"/>
  <c r="O53" i="48"/>
  <c r="O62" i="46"/>
  <c r="O39" i="33"/>
  <c r="O38" i="43"/>
  <c r="O38" i="45"/>
  <c r="O16" i="33"/>
  <c r="O63" i="43"/>
  <c r="O52" i="48"/>
  <c r="O52" i="45"/>
  <c r="O29" i="48"/>
  <c r="O29" i="43"/>
  <c r="O20" i="48"/>
  <c r="O20" i="43"/>
  <c r="O35" i="48"/>
  <c r="O33" i="48"/>
  <c r="O33" i="43"/>
  <c r="O27" i="46"/>
  <c r="O133" i="43"/>
  <c r="O19" i="43"/>
  <c r="O70" i="48"/>
  <c r="O72" i="48"/>
  <c r="O118" i="33"/>
  <c r="O110" i="45"/>
  <c r="O34" i="47"/>
  <c r="O84" i="45"/>
  <c r="O38" i="46"/>
  <c r="O52" i="47"/>
  <c r="O35" i="47"/>
  <c r="O27" i="48"/>
  <c r="O35" i="45"/>
  <c r="O17" i="43"/>
  <c r="O14" i="43"/>
  <c r="O102" i="46"/>
  <c r="O137" i="33"/>
  <c r="O132" i="46"/>
  <c r="O59" i="46"/>
  <c r="O68" i="33"/>
  <c r="O87" i="48"/>
  <c r="O44" i="47"/>
  <c r="O57" i="45"/>
  <c r="O18" i="45"/>
  <c r="O62" i="47"/>
  <c r="O26" i="33"/>
  <c r="O97" i="45"/>
  <c r="O104" i="46"/>
  <c r="O24" i="43"/>
  <c r="O27" i="45"/>
  <c r="O97" i="47"/>
  <c r="O104" i="48"/>
  <c r="O31" i="43"/>
  <c r="O12" i="47"/>
  <c r="L12" i="33"/>
  <c r="O12" i="33" s="1"/>
  <c r="O12" i="48"/>
  <c r="O12" i="46"/>
  <c r="L12" i="42"/>
  <c r="O114" i="33"/>
  <c r="O98" i="47"/>
  <c r="O96" i="33"/>
  <c r="O96" i="47"/>
  <c r="O101" i="48"/>
  <c r="O122" i="45"/>
  <c r="O129" i="45"/>
  <c r="O133" i="45"/>
  <c r="O135" i="47"/>
  <c r="P15" i="62"/>
  <c r="P19" i="62"/>
  <c r="O105" i="45"/>
  <c r="O130" i="43"/>
  <c r="O82" i="33"/>
  <c r="P17" i="62"/>
  <c r="O102" i="48"/>
  <c r="L40" i="33"/>
  <c r="O40" i="33" s="1"/>
  <c r="O40" i="48"/>
  <c r="O40" i="46"/>
  <c r="L40" i="42"/>
  <c r="O40" i="47"/>
  <c r="O47" i="33"/>
  <c r="O73" i="45"/>
  <c r="P16" i="62"/>
  <c r="P13" i="62"/>
  <c r="O50" i="46"/>
  <c r="L50" i="42"/>
  <c r="O50" i="48"/>
  <c r="O50" i="47"/>
  <c r="L50" i="33"/>
  <c r="O50" i="33" s="1"/>
  <c r="O50" i="45"/>
  <c r="L50" i="44"/>
  <c r="O50" i="44" s="1"/>
  <c r="O49" i="47"/>
  <c r="O49" i="45"/>
  <c r="L49" i="33"/>
  <c r="O49" i="33" s="1"/>
  <c r="O49" i="46"/>
  <c r="O49" i="43"/>
  <c r="L49" i="44"/>
  <c r="O49" i="44" s="1"/>
  <c r="L49" i="42"/>
  <c r="O45" i="45"/>
  <c r="L45" i="44"/>
  <c r="O45" i="44" s="1"/>
  <c r="O45" i="48"/>
  <c r="L45" i="42"/>
  <c r="L45" i="33"/>
  <c r="O45" i="33" s="1"/>
  <c r="L43" i="33"/>
  <c r="O43" i="33" s="1"/>
  <c r="L43" i="42"/>
  <c r="L43" i="44"/>
  <c r="O43" i="44" s="1"/>
  <c r="O43" i="48"/>
  <c r="O43" i="43"/>
  <c r="O43" i="45"/>
  <c r="O43" i="47"/>
  <c r="O43" i="46"/>
  <c r="O97" i="44"/>
  <c r="O95" i="48"/>
  <c r="O95" i="33"/>
  <c r="U9" i="57"/>
  <c r="O15" i="57" s="1"/>
  <c r="P9" i="57"/>
  <c r="Z4" i="9"/>
  <c r="O12" i="45"/>
  <c r="M53" i="34"/>
  <c r="R53" i="34" s="1"/>
  <c r="M82" i="34"/>
  <c r="R82" i="34" s="1"/>
  <c r="M24" i="34"/>
  <c r="R24" i="34" s="1"/>
  <c r="M10" i="63" l="1"/>
  <c r="O15" i="63"/>
  <c r="AT5" i="63"/>
  <c r="AU4" i="63" s="1"/>
  <c r="H148" i="65" s="1"/>
  <c r="H152" i="65" s="1"/>
  <c r="M3" i="34"/>
  <c r="R3" i="34" s="1"/>
  <c r="M6" i="34"/>
  <c r="R6" i="34" s="1"/>
  <c r="M7" i="34"/>
  <c r="R7" i="34" s="1"/>
  <c r="M8" i="34"/>
  <c r="R8" i="34" s="1"/>
  <c r="M9" i="34"/>
  <c r="R9" i="34" s="1"/>
  <c r="R13" i="34"/>
  <c r="R14" i="34"/>
  <c r="M16" i="34"/>
  <c r="R16" i="34" s="1"/>
  <c r="M17" i="34"/>
  <c r="R17" i="34" s="1"/>
  <c r="M19" i="34"/>
  <c r="R19" i="34" s="1"/>
  <c r="M20" i="34"/>
  <c r="R20" i="34" s="1"/>
  <c r="M21" i="34"/>
  <c r="R21" i="34" s="1"/>
  <c r="M22" i="34"/>
  <c r="R22" i="34" s="1"/>
  <c r="M23" i="34"/>
  <c r="R23" i="34" s="1"/>
  <c r="M28" i="34"/>
  <c r="R28" i="34" s="1"/>
  <c r="M29" i="34"/>
  <c r="R29" i="34" s="1"/>
  <c r="M30" i="34"/>
  <c r="R30" i="34" s="1"/>
  <c r="M33" i="34"/>
  <c r="R33" i="34" s="1"/>
  <c r="M34" i="34"/>
  <c r="R34" i="34" s="1"/>
  <c r="M37" i="34"/>
  <c r="R37" i="34" s="1"/>
  <c r="M38" i="34"/>
  <c r="R38" i="34" s="1"/>
  <c r="M39" i="34"/>
  <c r="R39" i="34" s="1"/>
  <c r="M40" i="34"/>
  <c r="R40" i="34" s="1"/>
  <c r="M43" i="34"/>
  <c r="R43" i="34" s="1"/>
  <c r="M44" i="34"/>
  <c r="R44" i="34" s="1"/>
  <c r="M48" i="34"/>
  <c r="R48" i="34" s="1"/>
  <c r="M49" i="34"/>
  <c r="R49" i="34" s="1"/>
  <c r="M50" i="34"/>
  <c r="R50" i="34" s="1"/>
  <c r="M51" i="34"/>
  <c r="R51" i="34" s="1"/>
  <c r="M54" i="34"/>
  <c r="R54" i="34" s="1"/>
  <c r="M55" i="34"/>
  <c r="R55" i="34" s="1"/>
  <c r="M59" i="34"/>
  <c r="R59" i="34" s="1"/>
  <c r="R60" i="34"/>
  <c r="M61" i="34"/>
  <c r="R61" i="34" s="1"/>
  <c r="M62" i="34"/>
  <c r="R62" i="34" s="1"/>
  <c r="M63" i="34"/>
  <c r="R63" i="34" s="1"/>
  <c r="M64" i="34"/>
  <c r="R64" i="34" s="1"/>
  <c r="M65" i="34"/>
  <c r="R65" i="34" s="1"/>
  <c r="M66" i="34"/>
  <c r="R66" i="34" s="1"/>
  <c r="M67" i="34"/>
  <c r="R67" i="34" s="1"/>
  <c r="M68" i="34"/>
  <c r="R68" i="34" s="1"/>
  <c r="M72" i="34"/>
  <c r="R72" i="34" s="1"/>
  <c r="M76" i="34"/>
  <c r="R76" i="34" s="1"/>
  <c r="M77" i="34"/>
  <c r="R77" i="34" s="1"/>
  <c r="M78" i="34"/>
  <c r="R78" i="34" s="1"/>
  <c r="M81" i="34"/>
  <c r="R81" i="34" s="1"/>
  <c r="M83" i="34"/>
  <c r="R83" i="34" s="1"/>
  <c r="M85" i="34"/>
  <c r="R85" i="34" s="1"/>
  <c r="M86" i="34"/>
  <c r="R86" i="34" s="1"/>
  <c r="R87" i="34"/>
  <c r="M88" i="34"/>
  <c r="R88" i="34" s="1"/>
  <c r="M89" i="34"/>
  <c r="R89" i="34" s="1"/>
  <c r="M90" i="34"/>
  <c r="R90" i="34" s="1"/>
  <c r="M91" i="34"/>
  <c r="R91" i="34" s="1"/>
  <c r="M92" i="34"/>
  <c r="R92" i="34" s="1"/>
  <c r="M93" i="34"/>
  <c r="R93" i="34" s="1"/>
  <c r="M94" i="34"/>
  <c r="R94" i="34" s="1"/>
  <c r="M95" i="34"/>
  <c r="R95" i="34" s="1"/>
  <c r="M96" i="34"/>
  <c r="R96" i="34" s="1"/>
  <c r="M98" i="34"/>
  <c r="R98" i="34" s="1"/>
  <c r="M99" i="34"/>
  <c r="R99" i="34" s="1"/>
  <c r="M100" i="34"/>
  <c r="R100" i="34" s="1"/>
  <c r="M101" i="34"/>
  <c r="R101" i="34" s="1"/>
  <c r="M102" i="34"/>
  <c r="R102" i="34" s="1"/>
  <c r="M103" i="34"/>
  <c r="R103" i="34" s="1"/>
  <c r="M106" i="34"/>
  <c r="R106" i="34" s="1"/>
  <c r="M110" i="34"/>
  <c r="R110" i="34" s="1"/>
  <c r="M113" i="34"/>
  <c r="R113" i="34" s="1"/>
  <c r="M114" i="34"/>
  <c r="R114" i="34" s="1"/>
  <c r="M116" i="34"/>
  <c r="R116" i="34" s="1"/>
  <c r="M119" i="34"/>
  <c r="R119" i="34" s="1"/>
  <c r="M120" i="34"/>
  <c r="R120" i="34" s="1"/>
  <c r="M121" i="34"/>
  <c r="R121" i="34" s="1"/>
  <c r="M122" i="34"/>
  <c r="R122" i="34" s="1"/>
  <c r="M123" i="34"/>
  <c r="R123" i="34" s="1"/>
  <c r="M124" i="34"/>
  <c r="R124" i="34" s="1"/>
  <c r="M125" i="34"/>
  <c r="R125" i="34" s="1"/>
  <c r="M126" i="34"/>
  <c r="R126" i="34" s="1"/>
  <c r="M127" i="34"/>
  <c r="R127" i="34" s="1"/>
  <c r="M128" i="34"/>
  <c r="R128" i="34" s="1"/>
  <c r="B33" i="49"/>
  <c r="C33" i="49"/>
  <c r="D33" i="49"/>
  <c r="E33" i="49"/>
  <c r="B32" i="49"/>
  <c r="C32" i="49"/>
  <c r="D32" i="49"/>
  <c r="E32" i="49"/>
  <c r="B31" i="49"/>
  <c r="C31" i="49"/>
  <c r="D31" i="49"/>
  <c r="E31" i="49"/>
  <c r="B29" i="49"/>
  <c r="C29" i="49"/>
  <c r="D29" i="49"/>
  <c r="E29"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E17" i="34"/>
  <c r="D17" i="34"/>
  <c r="E140" i="49"/>
  <c r="D140" i="49"/>
  <c r="C140" i="49"/>
  <c r="B140" i="49"/>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B130" i="49"/>
  <c r="E129" i="49"/>
  <c r="D129" i="49"/>
  <c r="C129"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E95" i="49"/>
  <c r="D95" i="49"/>
  <c r="C95" i="49"/>
  <c r="B95" i="49"/>
  <c r="E94" i="49"/>
  <c r="D94" i="49"/>
  <c r="C94" i="49"/>
  <c r="B94" i="49"/>
  <c r="E93" i="49"/>
  <c r="D93" i="49"/>
  <c r="C93" i="49"/>
  <c r="B93" i="49"/>
  <c r="E92" i="49"/>
  <c r="D92" i="49"/>
  <c r="C92" i="49"/>
  <c r="B92" i="49"/>
  <c r="B91" i="49"/>
  <c r="E90" i="49"/>
  <c r="D90" i="49"/>
  <c r="C90"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B70" i="49"/>
  <c r="E69" i="49"/>
  <c r="D69" i="49"/>
  <c r="C69" i="49"/>
  <c r="B69" i="49"/>
  <c r="E68" i="49"/>
  <c r="D68" i="49"/>
  <c r="C68" i="49"/>
  <c r="B68" i="49"/>
  <c r="E67" i="49"/>
  <c r="D67" i="49"/>
  <c r="C67" i="49"/>
  <c r="B67" i="49"/>
  <c r="E66" i="49"/>
  <c r="D66" i="49"/>
  <c r="C66" i="49"/>
  <c r="B66" i="49"/>
  <c r="E65" i="49"/>
  <c r="D65" i="49"/>
  <c r="C65" i="49"/>
  <c r="B65" i="49"/>
  <c r="B64" i="49"/>
  <c r="E63" i="49"/>
  <c r="D63" i="49"/>
  <c r="C63"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B54" i="49"/>
  <c r="E53" i="49"/>
  <c r="D53" i="49"/>
  <c r="C53" i="49"/>
  <c r="B53" i="49"/>
  <c r="D52" i="49"/>
  <c r="C52" i="49"/>
  <c r="B52" i="49"/>
  <c r="D51" i="49"/>
  <c r="C51" i="49"/>
  <c r="B51" i="49"/>
  <c r="E50" i="49"/>
  <c r="D50" i="49"/>
  <c r="C50" i="49"/>
  <c r="B50" i="49"/>
  <c r="E49" i="49"/>
  <c r="D49" i="49"/>
  <c r="C49" i="49"/>
  <c r="B49" i="49"/>
  <c r="E48" i="49"/>
  <c r="D48" i="49"/>
  <c r="C48" i="49"/>
  <c r="B48" i="49"/>
  <c r="E47" i="49"/>
  <c r="D47" i="49"/>
  <c r="C47" i="49"/>
  <c r="B47" i="49"/>
  <c r="E46" i="49"/>
  <c r="D46" i="49"/>
  <c r="C46" i="49"/>
  <c r="B46" i="49"/>
  <c r="E45" i="49"/>
  <c r="D45" i="49"/>
  <c r="C45" i="49"/>
  <c r="B45" i="49"/>
  <c r="B44" i="49"/>
  <c r="E43" i="49"/>
  <c r="D43" i="49"/>
  <c r="C43" i="49"/>
  <c r="B43" i="49"/>
  <c r="E42" i="49"/>
  <c r="D42" i="49"/>
  <c r="C42" i="49"/>
  <c r="B42" i="49"/>
  <c r="E41" i="49"/>
  <c r="D41" i="49"/>
  <c r="C41" i="49"/>
  <c r="B41" i="49"/>
  <c r="E40" i="49"/>
  <c r="D40" i="49"/>
  <c r="C40" i="49"/>
  <c r="B40" i="49"/>
  <c r="B39" i="49"/>
  <c r="E38" i="49"/>
  <c r="D38" i="49"/>
  <c r="C38" i="49"/>
  <c r="B38" i="49"/>
  <c r="E37" i="49"/>
  <c r="D37" i="49"/>
  <c r="C37" i="49"/>
  <c r="B37" i="49"/>
  <c r="E36" i="49"/>
  <c r="D36" i="49"/>
  <c r="C36" i="49"/>
  <c r="B36" i="49"/>
  <c r="E35" i="49"/>
  <c r="D35" i="49"/>
  <c r="C35" i="49"/>
  <c r="B35" i="49"/>
  <c r="E34" i="49"/>
  <c r="D34" i="49"/>
  <c r="C34" i="49"/>
  <c r="B34" i="49"/>
  <c r="E30" i="49"/>
  <c r="D30" i="49"/>
  <c r="C30" i="49"/>
  <c r="B30" i="49"/>
  <c r="E28" i="49"/>
  <c r="D28" i="49"/>
  <c r="C28" i="49"/>
  <c r="B28" i="49"/>
  <c r="E27" i="49"/>
  <c r="D27" i="49"/>
  <c r="C27" i="49"/>
  <c r="B27" i="49"/>
  <c r="E26" i="49"/>
  <c r="D26" i="49"/>
  <c r="C26" i="49"/>
  <c r="B26" i="49"/>
  <c r="E25" i="49"/>
  <c r="D25" i="49"/>
  <c r="C25" i="49"/>
  <c r="B25" i="49"/>
  <c r="B24" i="49"/>
  <c r="E23" i="49"/>
  <c r="D23" i="49"/>
  <c r="C23"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B16" i="49"/>
  <c r="C15" i="49"/>
  <c r="B14"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M12" i="63" l="1"/>
  <c r="M11" i="63"/>
  <c r="J62" i="46"/>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S36" i="40"/>
  <c r="R36" i="40"/>
  <c r="Q36" i="40"/>
  <c r="P36" i="40"/>
  <c r="O36" i="40"/>
  <c r="N36" i="40"/>
  <c r="M36" i="40"/>
  <c r="T40" i="40"/>
  <c r="S40" i="40"/>
  <c r="R40" i="40"/>
  <c r="Q40" i="40"/>
  <c r="P40" i="40"/>
  <c r="O40" i="40"/>
  <c r="N40" i="40"/>
  <c r="M40" i="40"/>
  <c r="T35" i="40"/>
  <c r="S35" i="40"/>
  <c r="R35" i="40"/>
  <c r="Q35" i="40"/>
  <c r="P35" i="40"/>
  <c r="O35" i="40"/>
  <c r="N35" i="40"/>
  <c r="M35" i="40"/>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F6" i="33" l="1"/>
  <c r="D54" i="40"/>
  <c r="I6" i="44"/>
  <c r="E55" i="40"/>
  <c r="G6" i="33"/>
  <c r="T26" i="33" s="1"/>
  <c r="F54" i="40"/>
  <c r="G6" i="43"/>
  <c r="F58" i="40"/>
  <c r="G6" i="44"/>
  <c r="F55" i="40"/>
  <c r="H6" i="33"/>
  <c r="G54" i="40"/>
  <c r="H6" i="43"/>
  <c r="G58" i="40"/>
  <c r="H6" i="44"/>
  <c r="G55" i="40"/>
  <c r="I6" i="43"/>
  <c r="E58" i="40"/>
  <c r="F4" i="44"/>
  <c r="H55" i="40"/>
  <c r="F4" i="43"/>
  <c r="P26" i="43" s="1"/>
  <c r="Q26" i="43" s="1"/>
  <c r="H58" i="40"/>
  <c r="I4" i="33"/>
  <c r="I54" i="40"/>
  <c r="I4" i="43"/>
  <c r="I58" i="40"/>
  <c r="I4" i="44"/>
  <c r="I55" i="40"/>
  <c r="F6" i="44"/>
  <c r="P32" i="44" s="1"/>
  <c r="Q32" i="44" s="1"/>
  <c r="D55" i="40"/>
  <c r="I6" i="33"/>
  <c r="E54" i="40"/>
  <c r="F4" i="33"/>
  <c r="H54" i="40"/>
  <c r="G4" i="33"/>
  <c r="J54" i="40"/>
  <c r="G4" i="43"/>
  <c r="T32" i="43" s="1"/>
  <c r="J58" i="40"/>
  <c r="G4" i="44"/>
  <c r="J55" i="40"/>
  <c r="F6" i="43"/>
  <c r="D58" i="40"/>
  <c r="H4" i="33"/>
  <c r="K54" i="40"/>
  <c r="H4" i="43"/>
  <c r="K58" i="40"/>
  <c r="L58" i="40" s="1"/>
  <c r="H4" i="44"/>
  <c r="K55" i="40"/>
  <c r="L55" i="40" s="1"/>
  <c r="Q40" i="4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K65" i="45" s="1"/>
  <c r="R40" i="41"/>
  <c r="I5" i="43" s="1"/>
  <c r="M37" i="41"/>
  <c r="F7" i="46" s="1"/>
  <c r="M41" i="41"/>
  <c r="F7" i="45" s="1"/>
  <c r="R37" i="41"/>
  <c r="I5" i="46" s="1"/>
  <c r="S35" i="41"/>
  <c r="G5" i="42" s="1"/>
  <c r="N36" i="41"/>
  <c r="I7" i="44" s="1"/>
  <c r="O41" i="41"/>
  <c r="G7" i="45" s="1"/>
  <c r="P37" i="41"/>
  <c r="H7" i="46" s="1"/>
  <c r="M39" i="41"/>
  <c r="F7" i="33" s="1"/>
  <c r="T41" i="4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S37" i="41"/>
  <c r="G5" i="46" s="1"/>
  <c r="T42" i="41"/>
  <c r="H5" i="47" s="1"/>
  <c r="M38" i="41"/>
  <c r="F7" i="48" s="1"/>
  <c r="P35" i="41"/>
  <c r="H9" i="62" s="1"/>
  <c r="R36" i="41"/>
  <c r="I5" i="44" s="1"/>
  <c r="S41" i="41"/>
  <c r="T37" i="41"/>
  <c r="H5" i="46" s="1"/>
  <c r="N38" i="41"/>
  <c r="I7" i="48" s="1"/>
  <c r="K120" i="43"/>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O42" i="40"/>
  <c r="M41" i="40"/>
  <c r="P38" i="40"/>
  <c r="L45" i="40"/>
  <c r="Q38" i="40"/>
  <c r="S38" i="40"/>
  <c r="Q41" i="40"/>
  <c r="H59" i="40" s="1"/>
  <c r="Q37" i="40"/>
  <c r="S42" i="40"/>
  <c r="M38" i="40"/>
  <c r="N38" i="40"/>
  <c r="S39" i="40"/>
  <c r="G6" i="62" s="1"/>
  <c r="J45" i="40"/>
  <c r="K45" i="40"/>
  <c r="R37" i="40"/>
  <c r="F45" i="40"/>
  <c r="S41" i="40"/>
  <c r="J59" i="40" s="1"/>
  <c r="T37" i="40"/>
  <c r="M42" i="40"/>
  <c r="H45" i="40"/>
  <c r="T41" i="40"/>
  <c r="K59" i="40" s="1"/>
  <c r="E45" i="40"/>
  <c r="M39" i="40"/>
  <c r="F8" i="62" s="1"/>
  <c r="N41" i="40"/>
  <c r="O37" i="40"/>
  <c r="P42" i="40"/>
  <c r="Q39" i="40"/>
  <c r="F6" i="62" s="1"/>
  <c r="I45" i="40"/>
  <c r="N39" i="40"/>
  <c r="I8" i="62" s="1"/>
  <c r="O41" i="40"/>
  <c r="P37" i="40"/>
  <c r="P41" i="40"/>
  <c r="R38" i="40"/>
  <c r="O39" i="40"/>
  <c r="P39" i="40"/>
  <c r="H6" i="42" s="1"/>
  <c r="T38" i="40"/>
  <c r="Q42" i="40"/>
  <c r="R41" i="40"/>
  <c r="I59" i="40" s="1"/>
  <c r="G45" i="40"/>
  <c r="T39" i="40"/>
  <c r="T42" i="40"/>
  <c r="M37" i="40"/>
  <c r="R39" i="40"/>
  <c r="S37" i="40"/>
  <c r="N42" i="40"/>
  <c r="R42" i="40"/>
  <c r="O38" i="40"/>
  <c r="T39" i="44"/>
  <c r="T24" i="44"/>
  <c r="T38" i="44"/>
  <c r="T27" i="44"/>
  <c r="T32" i="44"/>
  <c r="T37" i="44"/>
  <c r="T26" i="44"/>
  <c r="T33" i="44"/>
  <c r="T23" i="44"/>
  <c r="T30" i="44"/>
  <c r="T25" i="44"/>
  <c r="T40" i="44"/>
  <c r="T35" i="44"/>
  <c r="T31" i="44"/>
  <c r="T29" i="44"/>
  <c r="T28" i="44"/>
  <c r="T34" i="44"/>
  <c r="J4" i="44"/>
  <c r="J6" i="44" s="1"/>
  <c r="W38" i="44" s="1"/>
  <c r="K26" i="44"/>
  <c r="K32" i="44"/>
  <c r="K22" i="44"/>
  <c r="K23" i="44"/>
  <c r="K29" i="44"/>
  <c r="P25" i="44"/>
  <c r="Q25" i="44" s="1"/>
  <c r="P40" i="44"/>
  <c r="Q40" i="44" s="1"/>
  <c r="K25" i="44"/>
  <c r="P24" i="44"/>
  <c r="Q24" i="44" s="1"/>
  <c r="P39" i="44"/>
  <c r="Q39" i="44" s="1"/>
  <c r="K40" i="44"/>
  <c r="K35" i="44"/>
  <c r="K31" i="44"/>
  <c r="K27" i="44"/>
  <c r="P30" i="44"/>
  <c r="Q30" i="44" s="1"/>
  <c r="K30" i="44"/>
  <c r="K37" i="44"/>
  <c r="P27" i="44"/>
  <c r="Q27" i="44" s="1"/>
  <c r="K34" i="44"/>
  <c r="K33" i="44"/>
  <c r="K28" i="44"/>
  <c r="K39" i="44"/>
  <c r="K38" i="44"/>
  <c r="P26" i="44"/>
  <c r="Q26" i="44" s="1"/>
  <c r="K24" i="44"/>
  <c r="T25" i="43"/>
  <c r="T31" i="43"/>
  <c r="T24" i="43"/>
  <c r="T26" i="43"/>
  <c r="T38" i="43"/>
  <c r="T33" i="43"/>
  <c r="T22" i="43"/>
  <c r="T35" i="43"/>
  <c r="T27" i="43"/>
  <c r="J4" i="43"/>
  <c r="K29" i="43"/>
  <c r="P24" i="43"/>
  <c r="Q24" i="43" s="1"/>
  <c r="K27" i="43"/>
  <c r="P40" i="43"/>
  <c r="Q40" i="43" s="1"/>
  <c r="P25" i="43"/>
  <c r="Q25" i="43" s="1"/>
  <c r="P31" i="43"/>
  <c r="Q31" i="43" s="1"/>
  <c r="K30" i="43"/>
  <c r="K40" i="43"/>
  <c r="K37" i="43"/>
  <c r="P39" i="43"/>
  <c r="Q39" i="43" s="1"/>
  <c r="K23" i="43"/>
  <c r="K35" i="43"/>
  <c r="K32" i="43"/>
  <c r="P29" i="43"/>
  <c r="Q29" i="43" s="1"/>
  <c r="P27" i="43"/>
  <c r="Q27" i="43" s="1"/>
  <c r="K34" i="43"/>
  <c r="K39" i="43"/>
  <c r="P28" i="43"/>
  <c r="Q28" i="43" s="1"/>
  <c r="J4" i="33"/>
  <c r="J6" i="33" s="1"/>
  <c r="K26" i="33"/>
  <c r="P26" i="33"/>
  <c r="B48" i="33"/>
  <c r="C48" i="33"/>
  <c r="D48" i="33"/>
  <c r="I48" i="33"/>
  <c r="B49" i="33"/>
  <c r="C49" i="33"/>
  <c r="D49" i="33"/>
  <c r="I49" i="33"/>
  <c r="B50" i="33"/>
  <c r="C50" i="33"/>
  <c r="D50" i="33"/>
  <c r="E50" i="33"/>
  <c r="I50" i="33" s="1"/>
  <c r="E40" i="34"/>
  <c r="D40" i="34"/>
  <c r="E39" i="34"/>
  <c r="D39" i="34"/>
  <c r="B128" i="33"/>
  <c r="C128" i="33"/>
  <c r="D128" i="33"/>
  <c r="E128" i="33"/>
  <c r="I128" i="33" s="1"/>
  <c r="C137" i="33"/>
  <c r="D137" i="33"/>
  <c r="E137" i="33"/>
  <c r="I137" i="33" s="1"/>
  <c r="B137" i="33"/>
  <c r="E128" i="34"/>
  <c r="D128" i="34"/>
  <c r="F6" i="47" l="1"/>
  <c r="D60" i="40"/>
  <c r="I6" i="48"/>
  <c r="E57" i="40"/>
  <c r="H6" i="48"/>
  <c r="G57" i="40"/>
  <c r="F6" i="46"/>
  <c r="D56" i="40"/>
  <c r="H6" i="47"/>
  <c r="G60" i="40"/>
  <c r="H4" i="46"/>
  <c r="K56" i="40"/>
  <c r="F6" i="48"/>
  <c r="D57" i="40"/>
  <c r="F6" i="45"/>
  <c r="D59" i="40"/>
  <c r="I4" i="48"/>
  <c r="I57" i="40"/>
  <c r="G4" i="47"/>
  <c r="J60" i="40"/>
  <c r="P34" i="43"/>
  <c r="Q34" i="43" s="1"/>
  <c r="T40" i="43"/>
  <c r="P35" i="44"/>
  <c r="Q35" i="44" s="1"/>
  <c r="H6" i="45"/>
  <c r="G59" i="40"/>
  <c r="I6" i="45"/>
  <c r="E59" i="40"/>
  <c r="F4" i="46"/>
  <c r="K31" i="46" s="1"/>
  <c r="H56" i="40"/>
  <c r="I6" i="46"/>
  <c r="E56" i="40"/>
  <c r="L54" i="40"/>
  <c r="H4" i="48"/>
  <c r="K57" i="40"/>
  <c r="L57" i="40" s="1"/>
  <c r="G6" i="46"/>
  <c r="F56" i="40"/>
  <c r="G6" i="47"/>
  <c r="F60" i="40"/>
  <c r="K24" i="43"/>
  <c r="P23" i="43"/>
  <c r="Q23" i="43" s="1"/>
  <c r="K26" i="43"/>
  <c r="K28" i="43"/>
  <c r="K25" i="43"/>
  <c r="T39" i="43"/>
  <c r="T37" i="43"/>
  <c r="P28" i="44"/>
  <c r="Q28" i="44" s="1"/>
  <c r="P38" i="44"/>
  <c r="Q38" i="44" s="1"/>
  <c r="P31" i="44"/>
  <c r="Q31" i="44" s="1"/>
  <c r="P33" i="44"/>
  <c r="Q33" i="44" s="1"/>
  <c r="G6" i="48"/>
  <c r="F57" i="40"/>
  <c r="H6" i="46"/>
  <c r="G56" i="40"/>
  <c r="I4" i="46"/>
  <c r="J4" i="46" s="1"/>
  <c r="J6" i="46" s="1"/>
  <c r="W35" i="46" s="1"/>
  <c r="I56" i="40"/>
  <c r="P38" i="43"/>
  <c r="Q38" i="43" s="1"/>
  <c r="T34" i="43"/>
  <c r="P29" i="44"/>
  <c r="Q29" i="44" s="1"/>
  <c r="P22" i="43"/>
  <c r="Q22" i="43" s="1"/>
  <c r="K38" i="43"/>
  <c r="P32" i="43"/>
  <c r="Q32" i="43" s="1"/>
  <c r="T29" i="43"/>
  <c r="T30" i="43"/>
  <c r="P22" i="44"/>
  <c r="Q22" i="44" s="1"/>
  <c r="P23" i="44"/>
  <c r="Q23" i="44" s="1"/>
  <c r="I4" i="47"/>
  <c r="I60" i="40"/>
  <c r="G6" i="45"/>
  <c r="F59" i="40"/>
  <c r="G4" i="48"/>
  <c r="T37" i="48" s="1"/>
  <c r="J57" i="40"/>
  <c r="K125" i="44"/>
  <c r="G4" i="46"/>
  <c r="J56" i="40"/>
  <c r="H4" i="47"/>
  <c r="K60" i="40"/>
  <c r="L60" i="40" s="1"/>
  <c r="P35" i="43"/>
  <c r="Q35" i="43" s="1"/>
  <c r="T28" i="43"/>
  <c r="K33" i="43"/>
  <c r="P37" i="43"/>
  <c r="Q37" i="43" s="1"/>
  <c r="K22" i="43"/>
  <c r="P33" i="43"/>
  <c r="Q33" i="43" s="1"/>
  <c r="P30" i="43"/>
  <c r="Q30" i="43" s="1"/>
  <c r="K31" i="43"/>
  <c r="T23" i="43"/>
  <c r="P34" i="44"/>
  <c r="Q34" i="44" s="1"/>
  <c r="P37" i="44"/>
  <c r="Q37" i="44" s="1"/>
  <c r="I6" i="47"/>
  <c r="E60" i="40"/>
  <c r="F4" i="47"/>
  <c r="H60" i="40"/>
  <c r="L59" i="40"/>
  <c r="F4" i="48"/>
  <c r="H57" i="40"/>
  <c r="K119" i="44"/>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K73" i="48"/>
  <c r="K90" i="48"/>
  <c r="K121" i="48"/>
  <c r="K126" i="48"/>
  <c r="K63" i="48"/>
  <c r="K100" i="48"/>
  <c r="K76" i="48"/>
  <c r="P106" i="48"/>
  <c r="Q106" i="48" s="1"/>
  <c r="K42" i="48"/>
  <c r="K134" i="48"/>
  <c r="K68" i="48"/>
  <c r="P86" i="48"/>
  <c r="Q86" i="48" s="1"/>
  <c r="K94" i="48"/>
  <c r="K123" i="48"/>
  <c r="P18" i="48"/>
  <c r="Q18" i="48" s="1"/>
  <c r="K118"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T118" i="46"/>
  <c r="T126" i="46"/>
  <c r="T133" i="46"/>
  <c r="T90" i="46"/>
  <c r="T89" i="46"/>
  <c r="T136" i="46"/>
  <c r="T134" i="46"/>
  <c r="T87"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P33" i="48"/>
  <c r="Q33" i="48" s="1"/>
  <c r="T23" i="47"/>
  <c r="T39" i="47"/>
  <c r="T40" i="47"/>
  <c r="T25" i="47"/>
  <c r="T22" i="47"/>
  <c r="T28" i="47"/>
  <c r="T32" i="47"/>
  <c r="T26" i="47"/>
  <c r="T24" i="47"/>
  <c r="T22" i="45"/>
  <c r="T29" i="47"/>
  <c r="T34" i="47"/>
  <c r="T33" i="47"/>
  <c r="T35" i="45"/>
  <c r="T38" i="47"/>
  <c r="T37" i="47"/>
  <c r="P27" i="45"/>
  <c r="Q27" i="45" s="1"/>
  <c r="T27" i="47"/>
  <c r="J4" i="48"/>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3" i="45"/>
  <c r="T32" i="45"/>
  <c r="F6" i="42"/>
  <c r="T27" i="48"/>
  <c r="T30" i="45"/>
  <c r="T40" i="45"/>
  <c r="P32" i="46"/>
  <c r="Q32" i="46" s="1"/>
  <c r="P31" i="46"/>
  <c r="Q31" i="46" s="1"/>
  <c r="T28" i="45"/>
  <c r="T29" i="42"/>
  <c r="T33" i="42"/>
  <c r="J4" i="47"/>
  <c r="J6" i="47" s="1"/>
  <c r="W34" i="47" s="1"/>
  <c r="T23" i="48"/>
  <c r="P39" i="46"/>
  <c r="Q39" i="46" s="1"/>
  <c r="T24" i="46"/>
  <c r="T38" i="46"/>
  <c r="T29" i="46"/>
  <c r="T23" i="46"/>
  <c r="T32" i="46"/>
  <c r="T27" i="46"/>
  <c r="T31" i="46"/>
  <c r="T25" i="46"/>
  <c r="T35" i="46"/>
  <c r="T39" i="46"/>
  <c r="T34" i="46"/>
  <c r="T40" i="46"/>
  <c r="T26" i="46"/>
  <c r="T33" i="46"/>
  <c r="T22" i="46"/>
  <c r="T37" i="46"/>
  <c r="T28" i="46"/>
  <c r="T30" i="46"/>
  <c r="H6" i="62"/>
  <c r="H4" i="42"/>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35" i="48"/>
  <c r="P22" i="46"/>
  <c r="Q22" i="46" s="1"/>
  <c r="P26" i="46"/>
  <c r="Q26" i="46" s="1"/>
  <c r="P37" i="46"/>
  <c r="Q37" i="46" s="1"/>
  <c r="P38" i="46"/>
  <c r="Q38" i="46" s="1"/>
  <c r="T32" i="48"/>
  <c r="P40" i="46"/>
  <c r="Q40" i="46" s="1"/>
  <c r="P28" i="46"/>
  <c r="Q28" i="46" s="1"/>
  <c r="P35" i="46"/>
  <c r="Q35" i="46" s="1"/>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E119" i="34"/>
  <c r="D119" i="34"/>
  <c r="D120" i="34"/>
  <c r="E120" i="34"/>
  <c r="AB14" i="34" l="1"/>
  <c r="F57" i="70" s="1"/>
  <c r="AB33" i="34"/>
  <c r="AC33" i="34" s="1"/>
  <c r="AE33" i="34" s="1"/>
  <c r="AB124" i="34"/>
  <c r="AC124" i="34" s="1"/>
  <c r="AB76" i="34"/>
  <c r="F63" i="70" s="1"/>
  <c r="AB102" i="34"/>
  <c r="F115" i="70" s="1"/>
  <c r="AB20" i="34"/>
  <c r="F61" i="70" s="1"/>
  <c r="AB110" i="34"/>
  <c r="AC110" i="34" s="1"/>
  <c r="AB80" i="34"/>
  <c r="AC80" i="34" s="1"/>
  <c r="AB22" i="34"/>
  <c r="F7" i="70" s="1"/>
  <c r="AB70" i="34"/>
  <c r="F89" i="70" s="1"/>
  <c r="AB113" i="34"/>
  <c r="F37" i="70" s="1"/>
  <c r="AB100" i="34"/>
  <c r="AC100" i="34" s="1"/>
  <c r="AB3" i="34"/>
  <c r="X3" i="34" s="1"/>
  <c r="AB45" i="34"/>
  <c r="F83" i="70" s="1"/>
  <c r="AB127" i="34"/>
  <c r="AC127" i="34" s="1"/>
  <c r="AB120" i="34"/>
  <c r="AC120" i="34" s="1"/>
  <c r="AB13" i="34"/>
  <c r="F46" i="70" s="1"/>
  <c r="AB15" i="34"/>
  <c r="F75" i="70" s="1"/>
  <c r="AB7" i="34"/>
  <c r="AB46" i="34"/>
  <c r="AC46" i="34" s="1"/>
  <c r="AB117" i="34"/>
  <c r="F104" i="70" s="1"/>
  <c r="AB41" i="34"/>
  <c r="F82" i="70" s="1"/>
  <c r="AB126" i="34"/>
  <c r="F106" i="70" s="1"/>
  <c r="AB17" i="34"/>
  <c r="AC17" i="34" s="1"/>
  <c r="AB73" i="34"/>
  <c r="F91" i="70" s="1"/>
  <c r="AB34" i="34"/>
  <c r="F21" i="70" s="1"/>
  <c r="AB18" i="34"/>
  <c r="F76" i="70" s="1"/>
  <c r="AB19" i="34"/>
  <c r="F49" i="70" s="1"/>
  <c r="AB24" i="34"/>
  <c r="F9" i="70" s="1"/>
  <c r="AB25" i="34"/>
  <c r="F77" i="70" s="1"/>
  <c r="AB50" i="34"/>
  <c r="F53" i="70" s="1"/>
  <c r="AB119" i="34"/>
  <c r="AC119" i="34" s="1"/>
  <c r="AB81" i="34"/>
  <c r="AC81" i="34" s="1"/>
  <c r="AB56" i="34"/>
  <c r="F86" i="70" s="1"/>
  <c r="AB43" i="34"/>
  <c r="F117" i="70" s="1"/>
  <c r="AB109" i="34"/>
  <c r="AC109" i="34" s="1"/>
  <c r="AB74" i="34"/>
  <c r="AC74" i="34" s="1"/>
  <c r="AB6" i="34"/>
  <c r="X6" i="34" s="1"/>
  <c r="AB54" i="34"/>
  <c r="F13" i="70" s="1"/>
  <c r="AB16" i="34"/>
  <c r="AC16" i="34" s="1"/>
  <c r="AB78" i="34"/>
  <c r="F64" i="70" s="1"/>
  <c r="AB121" i="34"/>
  <c r="F14" i="70" s="1"/>
  <c r="AB107" i="34"/>
  <c r="F98" i="70" s="1"/>
  <c r="AB69" i="34"/>
  <c r="AC69" i="34" s="1"/>
  <c r="AB104" i="34"/>
  <c r="AC104" i="34" s="1"/>
  <c r="AB55" i="34"/>
  <c r="F40" i="70" s="1"/>
  <c r="AB26" i="34"/>
  <c r="F78" i="70" s="1"/>
  <c r="AB123" i="34"/>
  <c r="F35" i="70" s="1"/>
  <c r="AB77" i="34"/>
  <c r="AC77" i="34" s="1"/>
  <c r="AB29" i="34"/>
  <c r="F15" i="70" s="1"/>
  <c r="AB28" i="34"/>
  <c r="AC28" i="34" s="1"/>
  <c r="AB30" i="34"/>
  <c r="AC30" i="34" s="1"/>
  <c r="AB36" i="34"/>
  <c r="F81" i="70" s="1"/>
  <c r="AB53" i="34"/>
  <c r="F27" i="70" s="1"/>
  <c r="AB82" i="34"/>
  <c r="F4" i="70" s="1"/>
  <c r="AB97" i="34"/>
  <c r="F95" i="70" s="1"/>
  <c r="AB35" i="34"/>
  <c r="F80" i="70" s="1"/>
  <c r="AB108" i="34"/>
  <c r="AC108" i="34" s="1"/>
  <c r="AB98" i="34"/>
  <c r="AC98" i="34" s="1"/>
  <c r="AB51" i="34"/>
  <c r="AC51" i="34" s="1"/>
  <c r="AB38" i="34"/>
  <c r="AC38" i="34" s="1"/>
  <c r="AB47" i="34"/>
  <c r="AC47" i="34" s="1"/>
  <c r="AB115" i="34"/>
  <c r="F103" i="70" s="1"/>
  <c r="AB23" i="34"/>
  <c r="F6" i="70" s="1"/>
  <c r="AB114" i="34"/>
  <c r="F42" i="70" s="1"/>
  <c r="AB99" i="34"/>
  <c r="F109" i="70" s="1"/>
  <c r="AB11" i="34"/>
  <c r="AB21" i="34"/>
  <c r="AC21" i="34" s="1"/>
  <c r="AB83" i="34"/>
  <c r="F116" i="70" s="1"/>
  <c r="AB105" i="34"/>
  <c r="F97" i="70" s="1"/>
  <c r="AB40" i="34"/>
  <c r="F23" i="70" s="1"/>
  <c r="AB103" i="34"/>
  <c r="AC103" i="34" s="1"/>
  <c r="AB112" i="34"/>
  <c r="AC112" i="34" s="1"/>
  <c r="AB111" i="34"/>
  <c r="AC111" i="34" s="1"/>
  <c r="AB39" i="34"/>
  <c r="F29" i="70" s="1"/>
  <c r="AB75" i="34"/>
  <c r="AC75" i="34" s="1"/>
  <c r="AB116" i="34"/>
  <c r="F108" i="70" s="1"/>
  <c r="AB9" i="34"/>
  <c r="X9" i="34" s="1"/>
  <c r="AB10" i="34"/>
  <c r="AB125" i="34"/>
  <c r="F39" i="70" s="1"/>
  <c r="AB37" i="34"/>
  <c r="F11" i="70" s="1"/>
  <c r="AB31" i="34"/>
  <c r="F79" i="70" s="1"/>
  <c r="AB101" i="34"/>
  <c r="F44" i="70" s="1"/>
  <c r="AB57" i="34"/>
  <c r="F87" i="70" s="1"/>
  <c r="AB106" i="34"/>
  <c r="AC106" i="34" s="1"/>
  <c r="AB5" i="34"/>
  <c r="X5" i="34" s="1"/>
  <c r="AB44" i="34"/>
  <c r="AC44" i="34" s="1"/>
  <c r="AB48" i="34"/>
  <c r="AC48" i="34" s="1"/>
  <c r="AB122" i="34"/>
  <c r="AC122" i="34" s="1"/>
  <c r="F36" i="70"/>
  <c r="AB72" i="34"/>
  <c r="AB71" i="34"/>
  <c r="F90" i="70" s="1"/>
  <c r="AB8" i="34"/>
  <c r="AB49" i="34"/>
  <c r="F5" i="70" s="1"/>
  <c r="AB128" i="34"/>
  <c r="F114" i="70" s="1"/>
  <c r="AC26" i="34"/>
  <c r="AC13" i="34"/>
  <c r="AC14" i="34"/>
  <c r="AC15" i="34"/>
  <c r="AC78" i="34"/>
  <c r="AC121" i="34"/>
  <c r="AC115" i="34"/>
  <c r="AC126" i="34"/>
  <c r="AC55" i="34"/>
  <c r="AC99" i="34"/>
  <c r="AC73" i="34"/>
  <c r="AC22" i="34"/>
  <c r="AC105" i="34"/>
  <c r="AC40" i="34"/>
  <c r="AC116" i="34"/>
  <c r="AC123" i="34"/>
  <c r="AC72" i="34"/>
  <c r="AC49" i="34"/>
  <c r="AC128" i="34"/>
  <c r="T24" i="48"/>
  <c r="T33" i="48"/>
  <c r="T40" i="42"/>
  <c r="L56" i="40"/>
  <c r="T26" i="48"/>
  <c r="T34" i="42"/>
  <c r="T38" i="48"/>
  <c r="T25" i="48"/>
  <c r="T22" i="48"/>
  <c r="T34" i="48"/>
  <c r="T28" i="48"/>
  <c r="T40" i="48"/>
  <c r="T35" i="47"/>
  <c r="T31" i="48"/>
  <c r="T29" i="48"/>
  <c r="T32" i="42"/>
  <c r="T39" i="48"/>
  <c r="T23" i="42"/>
  <c r="T115" i="42"/>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45" i="43"/>
  <c r="W136" i="44"/>
  <c r="W42" i="48"/>
  <c r="W43" i="44"/>
  <c r="W121" i="44"/>
  <c r="W56" i="44"/>
  <c r="W62" i="44"/>
  <c r="W128" i="44"/>
  <c r="W79" i="44"/>
  <c r="W45" i="44"/>
  <c r="W59" i="48"/>
  <c r="W58" i="48"/>
  <c r="W57" i="48"/>
  <c r="W78" i="48"/>
  <c r="W106" i="48"/>
  <c r="W126" i="48"/>
  <c r="W136" i="48"/>
  <c r="W92" i="44"/>
  <c r="W49" i="48"/>
  <c r="W58" i="44"/>
  <c r="W12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E3" i="34"/>
  <c r="D3" i="34"/>
  <c r="AC24" i="34" l="1"/>
  <c r="AC83" i="34"/>
  <c r="AC41" i="34"/>
  <c r="F99" i="70"/>
  <c r="F101" i="70"/>
  <c r="AC45" i="34"/>
  <c r="G83" i="70" s="1"/>
  <c r="AC53" i="34"/>
  <c r="AC25" i="34"/>
  <c r="AE25" i="34" s="1"/>
  <c r="I77" i="70" s="1"/>
  <c r="AC5" i="34"/>
  <c r="AC71" i="34"/>
  <c r="F62" i="70"/>
  <c r="AC102" i="34"/>
  <c r="G115" i="70" s="1"/>
  <c r="F85" i="70"/>
  <c r="F96" i="70"/>
  <c r="F12" i="70"/>
  <c r="F74" i="70"/>
  <c r="X11" i="34"/>
  <c r="AC7" i="34"/>
  <c r="G51" i="70" s="1"/>
  <c r="X7" i="34"/>
  <c r="AC31" i="34"/>
  <c r="AE31" i="34" s="1"/>
  <c r="I79" i="70" s="1"/>
  <c r="AC35" i="34"/>
  <c r="G80" i="70" s="1"/>
  <c r="AC117" i="34"/>
  <c r="AE117" i="34" s="1"/>
  <c r="I104" i="70" s="1"/>
  <c r="AC70" i="34"/>
  <c r="AE70" i="34" s="1"/>
  <c r="I89" i="70" s="1"/>
  <c r="AC11" i="34"/>
  <c r="G74" i="70" s="1"/>
  <c r="AC56" i="34"/>
  <c r="G86" i="70" s="1"/>
  <c r="F28" i="70"/>
  <c r="F107" i="70"/>
  <c r="F18" i="70"/>
  <c r="F110" i="70"/>
  <c r="AC10" i="34"/>
  <c r="AE10" i="34" s="1"/>
  <c r="I73" i="70" s="1"/>
  <c r="X10" i="34"/>
  <c r="AC29" i="34"/>
  <c r="G15" i="70" s="1"/>
  <c r="AC20" i="34"/>
  <c r="G61" i="70" s="1"/>
  <c r="AC9" i="34"/>
  <c r="G31" i="70" s="1"/>
  <c r="AC54" i="34"/>
  <c r="AE54" i="34" s="1"/>
  <c r="I13" i="70" s="1"/>
  <c r="F102" i="70"/>
  <c r="AC34" i="34"/>
  <c r="AE34" i="34" s="1"/>
  <c r="I21" i="70" s="1"/>
  <c r="F8" i="70"/>
  <c r="X8" i="34"/>
  <c r="F92" i="70"/>
  <c r="F31" i="70"/>
  <c r="AC101" i="34"/>
  <c r="G44" i="70" s="1"/>
  <c r="AC37" i="34"/>
  <c r="AE37" i="34" s="1"/>
  <c r="I11" i="70" s="1"/>
  <c r="AC107" i="34"/>
  <c r="AC6" i="34"/>
  <c r="AE6" i="34" s="1"/>
  <c r="I18" i="70" s="1"/>
  <c r="F72" i="70"/>
  <c r="F10" i="70"/>
  <c r="F93" i="70"/>
  <c r="F56" i="70"/>
  <c r="F3" i="70"/>
  <c r="F100" i="70"/>
  <c r="F84" i="70"/>
  <c r="F52" i="70"/>
  <c r="AC23" i="34"/>
  <c r="AE23" i="34" s="1"/>
  <c r="I6" i="70" s="1"/>
  <c r="F73" i="70"/>
  <c r="F30" i="70"/>
  <c r="F43" i="70"/>
  <c r="AC43" i="34"/>
  <c r="AC39" i="34"/>
  <c r="G29" i="70" s="1"/>
  <c r="AC18" i="34"/>
  <c r="G76" i="70" s="1"/>
  <c r="AC114" i="34"/>
  <c r="G42" i="70" s="1"/>
  <c r="AC8" i="34"/>
  <c r="G8" i="70" s="1"/>
  <c r="F67" i="70"/>
  <c r="F88" i="70"/>
  <c r="F48" i="70"/>
  <c r="F94" i="70"/>
  <c r="AC76" i="34"/>
  <c r="AE76" i="34" s="1"/>
  <c r="I63" i="70" s="1"/>
  <c r="AC82" i="34"/>
  <c r="G4" i="70" s="1"/>
  <c r="F38" i="70"/>
  <c r="F111" i="70"/>
  <c r="AC19" i="34"/>
  <c r="G49" i="70" s="1"/>
  <c r="AC36" i="34"/>
  <c r="G81" i="70" s="1"/>
  <c r="AC3" i="34"/>
  <c r="AE3" i="34" s="1"/>
  <c r="I45" i="70" s="1"/>
  <c r="AC57" i="34"/>
  <c r="G87" i="70" s="1"/>
  <c r="AC125" i="34"/>
  <c r="G39" i="70" s="1"/>
  <c r="F2" i="70"/>
  <c r="F34" i="70"/>
  <c r="AC97" i="34"/>
  <c r="AE97" i="34" s="1"/>
  <c r="I95" i="70" s="1"/>
  <c r="F24" i="70"/>
  <c r="F51" i="70"/>
  <c r="F113" i="70"/>
  <c r="AC50" i="34"/>
  <c r="AE50" i="34" s="1"/>
  <c r="I53" i="70" s="1"/>
  <c r="AC113" i="34"/>
  <c r="G37" i="70" s="1"/>
  <c r="F112" i="70"/>
  <c r="F54" i="70"/>
  <c r="F45" i="70"/>
  <c r="AE77" i="34"/>
  <c r="I107" i="70" s="1"/>
  <c r="G107" i="70"/>
  <c r="G12" i="70"/>
  <c r="AE122" i="34"/>
  <c r="I12" i="70" s="1"/>
  <c r="AE39" i="34"/>
  <c r="I29" i="70" s="1"/>
  <c r="G85" i="70"/>
  <c r="AE47" i="34"/>
  <c r="I85" i="70" s="1"/>
  <c r="G73" i="70"/>
  <c r="AE48" i="34"/>
  <c r="I10" i="70" s="1"/>
  <c r="G10" i="70"/>
  <c r="G101" i="70"/>
  <c r="AE111" i="34"/>
  <c r="I101" i="70" s="1"/>
  <c r="G28" i="70"/>
  <c r="AE38" i="34"/>
  <c r="I28" i="70" s="1"/>
  <c r="AE36" i="34"/>
  <c r="I81" i="70" s="1"/>
  <c r="AE110" i="34"/>
  <c r="I111" i="70" s="1"/>
  <c r="G111" i="70"/>
  <c r="G100" i="70"/>
  <c r="AE109" i="34"/>
  <c r="I100" i="70" s="1"/>
  <c r="AE44" i="34"/>
  <c r="I38" i="70" s="1"/>
  <c r="G38" i="70"/>
  <c r="AE45" i="34"/>
  <c r="I83" i="70" s="1"/>
  <c r="G102" i="70"/>
  <c r="AE112" i="34"/>
  <c r="I102" i="70" s="1"/>
  <c r="G53" i="70"/>
  <c r="G67" i="70"/>
  <c r="AE51" i="34"/>
  <c r="I67" i="70" s="1"/>
  <c r="AE30" i="34"/>
  <c r="I3" i="70" s="1"/>
  <c r="G3" i="70"/>
  <c r="AE102" i="34"/>
  <c r="I115" i="70" s="1"/>
  <c r="G96" i="70"/>
  <c r="AE104" i="34"/>
  <c r="I96" i="70" s="1"/>
  <c r="AE119" i="34"/>
  <c r="I2" i="70" s="1"/>
  <c r="G2" i="70"/>
  <c r="G117" i="70"/>
  <c r="AE43" i="34"/>
  <c r="I117" i="70" s="1"/>
  <c r="G92" i="70"/>
  <c r="AE74" i="34"/>
  <c r="I92" i="70" s="1"/>
  <c r="AE19" i="34"/>
  <c r="I49" i="70" s="1"/>
  <c r="G110" i="70"/>
  <c r="AE81" i="34"/>
  <c r="I110" i="70" s="1"/>
  <c r="G45" i="70"/>
  <c r="G43" i="70"/>
  <c r="AE124" i="34"/>
  <c r="I43" i="70" s="1"/>
  <c r="AE121" i="34"/>
  <c r="I14" i="70" s="1"/>
  <c r="G14" i="70"/>
  <c r="G114" i="70"/>
  <c r="AE128" i="34"/>
  <c r="I114" i="70" s="1"/>
  <c r="G72" i="70"/>
  <c r="AE5" i="34"/>
  <c r="I72" i="70" s="1"/>
  <c r="G52" i="70"/>
  <c r="AE100" i="34"/>
  <c r="I52" i="70" s="1"/>
  <c r="G112" i="70"/>
  <c r="AE103" i="34"/>
  <c r="I112" i="70" s="1"/>
  <c r="G77" i="70"/>
  <c r="AE98" i="34"/>
  <c r="I30" i="70" s="1"/>
  <c r="G30" i="70"/>
  <c r="AE28" i="34"/>
  <c r="I24" i="70" s="1"/>
  <c r="G24" i="70"/>
  <c r="G34" i="70"/>
  <c r="AE120" i="34"/>
  <c r="I34" i="70" s="1"/>
  <c r="G109" i="70"/>
  <c r="AE99" i="34"/>
  <c r="I109" i="70" s="1"/>
  <c r="G88" i="70"/>
  <c r="AE69" i="34"/>
  <c r="I88" i="70" s="1"/>
  <c r="G64" i="70"/>
  <c r="AE78" i="34"/>
  <c r="I64" i="70" s="1"/>
  <c r="G113" i="70"/>
  <c r="AE127" i="34"/>
  <c r="I113" i="70" s="1"/>
  <c r="AE49" i="34"/>
  <c r="I5" i="70" s="1"/>
  <c r="G5" i="70"/>
  <c r="AE106" i="34"/>
  <c r="I62" i="70" s="1"/>
  <c r="G62" i="70"/>
  <c r="G35" i="70"/>
  <c r="AE123" i="34"/>
  <c r="I35" i="70" s="1"/>
  <c r="AE40" i="34"/>
  <c r="I23" i="70" s="1"/>
  <c r="G23" i="70"/>
  <c r="G7" i="70"/>
  <c r="AE22" i="34"/>
  <c r="I7" i="70" s="1"/>
  <c r="AE108" i="34"/>
  <c r="I99" i="70" s="1"/>
  <c r="G99" i="70"/>
  <c r="G40" i="70"/>
  <c r="AE55" i="34"/>
  <c r="I40" i="70" s="1"/>
  <c r="G98" i="70"/>
  <c r="AE107" i="34"/>
  <c r="I98" i="70" s="1"/>
  <c r="G75" i="70"/>
  <c r="AE15" i="34"/>
  <c r="I75" i="70" s="1"/>
  <c r="G89" i="70"/>
  <c r="G97" i="70"/>
  <c r="AE105" i="34"/>
  <c r="I97" i="70" s="1"/>
  <c r="AE11" i="34"/>
  <c r="I74" i="70" s="1"/>
  <c r="G94" i="70"/>
  <c r="AE80" i="34"/>
  <c r="I94" i="70" s="1"/>
  <c r="G106" i="70"/>
  <c r="AE126" i="34"/>
  <c r="I106" i="70" s="1"/>
  <c r="G57" i="70"/>
  <c r="AE14" i="34"/>
  <c r="I57" i="70" s="1"/>
  <c r="G27" i="70"/>
  <c r="AE53" i="34"/>
  <c r="I27" i="70" s="1"/>
  <c r="G90" i="70"/>
  <c r="AE71" i="34"/>
  <c r="I90" i="70" s="1"/>
  <c r="G108" i="70"/>
  <c r="AE116" i="34"/>
  <c r="I108" i="70" s="1"/>
  <c r="G116" i="70"/>
  <c r="AE83" i="34"/>
  <c r="I116" i="70" s="1"/>
  <c r="G48" i="70"/>
  <c r="AE17" i="34"/>
  <c r="I48" i="70" s="1"/>
  <c r="G11" i="70"/>
  <c r="AE115" i="34"/>
  <c r="I103" i="70" s="1"/>
  <c r="G103" i="70"/>
  <c r="AE16" i="34"/>
  <c r="I54" i="70" s="1"/>
  <c r="G54" i="70"/>
  <c r="G78" i="70"/>
  <c r="AE26" i="34"/>
  <c r="I78" i="70" s="1"/>
  <c r="G36" i="70"/>
  <c r="AE72" i="34"/>
  <c r="I36" i="70" s="1"/>
  <c r="G79" i="70"/>
  <c r="G93" i="70"/>
  <c r="AE75" i="34"/>
  <c r="I93" i="70" s="1"/>
  <c r="G56" i="70"/>
  <c r="AE21" i="34"/>
  <c r="I56" i="70" s="1"/>
  <c r="AE20" i="34"/>
  <c r="I61" i="70" s="1"/>
  <c r="AE82" i="34"/>
  <c r="I4" i="70" s="1"/>
  <c r="G9" i="70"/>
  <c r="AE24" i="34"/>
  <c r="I9" i="70" s="1"/>
  <c r="G91" i="70"/>
  <c r="AE73" i="34"/>
  <c r="I91" i="70" s="1"/>
  <c r="G82" i="70"/>
  <c r="AE41" i="34"/>
  <c r="I82" i="70" s="1"/>
  <c r="G84" i="70"/>
  <c r="AE46" i="34"/>
  <c r="I84" i="70" s="1"/>
  <c r="G46" i="70"/>
  <c r="AE13" i="34"/>
  <c r="I46" i="70" s="1"/>
  <c r="W59" i="47"/>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52" i="42"/>
  <c r="W118" i="42"/>
  <c r="W86" i="42"/>
  <c r="W54" i="42"/>
  <c r="W82" i="42"/>
  <c r="W18" i="42"/>
  <c r="W47" i="45"/>
  <c r="W64" i="47"/>
  <c r="W83" i="47"/>
  <c r="W134" i="47"/>
  <c r="W123" i="47"/>
  <c r="W14" i="47"/>
  <c r="W117" i="47"/>
  <c r="W107" i="47"/>
  <c r="W108" i="47"/>
  <c r="W132"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G104" i="70" l="1"/>
  <c r="AE57" i="34"/>
  <c r="I87" i="70" s="1"/>
  <c r="G21" i="70"/>
  <c r="AE125" i="34"/>
  <c r="I39" i="70" s="1"/>
  <c r="AE18" i="34"/>
  <c r="I76" i="70" s="1"/>
  <c r="AE35" i="34"/>
  <c r="I80" i="70" s="1"/>
  <c r="G18" i="70"/>
  <c r="AE56" i="34"/>
  <c r="I86" i="70" s="1"/>
  <c r="AE101" i="34"/>
  <c r="I44" i="70" s="1"/>
  <c r="G13" i="70"/>
  <c r="AE9" i="34"/>
  <c r="I31" i="70" s="1"/>
  <c r="AE29" i="34"/>
  <c r="I15" i="70" s="1"/>
  <c r="AE7" i="34"/>
  <c r="I51" i="70" s="1"/>
  <c r="AE114" i="34"/>
  <c r="I42" i="70" s="1"/>
  <c r="G95" i="70"/>
  <c r="G63" i="70"/>
  <c r="AE113" i="34"/>
  <c r="I37" i="70" s="1"/>
  <c r="G6" i="70"/>
  <c r="AE8" i="34"/>
  <c r="I8" i="70" s="1"/>
  <c r="C8" i="32"/>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D5" i="34" l="1"/>
  <c r="E5" i="34"/>
  <c r="D6" i="34"/>
  <c r="E6" i="34"/>
  <c r="D7" i="34"/>
  <c r="E7" i="34"/>
  <c r="D8" i="34"/>
  <c r="E8" i="34"/>
  <c r="D9" i="34"/>
  <c r="E9" i="34"/>
  <c r="D10" i="34"/>
  <c r="E10" i="34"/>
  <c r="D11" i="34"/>
  <c r="E11" i="34"/>
  <c r="D13" i="34"/>
  <c r="E13" i="34"/>
  <c r="D14" i="34"/>
  <c r="E14" i="34"/>
  <c r="D15" i="34"/>
  <c r="E15" i="34"/>
  <c r="D16" i="34"/>
  <c r="E16" i="34"/>
  <c r="D18" i="34"/>
  <c r="E18" i="34"/>
  <c r="D19" i="34"/>
  <c r="E19" i="34"/>
  <c r="D20" i="34"/>
  <c r="E20" i="34"/>
  <c r="D21" i="34"/>
  <c r="E21" i="34"/>
  <c r="D22" i="34"/>
  <c r="E22" i="34"/>
  <c r="D23" i="34"/>
  <c r="E23" i="34"/>
  <c r="D24" i="34"/>
  <c r="E24" i="34"/>
  <c r="D25" i="34"/>
  <c r="E25" i="34"/>
  <c r="D26" i="34"/>
  <c r="E26" i="34"/>
  <c r="D28" i="34"/>
  <c r="E28" i="34"/>
  <c r="D29" i="34"/>
  <c r="E29" i="34"/>
  <c r="D30" i="34"/>
  <c r="E30" i="34"/>
  <c r="D31" i="34"/>
  <c r="E31" i="34"/>
  <c r="D33" i="34"/>
  <c r="E33" i="34"/>
  <c r="D34" i="34"/>
  <c r="E34" i="34"/>
  <c r="D35" i="34"/>
  <c r="E35" i="34"/>
  <c r="D36" i="34"/>
  <c r="E36" i="34"/>
  <c r="D37" i="34"/>
  <c r="E37" i="34"/>
  <c r="D38" i="34"/>
  <c r="E38" i="34"/>
  <c r="D41" i="34"/>
  <c r="E41" i="34"/>
  <c r="D43" i="34"/>
  <c r="E43" i="34"/>
  <c r="D44" i="34"/>
  <c r="E44" i="34"/>
  <c r="D45" i="34"/>
  <c r="E45" i="34"/>
  <c r="D46" i="34"/>
  <c r="E46" i="34"/>
  <c r="D47" i="34"/>
  <c r="E47" i="34"/>
  <c r="D48" i="34"/>
  <c r="E48" i="34"/>
  <c r="D49" i="34"/>
  <c r="E49" i="34"/>
  <c r="D50" i="34"/>
  <c r="E50" i="34"/>
  <c r="D51" i="34"/>
  <c r="E51" i="34"/>
  <c r="D53" i="34"/>
  <c r="E53" i="34"/>
  <c r="D54" i="34"/>
  <c r="E54" i="34"/>
  <c r="D55" i="34"/>
  <c r="E55" i="34"/>
  <c r="D56" i="34"/>
  <c r="E56" i="34"/>
  <c r="D57" i="34"/>
  <c r="E57" i="34"/>
  <c r="D59" i="34"/>
  <c r="D60" i="34"/>
  <c r="D61" i="34"/>
  <c r="D62" i="34"/>
  <c r="D63" i="34"/>
  <c r="D64" i="34"/>
  <c r="D65" i="34"/>
  <c r="D66" i="34"/>
  <c r="D67" i="34"/>
  <c r="D68" i="34"/>
  <c r="D69" i="34"/>
  <c r="E69" i="34"/>
  <c r="D70" i="34"/>
  <c r="E70" i="34"/>
  <c r="D71" i="34"/>
  <c r="E71" i="34"/>
  <c r="D72" i="34"/>
  <c r="E72" i="34"/>
  <c r="D73" i="34"/>
  <c r="E73" i="34"/>
  <c r="D74" i="34"/>
  <c r="E74" i="34"/>
  <c r="D75" i="34"/>
  <c r="E75" i="34"/>
  <c r="D76" i="34"/>
  <c r="E76" i="34"/>
  <c r="D77" i="34"/>
  <c r="E77" i="34"/>
  <c r="D78" i="34"/>
  <c r="E78" i="34"/>
  <c r="D80" i="34"/>
  <c r="E80" i="34"/>
  <c r="D81" i="34"/>
  <c r="E81" i="34"/>
  <c r="D82" i="34"/>
  <c r="E82" i="34"/>
  <c r="D83" i="34"/>
  <c r="E83" i="34"/>
  <c r="D84" i="34"/>
  <c r="E84" i="34"/>
  <c r="D85" i="34"/>
  <c r="D86" i="34"/>
  <c r="D87" i="34"/>
  <c r="D88" i="34"/>
  <c r="D89" i="34"/>
  <c r="D90" i="34"/>
  <c r="D91" i="34"/>
  <c r="D92" i="34"/>
  <c r="D93" i="34"/>
  <c r="D94" i="34"/>
  <c r="D95" i="34"/>
  <c r="D96" i="34"/>
  <c r="D97" i="34"/>
  <c r="E97" i="34"/>
  <c r="D98" i="34"/>
  <c r="E98" i="34"/>
  <c r="D99" i="34"/>
  <c r="E99" i="34"/>
  <c r="D100" i="34"/>
  <c r="E100" i="34"/>
  <c r="D101" i="34"/>
  <c r="E101" i="34"/>
  <c r="D102" i="34"/>
  <c r="E102" i="34"/>
  <c r="D103" i="34"/>
  <c r="E103" i="34"/>
  <c r="D104" i="34"/>
  <c r="E104" i="34"/>
  <c r="D105" i="34"/>
  <c r="E105" i="34"/>
  <c r="D106" i="34"/>
  <c r="E106" i="34"/>
  <c r="D107" i="34"/>
  <c r="E107" i="34"/>
  <c r="D108" i="34"/>
  <c r="E108" i="34"/>
  <c r="D109" i="34"/>
  <c r="E109" i="34"/>
  <c r="D110" i="34"/>
  <c r="E110" i="34"/>
  <c r="D111" i="34"/>
  <c r="E111" i="34"/>
  <c r="D112" i="34"/>
  <c r="E112" i="34"/>
  <c r="D113" i="34"/>
  <c r="E113" i="34"/>
  <c r="D114" i="34"/>
  <c r="E114" i="34"/>
  <c r="D115" i="34"/>
  <c r="E115" i="34"/>
  <c r="D116" i="34"/>
  <c r="E116" i="34"/>
  <c r="D117" i="34"/>
  <c r="E117" i="34"/>
  <c r="D121" i="34"/>
  <c r="E121" i="34"/>
  <c r="D122" i="34"/>
  <c r="E122" i="34"/>
  <c r="D123" i="34"/>
  <c r="E123" i="34"/>
  <c r="D124" i="34"/>
  <c r="E124" i="34"/>
  <c r="D125" i="34"/>
  <c r="E125" i="34"/>
  <c r="D126" i="34"/>
  <c r="E126" i="34"/>
  <c r="D127" i="34"/>
  <c r="E127" i="34"/>
  <c r="C12" i="33"/>
  <c r="M4" i="33"/>
  <c r="J12" i="33" s="1"/>
  <c r="M3" i="33"/>
  <c r="J26" i="33" s="1"/>
  <c r="Q26" i="33" s="1"/>
  <c r="E73" i="50" l="1"/>
  <c r="E70" i="47"/>
  <c r="I70" i="47" s="1"/>
  <c r="E70" i="43"/>
  <c r="I70" i="43" s="1"/>
  <c r="W70" i="43" s="1"/>
  <c r="E70" i="45"/>
  <c r="I70" i="45" s="1"/>
  <c r="W70" i="45" s="1"/>
  <c r="E70" i="46"/>
  <c r="I70" i="46" s="1"/>
  <c r="W70" i="46" s="1"/>
  <c r="E70" i="44"/>
  <c r="I70" i="44" s="1"/>
  <c r="W70" i="44" s="1"/>
  <c r="E70" i="42"/>
  <c r="I70" i="42" s="1"/>
  <c r="W70" i="42" s="1"/>
  <c r="E70" i="48"/>
  <c r="I70" i="48" s="1"/>
  <c r="W70" i="48" s="1"/>
  <c r="E73" i="49"/>
  <c r="E77" i="50"/>
  <c r="E74" i="42"/>
  <c r="I74" i="42" s="1"/>
  <c r="W74" i="42" s="1"/>
  <c r="E74" i="48"/>
  <c r="I74" i="48" s="1"/>
  <c r="W74" i="48" s="1"/>
  <c r="E74" i="45"/>
  <c r="I74" i="45" s="1"/>
  <c r="W74" i="45" s="1"/>
  <c r="E77" i="49"/>
  <c r="E74" i="43"/>
  <c r="I74" i="43" s="1"/>
  <c r="W74" i="43" s="1"/>
  <c r="E74" i="47"/>
  <c r="I74" i="47" s="1"/>
  <c r="E74" i="46"/>
  <c r="I74" i="46" s="1"/>
  <c r="W74" i="46" s="1"/>
  <c r="E74" i="44"/>
  <c r="I74" i="44" s="1"/>
  <c r="W74" i="44" s="1"/>
  <c r="E102" i="50"/>
  <c r="E99" i="43"/>
  <c r="I99" i="43" s="1"/>
  <c r="W99" i="43" s="1"/>
  <c r="E102" i="49"/>
  <c r="E99" i="48"/>
  <c r="I99" i="48" s="1"/>
  <c r="W99" i="48" s="1"/>
  <c r="E99" i="46"/>
  <c r="I99" i="46" s="1"/>
  <c r="W99" i="46" s="1"/>
  <c r="E99" i="47"/>
  <c r="I99" i="47" s="1"/>
  <c r="E99" i="45"/>
  <c r="I99" i="45" s="1"/>
  <c r="W99" i="45" s="1"/>
  <c r="E99" i="42"/>
  <c r="I99" i="42" s="1"/>
  <c r="W99" i="42" s="1"/>
  <c r="E99" i="44"/>
  <c r="I99" i="44" s="1"/>
  <c r="W99" i="44" s="1"/>
  <c r="E101" i="50"/>
  <c r="E101" i="49"/>
  <c r="E98" i="46"/>
  <c r="I98" i="46" s="1"/>
  <c r="W98" i="46" s="1"/>
  <c r="E98" i="48"/>
  <c r="I98" i="48" s="1"/>
  <c r="W98" i="48" s="1"/>
  <c r="E98" i="47"/>
  <c r="I98" i="47" s="1"/>
  <c r="I98" i="45"/>
  <c r="W98" i="45" s="1"/>
  <c r="E98" i="44"/>
  <c r="I98" i="44" s="1"/>
  <c r="W98" i="44" s="1"/>
  <c r="E98" i="42"/>
  <c r="I98" i="42" s="1"/>
  <c r="W98" i="42" s="1"/>
  <c r="E98" i="43"/>
  <c r="I98" i="43" s="1"/>
  <c r="W98" i="43" s="1"/>
  <c r="E97" i="50"/>
  <c r="E97" i="49"/>
  <c r="E94" i="42"/>
  <c r="I94" i="42" s="1"/>
  <c r="W94" i="42" s="1"/>
  <c r="E94" i="43"/>
  <c r="I94" i="43" s="1"/>
  <c r="W94" i="43" s="1"/>
  <c r="E94" i="48"/>
  <c r="I94" i="48" s="1"/>
  <c r="W94" i="48" s="1"/>
  <c r="E94" i="46"/>
  <c r="I94" i="46" s="1"/>
  <c r="W94" i="46" s="1"/>
  <c r="E94" i="47"/>
  <c r="I94" i="47" s="1"/>
  <c r="E94" i="45"/>
  <c r="I94" i="45" s="1"/>
  <c r="W94" i="45" s="1"/>
  <c r="E94" i="44"/>
  <c r="I94" i="44" s="1"/>
  <c r="W94" i="44" s="1"/>
  <c r="E80" i="50"/>
  <c r="E80" i="49"/>
  <c r="E77" i="47"/>
  <c r="I77" i="47" s="1"/>
  <c r="E77" i="46"/>
  <c r="I77" i="46" s="1"/>
  <c r="W77" i="46" s="1"/>
  <c r="E77" i="44"/>
  <c r="I77" i="44" s="1"/>
  <c r="W77" i="44" s="1"/>
  <c r="E77" i="48"/>
  <c r="I77" i="48" s="1"/>
  <c r="W77" i="48" s="1"/>
  <c r="E77" i="42"/>
  <c r="I77" i="42" s="1"/>
  <c r="W77" i="42" s="1"/>
  <c r="E77" i="45"/>
  <c r="I77" i="45" s="1"/>
  <c r="W77" i="45" s="1"/>
  <c r="E77" i="43"/>
  <c r="I77" i="43" s="1"/>
  <c r="W77" i="43" s="1"/>
  <c r="E72" i="50"/>
  <c r="E69" i="48"/>
  <c r="I69" i="48" s="1"/>
  <c r="W69" i="48" s="1"/>
  <c r="E69" i="42"/>
  <c r="I69" i="42" s="1"/>
  <c r="W69" i="42" s="1"/>
  <c r="E72" i="49"/>
  <c r="E69" i="47"/>
  <c r="I69" i="47" s="1"/>
  <c r="E69" i="43"/>
  <c r="I69" i="43" s="1"/>
  <c r="W69" i="43" s="1"/>
  <c r="E69" i="45"/>
  <c r="I69" i="45" s="1"/>
  <c r="W69" i="45" s="1"/>
  <c r="E69" i="46"/>
  <c r="I69" i="46" s="1"/>
  <c r="W69" i="46" s="1"/>
  <c r="I69" i="44"/>
  <c r="W69" i="44" s="1"/>
  <c r="E105" i="50"/>
  <c r="E102" i="45"/>
  <c r="I102" i="45" s="1"/>
  <c r="W102" i="45" s="1"/>
  <c r="E102" i="47"/>
  <c r="I102" i="47" s="1"/>
  <c r="E102" i="44"/>
  <c r="I102" i="44" s="1"/>
  <c r="W102" i="44" s="1"/>
  <c r="E102" i="42"/>
  <c r="I102" i="42" s="1"/>
  <c r="W102" i="42" s="1"/>
  <c r="E102" i="43"/>
  <c r="I102" i="43" s="1"/>
  <c r="W102" i="43" s="1"/>
  <c r="E105" i="49"/>
  <c r="I102" i="46"/>
  <c r="W102" i="46" s="1"/>
  <c r="E102" i="48"/>
  <c r="I102" i="48" s="1"/>
  <c r="W102" i="48" s="1"/>
  <c r="E76" i="50"/>
  <c r="E73" i="48"/>
  <c r="I73" i="48" s="1"/>
  <c r="W73" i="48" s="1"/>
  <c r="E73" i="42"/>
  <c r="I73" i="42" s="1"/>
  <c r="W73" i="42" s="1"/>
  <c r="E73" i="45"/>
  <c r="I73" i="45" s="1"/>
  <c r="W73" i="45" s="1"/>
  <c r="E76" i="49"/>
  <c r="E73" i="43"/>
  <c r="I73" i="43" s="1"/>
  <c r="W73" i="43" s="1"/>
  <c r="E73" i="47"/>
  <c r="I73" i="47" s="1"/>
  <c r="E73" i="46"/>
  <c r="I73" i="46" s="1"/>
  <c r="W73" i="46" s="1"/>
  <c r="E73" i="44"/>
  <c r="I73" i="44" s="1"/>
  <c r="W73" i="44" s="1"/>
  <c r="E104" i="50"/>
  <c r="E101" i="43"/>
  <c r="I101" i="43" s="1"/>
  <c r="W101" i="43" s="1"/>
  <c r="E101" i="42"/>
  <c r="I101" i="42" s="1"/>
  <c r="W101" i="42" s="1"/>
  <c r="E104" i="49"/>
  <c r="E101" i="46"/>
  <c r="I101" i="46" s="1"/>
  <c r="W101" i="46" s="1"/>
  <c r="E101" i="48"/>
  <c r="I101" i="48" s="1"/>
  <c r="W101" i="48" s="1"/>
  <c r="E101" i="47"/>
  <c r="I101" i="47" s="1"/>
  <c r="E101" i="45"/>
  <c r="I101" i="45" s="1"/>
  <c r="W101" i="45" s="1"/>
  <c r="E101" i="44"/>
  <c r="I101" i="44" s="1"/>
  <c r="W101" i="44" s="1"/>
  <c r="E100" i="50"/>
  <c r="E97" i="47"/>
  <c r="I97" i="47" s="1"/>
  <c r="I97" i="45"/>
  <c r="W97" i="45" s="1"/>
  <c r="E97" i="44"/>
  <c r="I97" i="44" s="1"/>
  <c r="W97" i="44" s="1"/>
  <c r="E97" i="43"/>
  <c r="I97" i="43" s="1"/>
  <c r="W97" i="43" s="1"/>
  <c r="E97" i="42"/>
  <c r="I97" i="42" s="1"/>
  <c r="W97" i="42" s="1"/>
  <c r="E100" i="49"/>
  <c r="E97" i="46"/>
  <c r="I97" i="46" s="1"/>
  <c r="W97" i="46" s="1"/>
  <c r="E97" i="48"/>
  <c r="I97" i="48" s="1"/>
  <c r="W97" i="48" s="1"/>
  <c r="E79" i="50"/>
  <c r="E76" i="48"/>
  <c r="I76" i="48" s="1"/>
  <c r="W76" i="48" s="1"/>
  <c r="E76" i="45"/>
  <c r="I76" i="45" s="1"/>
  <c r="W76" i="45" s="1"/>
  <c r="E79" i="49"/>
  <c r="E76" i="43"/>
  <c r="I76" i="43" s="1"/>
  <c r="W76" i="43" s="1"/>
  <c r="E76" i="42"/>
  <c r="I76" i="42" s="1"/>
  <c r="W76" i="42" s="1"/>
  <c r="E76" i="47"/>
  <c r="I76" i="47" s="1"/>
  <c r="I76" i="46"/>
  <c r="W76" i="46" s="1"/>
  <c r="E76" i="44"/>
  <c r="I76" i="44" s="1"/>
  <c r="W76" i="44" s="1"/>
  <c r="E71" i="50"/>
  <c r="E71" i="49"/>
  <c r="E68" i="47"/>
  <c r="I68" i="47" s="1"/>
  <c r="E68" i="43"/>
  <c r="I68" i="43" s="1"/>
  <c r="W68" i="43" s="1"/>
  <c r="E68" i="42"/>
  <c r="I68" i="42" s="1"/>
  <c r="W68" i="42" s="1"/>
  <c r="I68" i="45"/>
  <c r="W68" i="45" s="1"/>
  <c r="E68" i="46"/>
  <c r="I68" i="46" s="1"/>
  <c r="W68" i="46" s="1"/>
  <c r="I68" i="44"/>
  <c r="W68" i="44" s="1"/>
  <c r="E68" i="48"/>
  <c r="I68" i="48" s="1"/>
  <c r="W68" i="48" s="1"/>
  <c r="E108" i="50"/>
  <c r="E105" i="46"/>
  <c r="I105" i="46" s="1"/>
  <c r="W105" i="46" s="1"/>
  <c r="E105" i="48"/>
  <c r="I105" i="48" s="1"/>
  <c r="W105" i="48" s="1"/>
  <c r="I105" i="45"/>
  <c r="W105" i="45" s="1"/>
  <c r="E108" i="49"/>
  <c r="E105" i="47"/>
  <c r="I105" i="47" s="1"/>
  <c r="E105" i="44"/>
  <c r="I105" i="44" s="1"/>
  <c r="W105" i="44" s="1"/>
  <c r="E105" i="43"/>
  <c r="I105" i="43" s="1"/>
  <c r="W105" i="43" s="1"/>
  <c r="E105" i="42"/>
  <c r="I105" i="42" s="1"/>
  <c r="W105" i="42" s="1"/>
  <c r="E75" i="50"/>
  <c r="E72" i="47"/>
  <c r="I72" i="47" s="1"/>
  <c r="E72" i="46"/>
  <c r="I72" i="46" s="1"/>
  <c r="W72" i="46" s="1"/>
  <c r="E72" i="44"/>
  <c r="I72" i="44" s="1"/>
  <c r="W72" i="44" s="1"/>
  <c r="E72" i="48"/>
  <c r="I72" i="48" s="1"/>
  <c r="W72" i="48" s="1"/>
  <c r="E75" i="49"/>
  <c r="I72" i="45"/>
  <c r="W72" i="45" s="1"/>
  <c r="E72" i="43"/>
  <c r="I72" i="43" s="1"/>
  <c r="W72" i="43" s="1"/>
  <c r="E72" i="42"/>
  <c r="I72" i="42" s="1"/>
  <c r="W72" i="42" s="1"/>
  <c r="E98" i="50"/>
  <c r="E95" i="46"/>
  <c r="I95" i="46" s="1"/>
  <c r="W95" i="46" s="1"/>
  <c r="E95" i="47"/>
  <c r="I95" i="47" s="1"/>
  <c r="E95" i="45"/>
  <c r="I95" i="45" s="1"/>
  <c r="W95" i="45" s="1"/>
  <c r="E95" i="42"/>
  <c r="I95" i="42" s="1"/>
  <c r="W95" i="42" s="1"/>
  <c r="I95" i="44"/>
  <c r="W95" i="44" s="1"/>
  <c r="E98" i="49"/>
  <c r="E95" i="43"/>
  <c r="I95" i="43" s="1"/>
  <c r="W95" i="43" s="1"/>
  <c r="E95" i="48"/>
  <c r="I95" i="48" s="1"/>
  <c r="W95" i="48" s="1"/>
  <c r="E107" i="50"/>
  <c r="E104" i="47"/>
  <c r="I104" i="47" s="1"/>
  <c r="E104" i="44"/>
  <c r="I104" i="44" s="1"/>
  <c r="W104" i="44" s="1"/>
  <c r="E104" i="43"/>
  <c r="I104" i="43" s="1"/>
  <c r="W104" i="43" s="1"/>
  <c r="E104" i="46"/>
  <c r="I104" i="46" s="1"/>
  <c r="W104" i="46" s="1"/>
  <c r="E107" i="49"/>
  <c r="E104" i="48"/>
  <c r="I104" i="48" s="1"/>
  <c r="W104" i="48" s="1"/>
  <c r="E104" i="45"/>
  <c r="I104" i="45" s="1"/>
  <c r="W104" i="45" s="1"/>
  <c r="E104" i="42"/>
  <c r="I104" i="42" s="1"/>
  <c r="W104" i="42" s="1"/>
  <c r="E99" i="50"/>
  <c r="E99" i="49"/>
  <c r="E96" i="43"/>
  <c r="I96" i="43" s="1"/>
  <c r="W96" i="43" s="1"/>
  <c r="E96" i="48"/>
  <c r="I96" i="48" s="1"/>
  <c r="W96" i="48" s="1"/>
  <c r="E96" i="46"/>
  <c r="I96" i="46" s="1"/>
  <c r="W96" i="46" s="1"/>
  <c r="E96" i="42"/>
  <c r="I96" i="42" s="1"/>
  <c r="W96" i="42" s="1"/>
  <c r="E96" i="47"/>
  <c r="I96" i="47" s="1"/>
  <c r="E96" i="45"/>
  <c r="I96" i="45" s="1"/>
  <c r="W96" i="45" s="1"/>
  <c r="E96" i="44"/>
  <c r="I96" i="44" s="1"/>
  <c r="W96" i="44" s="1"/>
  <c r="E74" i="50"/>
  <c r="E71" i="48"/>
  <c r="I71" i="48" s="1"/>
  <c r="W71" i="48" s="1"/>
  <c r="E74" i="49"/>
  <c r="E71" i="47"/>
  <c r="I71" i="47" s="1"/>
  <c r="E71" i="43"/>
  <c r="I71" i="43" s="1"/>
  <c r="W71" i="43" s="1"/>
  <c r="E71" i="45"/>
  <c r="I71" i="45" s="1"/>
  <c r="W71" i="45" s="1"/>
  <c r="E71" i="46"/>
  <c r="I71" i="46" s="1"/>
  <c r="W71" i="46" s="1"/>
  <c r="I71" i="44"/>
  <c r="W71" i="44" s="1"/>
  <c r="E71" i="42"/>
  <c r="I71" i="42" s="1"/>
  <c r="W71" i="42" s="1"/>
  <c r="E106" i="50"/>
  <c r="E103" i="43"/>
  <c r="I103" i="43" s="1"/>
  <c r="W103" i="43" s="1"/>
  <c r="E103" i="46"/>
  <c r="I103" i="46" s="1"/>
  <c r="W103" i="46" s="1"/>
  <c r="E106" i="49"/>
  <c r="E103" i="48"/>
  <c r="I103" i="48" s="1"/>
  <c r="W103" i="48" s="1"/>
  <c r="E103" i="45"/>
  <c r="I103" i="45" s="1"/>
  <c r="W103" i="45" s="1"/>
  <c r="E103" i="47"/>
  <c r="I103" i="47" s="1"/>
  <c r="E103" i="42"/>
  <c r="I103" i="42" s="1"/>
  <c r="W103" i="42" s="1"/>
  <c r="E103" i="44"/>
  <c r="I103" i="44" s="1"/>
  <c r="W103" i="44" s="1"/>
  <c r="E103"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3" i="49"/>
  <c r="E78" i="50"/>
  <c r="E78"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E85" i="34"/>
  <c r="E93" i="34"/>
  <c r="E64" i="34"/>
  <c r="E66" i="34"/>
  <c r="E62" i="34"/>
  <c r="E92" i="34"/>
  <c r="E101" i="33"/>
  <c r="I101" i="33" s="1"/>
  <c r="W101" i="33" s="1"/>
  <c r="E98" i="33"/>
  <c r="I98" i="33" s="1"/>
  <c r="W98" i="33" s="1"/>
  <c r="E89" i="34"/>
  <c r="E75" i="33"/>
  <c r="I75" i="33" s="1"/>
  <c r="W75" i="33" s="1"/>
  <c r="E61" i="34"/>
  <c r="E70" i="33"/>
  <c r="I70" i="33" s="1"/>
  <c r="W70" i="33" s="1"/>
  <c r="E94" i="34"/>
  <c r="E103" i="33"/>
  <c r="I103" i="33" s="1"/>
  <c r="W103" i="33" s="1"/>
  <c r="E100" i="33"/>
  <c r="I100" i="33" s="1"/>
  <c r="W100" i="33" s="1"/>
  <c r="E86" i="34"/>
  <c r="E95" i="33"/>
  <c r="I95" i="33" s="1"/>
  <c r="W95" i="33" s="1"/>
  <c r="E91" i="34"/>
  <c r="E77" i="33"/>
  <c r="I77" i="33" s="1"/>
  <c r="W77" i="33" s="1"/>
  <c r="E63" i="34"/>
  <c r="E72" i="33"/>
  <c r="I72" i="33" s="1"/>
  <c r="W72" i="33" s="1"/>
  <c r="E69" i="33"/>
  <c r="I69" i="33" s="1"/>
  <c r="W69" i="33" s="1"/>
  <c r="E96" i="34"/>
  <c r="E105" i="33"/>
  <c r="I105" i="33" s="1"/>
  <c r="W105" i="33" s="1"/>
  <c r="E102" i="33"/>
  <c r="I102" i="33" s="1"/>
  <c r="W102" i="33" s="1"/>
  <c r="E88" i="34"/>
  <c r="E97" i="33"/>
  <c r="I97" i="33" s="1"/>
  <c r="W97" i="33" s="1"/>
  <c r="E94" i="33"/>
  <c r="I94" i="33" s="1"/>
  <c r="W94" i="33" s="1"/>
  <c r="E68" i="34"/>
  <c r="E60" i="34"/>
  <c r="E65" i="34"/>
  <c r="E74" i="33"/>
  <c r="I74" i="33" s="1"/>
  <c r="W74" i="33" s="1"/>
  <c r="E71" i="33"/>
  <c r="I71" i="33" s="1"/>
  <c r="W71" i="33" s="1"/>
  <c r="E96" i="33"/>
  <c r="I96" i="33" s="1"/>
  <c r="W96" i="33" s="1"/>
  <c r="E104" i="33"/>
  <c r="I104" i="33" s="1"/>
  <c r="W104" i="33" s="1"/>
  <c r="E90" i="34"/>
  <c r="E99" i="33"/>
  <c r="I99" i="33" s="1"/>
  <c r="W99" i="33" s="1"/>
  <c r="E95" i="34"/>
  <c r="E87" i="34"/>
  <c r="E67" i="34"/>
  <c r="E76" i="33"/>
  <c r="I76" i="33" s="1"/>
  <c r="W76" i="33" s="1"/>
  <c r="E73" i="33"/>
  <c r="I73" i="33" s="1"/>
  <c r="W73" i="33" s="1"/>
  <c r="E59"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AB61" i="34" l="1"/>
  <c r="F60" i="70" s="1"/>
  <c r="AB63" i="34"/>
  <c r="AC63" i="34" s="1"/>
  <c r="AB68" i="34"/>
  <c r="F71" i="70" s="1"/>
  <c r="AB94" i="34"/>
  <c r="AC94" i="34" s="1"/>
  <c r="AB89" i="34"/>
  <c r="F33" i="70" s="1"/>
  <c r="AB93" i="34"/>
  <c r="F20" i="70" s="1"/>
  <c r="AB67" i="34"/>
  <c r="F70" i="70" s="1"/>
  <c r="AB90" i="34"/>
  <c r="F16" i="70" s="1"/>
  <c r="AB88" i="34"/>
  <c r="F32" i="70" s="1"/>
  <c r="AB85" i="34"/>
  <c r="F50" i="70" s="1"/>
  <c r="AB96" i="34"/>
  <c r="F26" i="70" s="1"/>
  <c r="AB64" i="34"/>
  <c r="AC64" i="34" s="1"/>
  <c r="AB87" i="34"/>
  <c r="F55" i="70" s="1"/>
  <c r="AB91" i="34"/>
  <c r="AC91" i="34" s="1"/>
  <c r="AB60" i="34"/>
  <c r="AC60" i="34" s="1"/>
  <c r="AB95" i="34"/>
  <c r="AC95" i="34" s="1"/>
  <c r="AB92" i="34"/>
  <c r="F19" i="70" s="1"/>
  <c r="AB59" i="34"/>
  <c r="F41" i="70" s="1"/>
  <c r="AB65" i="34"/>
  <c r="F68" i="70" s="1"/>
  <c r="AB66" i="34"/>
  <c r="AC66" i="34" s="1"/>
  <c r="AB86" i="34"/>
  <c r="F58" i="70" s="1"/>
  <c r="AB62" i="34"/>
  <c r="F59" i="70" s="1"/>
  <c r="AC61" i="34"/>
  <c r="AC88" i="34"/>
  <c r="AC92" i="34"/>
  <c r="AC85" i="34"/>
  <c r="L6" i="9"/>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AC93" i="34" l="1"/>
  <c r="AC87" i="34"/>
  <c r="G55" i="70" s="1"/>
  <c r="AC96" i="34"/>
  <c r="AC62" i="34"/>
  <c r="AE62" i="34" s="1"/>
  <c r="I59" i="70" s="1"/>
  <c r="AC65" i="34"/>
  <c r="AE65" i="34" s="1"/>
  <c r="I68" i="70" s="1"/>
  <c r="AC86" i="34"/>
  <c r="AE86" i="34" s="1"/>
  <c r="I58" i="70" s="1"/>
  <c r="AC90" i="34"/>
  <c r="AE90" i="34" s="1"/>
  <c r="I16" i="70" s="1"/>
  <c r="AC59" i="34"/>
  <c r="G41" i="70" s="1"/>
  <c r="AC89" i="34"/>
  <c r="F17" i="70"/>
  <c r="F65" i="70"/>
  <c r="AC68" i="34"/>
  <c r="F69" i="70"/>
  <c r="F25" i="70"/>
  <c r="F66" i="70"/>
  <c r="F22" i="70"/>
  <c r="AC67" i="34"/>
  <c r="F47" i="70"/>
  <c r="G69" i="70"/>
  <c r="AE66" i="34"/>
  <c r="I69" i="70" s="1"/>
  <c r="AE94" i="34"/>
  <c r="I22" i="70" s="1"/>
  <c r="G22" i="70"/>
  <c r="G32" i="70"/>
  <c r="AE88" i="34"/>
  <c r="I32" i="70" s="1"/>
  <c r="G17" i="70"/>
  <c r="AE91" i="34"/>
  <c r="I17" i="70" s="1"/>
  <c r="G20" i="70"/>
  <c r="AE93" i="34"/>
  <c r="I20" i="70" s="1"/>
  <c r="AE60" i="34"/>
  <c r="I47" i="70" s="1"/>
  <c r="G47" i="70"/>
  <c r="G33" i="70"/>
  <c r="AE89" i="34"/>
  <c r="I33" i="70" s="1"/>
  <c r="G65" i="70"/>
  <c r="AE63" i="34"/>
  <c r="I65" i="70" s="1"/>
  <c r="G25" i="70"/>
  <c r="AE95" i="34"/>
  <c r="I25" i="70" s="1"/>
  <c r="G68" i="70"/>
  <c r="AE87" i="34"/>
  <c r="I55" i="70" s="1"/>
  <c r="AE92" i="34"/>
  <c r="I19" i="70" s="1"/>
  <c r="G19" i="70"/>
  <c r="G26" i="70"/>
  <c r="AE96" i="34"/>
  <c r="I26" i="70" s="1"/>
  <c r="AE68" i="34"/>
  <c r="I71" i="70" s="1"/>
  <c r="G71" i="70"/>
  <c r="G58" i="70"/>
  <c r="G50" i="70"/>
  <c r="AE85" i="34"/>
  <c r="I50" i="70" s="1"/>
  <c r="AE59" i="34"/>
  <c r="I41" i="70" s="1"/>
  <c r="G70" i="70"/>
  <c r="AE67" i="34"/>
  <c r="I70" i="70" s="1"/>
  <c r="AE64" i="34"/>
  <c r="I66" i="70" s="1"/>
  <c r="G66" i="70"/>
  <c r="G60" i="70"/>
  <c r="AE61" i="34"/>
  <c r="I60" i="70" s="1"/>
  <c r="L3" i="9"/>
  <c r="T3" i="9" s="1"/>
  <c r="Z3" i="9" s="1"/>
  <c r="M3" i="9"/>
  <c r="Q9" i="9" s="1"/>
  <c r="T6" i="9"/>
  <c r="V6" i="10"/>
  <c r="V5" i="10"/>
  <c r="V4" i="10"/>
  <c r="V7" i="10" s="1"/>
  <c r="P15" i="7"/>
  <c r="AK15" i="7"/>
  <c r="AS15" i="7"/>
  <c r="AO15" i="7"/>
  <c r="AE15" i="7"/>
  <c r="Z5" i="9"/>
  <c r="G59" i="70" l="1"/>
  <c r="G16" i="70"/>
  <c r="S6" i="62"/>
  <c r="Y17" i="62" s="1"/>
  <c r="Z17" i="62" s="1"/>
  <c r="Z6" i="9"/>
  <c r="Q4" i="43"/>
  <c r="Q4" i="47"/>
  <c r="Q4" i="33"/>
  <c r="Q4" i="45"/>
  <c r="S9" i="9"/>
  <c r="T9" i="9" s="1"/>
  <c r="Z9" i="9" s="1"/>
  <c r="Y15" i="62" l="1"/>
  <c r="Z15" i="62" s="1"/>
  <c r="Y14" i="62"/>
  <c r="Z14" i="62" s="1"/>
  <c r="Y18" i="62"/>
  <c r="Z18" i="62" s="1"/>
  <c r="Y13" i="62"/>
  <c r="Z13" i="62" s="1"/>
  <c r="Y16" i="62"/>
  <c r="Z16" i="62" s="1"/>
  <c r="Y19" i="62"/>
  <c r="Z19" i="62" s="1"/>
  <c r="AB9" i="9"/>
  <c r="AD9" i="9"/>
  <c r="X87" i="48"/>
  <c r="Y87" i="48" s="1"/>
  <c r="W90" i="50" s="1"/>
  <c r="X59" i="44"/>
  <c r="Y59" i="44" s="1"/>
  <c r="O62" i="50" s="1"/>
  <c r="X45" i="33"/>
  <c r="Y45" i="33" s="1"/>
  <c r="AA48" i="50" s="1"/>
  <c r="S4" i="42"/>
  <c r="X62" i="42" s="1"/>
  <c r="Y62" i="42" s="1"/>
  <c r="K65"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Y11" i="34" s="1"/>
  <c r="R29" i="45"/>
  <c r="S29" i="45" s="1"/>
  <c r="Y20" i="34" s="1"/>
  <c r="R38" i="45"/>
  <c r="S38" i="45" s="1"/>
  <c r="Y29" i="34" s="1"/>
  <c r="R47" i="45"/>
  <c r="S47" i="45" s="1"/>
  <c r="Y38" i="34" s="1"/>
  <c r="R56" i="45"/>
  <c r="S56" i="45" s="1"/>
  <c r="Y47" i="34" s="1"/>
  <c r="R26" i="45"/>
  <c r="S26" i="45" s="1"/>
  <c r="Y17" i="34" s="1"/>
  <c r="R34" i="45"/>
  <c r="S34" i="45" s="1"/>
  <c r="Y25" i="34" s="1"/>
  <c r="R44" i="45"/>
  <c r="S44" i="45" s="1"/>
  <c r="Y35" i="34" s="1"/>
  <c r="R53" i="45"/>
  <c r="S53" i="45" s="1"/>
  <c r="Y44" i="34" s="1"/>
  <c r="R15" i="45"/>
  <c r="S15" i="45" s="1"/>
  <c r="Y6" i="34" s="1"/>
  <c r="R16" i="45"/>
  <c r="S16" i="45" s="1"/>
  <c r="Y7" i="34" s="1"/>
  <c r="R23" i="45"/>
  <c r="S23" i="45" s="1"/>
  <c r="Y14" i="34" s="1"/>
  <c r="R31" i="45"/>
  <c r="S31" i="45" s="1"/>
  <c r="Y22" i="34" s="1"/>
  <c r="R40" i="45"/>
  <c r="S40" i="45" s="1"/>
  <c r="Y31" i="34" s="1"/>
  <c r="R49" i="45"/>
  <c r="S49" i="45" s="1"/>
  <c r="Y40" i="34" s="1"/>
  <c r="R58" i="45"/>
  <c r="S58" i="45" s="1"/>
  <c r="Y49" i="34" s="1"/>
  <c r="R68" i="45"/>
  <c r="S68" i="45" s="1"/>
  <c r="Y59" i="34" s="1"/>
  <c r="R76" i="45"/>
  <c r="S76" i="45" s="1"/>
  <c r="Y67" i="34" s="1"/>
  <c r="R19" i="45"/>
  <c r="S19" i="45" s="1"/>
  <c r="Y10" i="34" s="1"/>
  <c r="R28" i="45"/>
  <c r="S28" i="45" s="1"/>
  <c r="Y19" i="34" s="1"/>
  <c r="R37" i="45"/>
  <c r="S37" i="45" s="1"/>
  <c r="Y28" i="34" s="1"/>
  <c r="R46" i="45"/>
  <c r="S46" i="45" s="1"/>
  <c r="Y37" i="34" s="1"/>
  <c r="R55" i="45"/>
  <c r="S55" i="45" s="1"/>
  <c r="Y46" i="34" s="1"/>
  <c r="R64" i="45"/>
  <c r="S64" i="45" s="1"/>
  <c r="Y55" i="34" s="1"/>
  <c r="R73" i="45"/>
  <c r="S73" i="45" s="1"/>
  <c r="Y64" i="34" s="1"/>
  <c r="R17" i="45"/>
  <c r="S17" i="45" s="1"/>
  <c r="Y8" i="34" s="1"/>
  <c r="R25" i="45"/>
  <c r="S25" i="45" s="1"/>
  <c r="Y16" i="34" s="1"/>
  <c r="R33" i="45"/>
  <c r="S33" i="45" s="1"/>
  <c r="Y24" i="34" s="1"/>
  <c r="R43" i="45"/>
  <c r="S43" i="45" s="1"/>
  <c r="Y34" i="34" s="1"/>
  <c r="R52" i="45"/>
  <c r="S52" i="45" s="1"/>
  <c r="Y43" i="34" s="1"/>
  <c r="R60" i="45"/>
  <c r="S60" i="45" s="1"/>
  <c r="Y51" i="34" s="1"/>
  <c r="R14" i="45"/>
  <c r="S14" i="45" s="1"/>
  <c r="Y5" i="34" s="1"/>
  <c r="R22" i="45"/>
  <c r="S22" i="45" s="1"/>
  <c r="Y13" i="34" s="1"/>
  <c r="R30" i="45"/>
  <c r="S30" i="45" s="1"/>
  <c r="Y21" i="34" s="1"/>
  <c r="R39" i="45"/>
  <c r="S39" i="45" s="1"/>
  <c r="Y30" i="34" s="1"/>
  <c r="R48" i="45"/>
  <c r="S48" i="45" s="1"/>
  <c r="Y39" i="34" s="1"/>
  <c r="R18" i="45"/>
  <c r="S18" i="45" s="1"/>
  <c r="Y9" i="34" s="1"/>
  <c r="R27" i="45"/>
  <c r="S27" i="45" s="1"/>
  <c r="Y18" i="34" s="1"/>
  <c r="R35" i="45"/>
  <c r="S35" i="45" s="1"/>
  <c r="Y26" i="34" s="1"/>
  <c r="R45" i="45"/>
  <c r="S45" i="45" s="1"/>
  <c r="Y36" i="34" s="1"/>
  <c r="R54" i="45"/>
  <c r="S54" i="45" s="1"/>
  <c r="Y45" i="34" s="1"/>
  <c r="R63" i="45"/>
  <c r="S63" i="45" s="1"/>
  <c r="Y54" i="34" s="1"/>
  <c r="R72" i="45"/>
  <c r="S72" i="45" s="1"/>
  <c r="Y63" i="34" s="1"/>
  <c r="R80" i="45"/>
  <c r="S80" i="45" s="1"/>
  <c r="Y71" i="34" s="1"/>
  <c r="R24" i="45"/>
  <c r="S24" i="45" s="1"/>
  <c r="Y15" i="34" s="1"/>
  <c r="R32" i="45"/>
  <c r="S32" i="45" s="1"/>
  <c r="Y23" i="34" s="1"/>
  <c r="R42" i="45"/>
  <c r="S42" i="45" s="1"/>
  <c r="Y33" i="34" s="1"/>
  <c r="AF33" i="34" s="1"/>
  <c r="R50" i="45"/>
  <c r="S50" i="45" s="1"/>
  <c r="Y41" i="34" s="1"/>
  <c r="R59" i="45"/>
  <c r="S59" i="45" s="1"/>
  <c r="Y50" i="34" s="1"/>
  <c r="R69" i="45"/>
  <c r="S69" i="45" s="1"/>
  <c r="Y60" i="34" s="1"/>
  <c r="R77" i="45"/>
  <c r="S77" i="45" s="1"/>
  <c r="Y68" i="34" s="1"/>
  <c r="R74" i="45"/>
  <c r="S74" i="45" s="1"/>
  <c r="Y65" i="34" s="1"/>
  <c r="R75" i="45"/>
  <c r="S75" i="45" s="1"/>
  <c r="Y66" i="34" s="1"/>
  <c r="R83" i="45"/>
  <c r="S83" i="45" s="1"/>
  <c r="Y74" i="34" s="1"/>
  <c r="R92" i="45"/>
  <c r="S92" i="45" s="1"/>
  <c r="Y83" i="34" s="1"/>
  <c r="R100" i="45"/>
  <c r="S100" i="45" s="1"/>
  <c r="Y91" i="34" s="1"/>
  <c r="R108" i="45"/>
  <c r="S108" i="45" s="1"/>
  <c r="Y99" i="34" s="1"/>
  <c r="R116" i="45"/>
  <c r="S116" i="45" s="1"/>
  <c r="Y107" i="34" s="1"/>
  <c r="R124" i="45"/>
  <c r="S124" i="45" s="1"/>
  <c r="Y115" i="34" s="1"/>
  <c r="R89" i="45"/>
  <c r="S89" i="45" s="1"/>
  <c r="Y80" i="34" s="1"/>
  <c r="R97" i="45"/>
  <c r="S97" i="45" s="1"/>
  <c r="Y88" i="34" s="1"/>
  <c r="R105" i="45"/>
  <c r="S105" i="45" s="1"/>
  <c r="Y96" i="34" s="1"/>
  <c r="R113" i="45"/>
  <c r="S113" i="45" s="1"/>
  <c r="Y104" i="34" s="1"/>
  <c r="R62" i="45"/>
  <c r="S62" i="45" s="1"/>
  <c r="Y53" i="34" s="1"/>
  <c r="R70" i="45"/>
  <c r="S70" i="45" s="1"/>
  <c r="Y61" i="34" s="1"/>
  <c r="R71" i="45"/>
  <c r="S71" i="45" s="1"/>
  <c r="Y62" i="34" s="1"/>
  <c r="R85" i="45"/>
  <c r="S85" i="45" s="1"/>
  <c r="Y76" i="34" s="1"/>
  <c r="R94" i="45"/>
  <c r="S94" i="45" s="1"/>
  <c r="Y85" i="34" s="1"/>
  <c r="R102" i="45"/>
  <c r="S102" i="45" s="1"/>
  <c r="Y93" i="34" s="1"/>
  <c r="R110" i="45"/>
  <c r="S110" i="45" s="1"/>
  <c r="Y101" i="34" s="1"/>
  <c r="R118" i="45"/>
  <c r="S118" i="45" s="1"/>
  <c r="Y109" i="34" s="1"/>
  <c r="R126" i="45"/>
  <c r="S126" i="45" s="1"/>
  <c r="Y117" i="34" s="1"/>
  <c r="R81" i="45"/>
  <c r="S81" i="45" s="1"/>
  <c r="Y72" i="34" s="1"/>
  <c r="R91" i="45"/>
  <c r="S91" i="45" s="1"/>
  <c r="Y82" i="34" s="1"/>
  <c r="R99" i="45"/>
  <c r="S99" i="45" s="1"/>
  <c r="Y90" i="34" s="1"/>
  <c r="R107" i="45"/>
  <c r="S107" i="45" s="1"/>
  <c r="Y98" i="34" s="1"/>
  <c r="R115" i="45"/>
  <c r="S115" i="45" s="1"/>
  <c r="Y106" i="34" s="1"/>
  <c r="R123" i="45"/>
  <c r="S123" i="45" s="1"/>
  <c r="Y114" i="34" s="1"/>
  <c r="R132" i="45"/>
  <c r="S132" i="45" s="1"/>
  <c r="Y123" i="34" s="1"/>
  <c r="R65" i="45"/>
  <c r="S65" i="45" s="1"/>
  <c r="Y56" i="34" s="1"/>
  <c r="R66" i="45"/>
  <c r="S66" i="45" s="1"/>
  <c r="Y57" i="34" s="1"/>
  <c r="R82" i="45"/>
  <c r="S82" i="45" s="1"/>
  <c r="Y73" i="34" s="1"/>
  <c r="R87" i="45"/>
  <c r="S87" i="45" s="1"/>
  <c r="Y78" i="34" s="1"/>
  <c r="R96" i="45"/>
  <c r="S96" i="45" s="1"/>
  <c r="Y87" i="34" s="1"/>
  <c r="R104" i="45"/>
  <c r="S104" i="45" s="1"/>
  <c r="Y95" i="34" s="1"/>
  <c r="R112" i="45"/>
  <c r="S112" i="45" s="1"/>
  <c r="Y103" i="34" s="1"/>
  <c r="R120" i="45"/>
  <c r="S120" i="45" s="1"/>
  <c r="Y111" i="34" s="1"/>
  <c r="R84" i="45"/>
  <c r="S84" i="45" s="1"/>
  <c r="Y75" i="34" s="1"/>
  <c r="R101" i="45"/>
  <c r="S101" i="45" s="1"/>
  <c r="Y92" i="34" s="1"/>
  <c r="R109" i="45"/>
  <c r="S109" i="45" s="1"/>
  <c r="Y100" i="34" s="1"/>
  <c r="R117" i="45"/>
  <c r="S117" i="45" s="1"/>
  <c r="Y108" i="34" s="1"/>
  <c r="R125" i="45"/>
  <c r="S125" i="45" s="1"/>
  <c r="Y116" i="34" s="1"/>
  <c r="R134" i="45"/>
  <c r="S134" i="45" s="1"/>
  <c r="Y125" i="34" s="1"/>
  <c r="R78" i="45"/>
  <c r="S78" i="45" s="1"/>
  <c r="Y69" i="34" s="1"/>
  <c r="R79" i="45"/>
  <c r="S79" i="45" s="1"/>
  <c r="Y70" i="34" s="1"/>
  <c r="R90" i="45"/>
  <c r="S90" i="45" s="1"/>
  <c r="Y81" i="34" s="1"/>
  <c r="R98" i="45"/>
  <c r="S98" i="45" s="1"/>
  <c r="Y89" i="34" s="1"/>
  <c r="R106" i="45"/>
  <c r="S106" i="45" s="1"/>
  <c r="Y97" i="34" s="1"/>
  <c r="R114" i="45"/>
  <c r="S114" i="45" s="1"/>
  <c r="Y105" i="34" s="1"/>
  <c r="R57" i="45"/>
  <c r="S57" i="45" s="1"/>
  <c r="Y48" i="34" s="1"/>
  <c r="R86" i="45"/>
  <c r="S86" i="45" s="1"/>
  <c r="Y77" i="34" s="1"/>
  <c r="R95" i="45"/>
  <c r="S95" i="45" s="1"/>
  <c r="Y86" i="34" s="1"/>
  <c r="R103" i="45"/>
  <c r="S103" i="45" s="1"/>
  <c r="Y94" i="34" s="1"/>
  <c r="R111" i="45"/>
  <c r="S111" i="45" s="1"/>
  <c r="Y102" i="34" s="1"/>
  <c r="R119" i="45"/>
  <c r="S119" i="45" s="1"/>
  <c r="Y110" i="34" s="1"/>
  <c r="R128" i="45"/>
  <c r="S128" i="45" s="1"/>
  <c r="Y119" i="34" s="1"/>
  <c r="R121" i="45"/>
  <c r="S121" i="45" s="1"/>
  <c r="Y112" i="34" s="1"/>
  <c r="R133" i="45"/>
  <c r="S133" i="45" s="1"/>
  <c r="Y124" i="34" s="1"/>
  <c r="R135" i="45"/>
  <c r="S135" i="45" s="1"/>
  <c r="Y126" i="34" s="1"/>
  <c r="R129" i="45"/>
  <c r="S129" i="45" s="1"/>
  <c r="Y120" i="34" s="1"/>
  <c r="R137" i="45"/>
  <c r="S137" i="45" s="1"/>
  <c r="Y128" i="34" s="1"/>
  <c r="R130" i="45"/>
  <c r="S130" i="45" s="1"/>
  <c r="Y121" i="34" s="1"/>
  <c r="R131" i="45"/>
  <c r="S131" i="45" s="1"/>
  <c r="Y122" i="34" s="1"/>
  <c r="R136" i="45"/>
  <c r="S136" i="45" s="1"/>
  <c r="Y127" i="34" s="1"/>
  <c r="R122" i="45"/>
  <c r="S122" i="45" s="1"/>
  <c r="Y113" i="34" s="1"/>
  <c r="R12" i="45"/>
  <c r="S12" i="45" s="1"/>
  <c r="Y3" i="34" s="1"/>
  <c r="C106" i="70" l="1"/>
  <c r="AF126" i="34"/>
  <c r="J106" i="70" s="1"/>
  <c r="AF95" i="34"/>
  <c r="J25" i="70" s="1"/>
  <c r="C25" i="70"/>
  <c r="AF15" i="34"/>
  <c r="J75" i="70" s="1"/>
  <c r="C75" i="70"/>
  <c r="C7" i="70"/>
  <c r="AF22" i="34"/>
  <c r="J7" i="70" s="1"/>
  <c r="AF128" i="34"/>
  <c r="J114" i="70" s="1"/>
  <c r="C114" i="70"/>
  <c r="C22" i="70"/>
  <c r="AF94" i="34"/>
  <c r="J22" i="70" s="1"/>
  <c r="C89" i="70"/>
  <c r="AF70" i="34"/>
  <c r="J89" i="70" s="1"/>
  <c r="AF111" i="34"/>
  <c r="J101" i="70" s="1"/>
  <c r="C101" i="70"/>
  <c r="C35" i="70"/>
  <c r="AF123" i="34"/>
  <c r="J35" i="70" s="1"/>
  <c r="C100" i="70"/>
  <c r="AF109" i="34"/>
  <c r="J100" i="70" s="1"/>
  <c r="AF104" i="34"/>
  <c r="J96" i="70" s="1"/>
  <c r="C96" i="70"/>
  <c r="C116" i="70"/>
  <c r="AF83" i="34"/>
  <c r="J116" i="70" s="1"/>
  <c r="C78" i="70"/>
  <c r="AF26" i="34"/>
  <c r="J78" i="70" s="1"/>
  <c r="C67" i="70"/>
  <c r="AF51" i="34"/>
  <c r="J67" i="70" s="1"/>
  <c r="C84" i="70"/>
  <c r="AF46" i="34"/>
  <c r="J84" i="70" s="1"/>
  <c r="AF40" i="34"/>
  <c r="J23" i="70" s="1"/>
  <c r="C23" i="70"/>
  <c r="AF25" i="34"/>
  <c r="J77" i="70" s="1"/>
  <c r="C77" i="70"/>
  <c r="AF120" i="34"/>
  <c r="J34" i="70" s="1"/>
  <c r="C34" i="70"/>
  <c r="C58" i="70"/>
  <c r="AF86" i="34"/>
  <c r="J58" i="70" s="1"/>
  <c r="C88" i="70"/>
  <c r="AF69" i="34"/>
  <c r="J88" i="70" s="1"/>
  <c r="AF103" i="34"/>
  <c r="J112" i="70" s="1"/>
  <c r="C112" i="70"/>
  <c r="C42" i="70"/>
  <c r="AF114" i="34"/>
  <c r="J42" i="70" s="1"/>
  <c r="C44" i="70"/>
  <c r="AF101" i="34"/>
  <c r="J44" i="70" s="1"/>
  <c r="AF96" i="34"/>
  <c r="J26" i="70" s="1"/>
  <c r="C26" i="70"/>
  <c r="C92" i="70"/>
  <c r="AF74" i="34"/>
  <c r="J92" i="70" s="1"/>
  <c r="AF23" i="34"/>
  <c r="J6" i="70" s="1"/>
  <c r="C6" i="70"/>
  <c r="C76" i="70"/>
  <c r="AF18" i="34"/>
  <c r="J76" i="70" s="1"/>
  <c r="C117" i="70"/>
  <c r="AF43" i="34"/>
  <c r="J117" i="70" s="1"/>
  <c r="AF37" i="34"/>
  <c r="J11" i="70" s="1"/>
  <c r="C11" i="70"/>
  <c r="AF31" i="34"/>
  <c r="J79" i="70" s="1"/>
  <c r="C79" i="70"/>
  <c r="AF17" i="34"/>
  <c r="J48" i="70" s="1"/>
  <c r="C48" i="70"/>
  <c r="C107" i="70"/>
  <c r="AF77" i="34"/>
  <c r="J107" i="70" s="1"/>
  <c r="C20" i="70"/>
  <c r="AF93" i="34"/>
  <c r="J20" i="70" s="1"/>
  <c r="C69" i="70"/>
  <c r="AF66" i="34"/>
  <c r="J69" i="70" s="1"/>
  <c r="C21" i="70"/>
  <c r="AF34" i="34"/>
  <c r="J21" i="70" s="1"/>
  <c r="C45" i="70"/>
  <c r="AF3" i="34"/>
  <c r="J45" i="70" s="1"/>
  <c r="C108" i="70"/>
  <c r="AF116" i="34"/>
  <c r="J108" i="70" s="1"/>
  <c r="AF98" i="34"/>
  <c r="J30" i="70" s="1"/>
  <c r="C30" i="70"/>
  <c r="AF65" i="34"/>
  <c r="J68" i="70" s="1"/>
  <c r="C68" i="70"/>
  <c r="AF24" i="34"/>
  <c r="J9" i="70" s="1"/>
  <c r="C9" i="70"/>
  <c r="C28" i="70"/>
  <c r="AF38" i="34"/>
  <c r="J28" i="70" s="1"/>
  <c r="AF105" i="34"/>
  <c r="J97" i="70" s="1"/>
  <c r="C97" i="70"/>
  <c r="C16" i="70"/>
  <c r="AF90" i="34"/>
  <c r="J16" i="70" s="1"/>
  <c r="C71" i="70"/>
  <c r="AF68" i="34"/>
  <c r="J71" i="70" s="1"/>
  <c r="AF16" i="34"/>
  <c r="J54" i="70" s="1"/>
  <c r="C54" i="70"/>
  <c r="C15" i="70"/>
  <c r="AF29" i="34"/>
  <c r="J15" i="70" s="1"/>
  <c r="AF119" i="34"/>
  <c r="J2" i="70" s="1"/>
  <c r="C2" i="70"/>
  <c r="C52" i="70"/>
  <c r="AF100" i="34"/>
  <c r="J52" i="70" s="1"/>
  <c r="AF73" i="34"/>
  <c r="J91" i="70" s="1"/>
  <c r="C91" i="70"/>
  <c r="C4" i="70"/>
  <c r="AF82" i="34"/>
  <c r="J4" i="70" s="1"/>
  <c r="C59" i="70"/>
  <c r="AF62" i="34"/>
  <c r="J59" i="70" s="1"/>
  <c r="AF107" i="34"/>
  <c r="J98" i="70" s="1"/>
  <c r="C98" i="70"/>
  <c r="C47" i="70"/>
  <c r="AF60" i="34"/>
  <c r="J47" i="70" s="1"/>
  <c r="C13" i="70"/>
  <c r="AF54" i="34"/>
  <c r="J13" i="70" s="1"/>
  <c r="C56" i="70"/>
  <c r="AF21" i="34"/>
  <c r="J56" i="70" s="1"/>
  <c r="AF8" i="34"/>
  <c r="J8" i="70" s="1"/>
  <c r="C8" i="70"/>
  <c r="C70" i="70"/>
  <c r="AF67" i="34"/>
  <c r="J70" i="70" s="1"/>
  <c r="C18" i="70"/>
  <c r="AF6" i="34"/>
  <c r="J18" i="70" s="1"/>
  <c r="C61" i="70"/>
  <c r="AF20" i="34"/>
  <c r="J61" i="70" s="1"/>
  <c r="C39" i="70"/>
  <c r="AF125" i="34"/>
  <c r="J39" i="70" s="1"/>
  <c r="AF88" i="34"/>
  <c r="J32" i="70" s="1"/>
  <c r="C32" i="70"/>
  <c r="C24" i="70"/>
  <c r="AF28" i="34"/>
  <c r="J24" i="70" s="1"/>
  <c r="AF48" i="34"/>
  <c r="J10" i="70" s="1"/>
  <c r="C10" i="70"/>
  <c r="C50" i="70"/>
  <c r="AF85" i="34"/>
  <c r="J50" i="70" s="1"/>
  <c r="AF71" i="34"/>
  <c r="J90" i="70" s="1"/>
  <c r="C90" i="70"/>
  <c r="AF14" i="34"/>
  <c r="J57" i="70" s="1"/>
  <c r="C57" i="70"/>
  <c r="AF113" i="34"/>
  <c r="J37" i="70" s="1"/>
  <c r="C37" i="70"/>
  <c r="C99" i="70"/>
  <c r="AF108" i="34"/>
  <c r="J99" i="70" s="1"/>
  <c r="C63" i="70"/>
  <c r="AF76" i="34"/>
  <c r="J63" i="70" s="1"/>
  <c r="AF63" i="34"/>
  <c r="J65" i="70" s="1"/>
  <c r="C65" i="70"/>
  <c r="C73" i="70"/>
  <c r="AF10" i="34"/>
  <c r="J73" i="70" s="1"/>
  <c r="AF89" i="34"/>
  <c r="J33" i="70" s="1"/>
  <c r="C33" i="70"/>
  <c r="AF72" i="34"/>
  <c r="J36" i="70" s="1"/>
  <c r="C36" i="70"/>
  <c r="C109" i="70"/>
  <c r="AF99" i="34"/>
  <c r="J109" i="70" s="1"/>
  <c r="C83" i="70"/>
  <c r="AF45" i="34"/>
  <c r="J83" i="70" s="1"/>
  <c r="C46" i="70"/>
  <c r="AF13" i="34"/>
  <c r="J46" i="70" s="1"/>
  <c r="AF64" i="34"/>
  <c r="J66" i="70" s="1"/>
  <c r="C66" i="70"/>
  <c r="C41" i="70"/>
  <c r="AF59" i="34"/>
  <c r="J41" i="70" s="1"/>
  <c r="C38" i="70"/>
  <c r="AF44" i="34"/>
  <c r="J38" i="70" s="1"/>
  <c r="C74" i="70"/>
  <c r="AF11" i="34"/>
  <c r="J74" i="70" s="1"/>
  <c r="AF106" i="34"/>
  <c r="J62" i="70" s="1"/>
  <c r="C62" i="70"/>
  <c r="AF9" i="34"/>
  <c r="J31" i="70" s="1"/>
  <c r="C31" i="70"/>
  <c r="AF47" i="34"/>
  <c r="J85" i="70" s="1"/>
  <c r="C85" i="70"/>
  <c r="C43" i="70"/>
  <c r="AF124" i="34"/>
  <c r="J43" i="70" s="1"/>
  <c r="AF87" i="34"/>
  <c r="J55" i="70" s="1"/>
  <c r="C55" i="70"/>
  <c r="AF80" i="34"/>
  <c r="J94" i="70" s="1"/>
  <c r="C94" i="70"/>
  <c r="AF39" i="34"/>
  <c r="J29" i="70" s="1"/>
  <c r="C29" i="70"/>
  <c r="C49" i="70"/>
  <c r="AF19" i="34"/>
  <c r="J49" i="70" s="1"/>
  <c r="AF112" i="34"/>
  <c r="J102" i="70" s="1"/>
  <c r="C102" i="70"/>
  <c r="AF78" i="34"/>
  <c r="J64" i="70" s="1"/>
  <c r="C64" i="70"/>
  <c r="C103" i="70"/>
  <c r="AF115" i="34"/>
  <c r="J103" i="70" s="1"/>
  <c r="C3" i="70"/>
  <c r="AF30" i="34"/>
  <c r="J3" i="70" s="1"/>
  <c r="AF7" i="34"/>
  <c r="J51" i="70" s="1"/>
  <c r="C51" i="70"/>
  <c r="AF127" i="34"/>
  <c r="J113" i="70" s="1"/>
  <c r="C113" i="70"/>
  <c r="AF97" i="34"/>
  <c r="J95" i="70" s="1"/>
  <c r="C95" i="70"/>
  <c r="C12" i="70"/>
  <c r="AF122" i="34"/>
  <c r="J12" i="70" s="1"/>
  <c r="C111" i="70"/>
  <c r="AF110" i="34"/>
  <c r="J111" i="70" s="1"/>
  <c r="C19" i="70"/>
  <c r="AF92" i="34"/>
  <c r="J19" i="70" s="1"/>
  <c r="AF57" i="34"/>
  <c r="J87" i="70" s="1"/>
  <c r="C87" i="70"/>
  <c r="C60" i="70"/>
  <c r="AF61" i="34"/>
  <c r="J60" i="70" s="1"/>
  <c r="C53" i="70"/>
  <c r="AF50" i="34"/>
  <c r="J53" i="70" s="1"/>
  <c r="AF121" i="34"/>
  <c r="J14" i="70" s="1"/>
  <c r="C14" i="70"/>
  <c r="C115" i="70"/>
  <c r="AF102" i="34"/>
  <c r="J115" i="70" s="1"/>
  <c r="AF81" i="34"/>
  <c r="J110" i="70" s="1"/>
  <c r="C110" i="70"/>
  <c r="AF75" i="34"/>
  <c r="J93" i="70" s="1"/>
  <c r="C93" i="70"/>
  <c r="AF56" i="34"/>
  <c r="J86" i="70" s="1"/>
  <c r="C86" i="70"/>
  <c r="C104" i="70"/>
  <c r="AF117" i="34"/>
  <c r="J104" i="70" s="1"/>
  <c r="C27" i="70"/>
  <c r="AF53" i="34"/>
  <c r="J27" i="70" s="1"/>
  <c r="C17" i="70"/>
  <c r="AF91" i="34"/>
  <c r="J17" i="70" s="1"/>
  <c r="AF41" i="34"/>
  <c r="J82" i="70" s="1"/>
  <c r="C82" i="70"/>
  <c r="C81" i="70"/>
  <c r="AF36" i="34"/>
  <c r="J81" i="70" s="1"/>
  <c r="C72" i="70"/>
  <c r="AF5" i="34"/>
  <c r="J72" i="70" s="1"/>
  <c r="AF55" i="34"/>
  <c r="J40" i="70" s="1"/>
  <c r="C40" i="70"/>
  <c r="AF49" i="34"/>
  <c r="J5" i="70" s="1"/>
  <c r="C5" i="70"/>
  <c r="C80" i="70"/>
  <c r="AF35" i="34"/>
  <c r="J80" i="70" s="1"/>
  <c r="AG125" i="50"/>
  <c r="AG99" i="50"/>
  <c r="AG77" i="50"/>
  <c r="AG31" i="50"/>
  <c r="Y131" i="50"/>
  <c r="Y74" i="50"/>
  <c r="Y103" i="50"/>
  <c r="Y32" i="50"/>
  <c r="AK140" i="50"/>
  <c r="AK95" i="50"/>
  <c r="AK19" i="50"/>
  <c r="AC137" i="50"/>
  <c r="AC68" i="50"/>
  <c r="AC26" i="50"/>
  <c r="AG112" i="50"/>
  <c r="AG127" i="50"/>
  <c r="AG28" i="50"/>
  <c r="Y125" i="50"/>
  <c r="Y45" i="50"/>
  <c r="Y88" i="50"/>
  <c r="Y22" i="50"/>
  <c r="AK137" i="50"/>
  <c r="AK100" i="50"/>
  <c r="AK81" i="50"/>
  <c r="AK74" i="50"/>
  <c r="AC123" i="50"/>
  <c r="AC60" i="50"/>
  <c r="AC102" i="50"/>
  <c r="AC72" i="50"/>
  <c r="AG134" i="50"/>
  <c r="AG104" i="50"/>
  <c r="AG74" i="50"/>
  <c r="AG33" i="50"/>
  <c r="AG32" i="50"/>
  <c r="Y120" i="50"/>
  <c r="Y80" i="50"/>
  <c r="Y20" i="50"/>
  <c r="AK110" i="50"/>
  <c r="AK67" i="50"/>
  <c r="AC133" i="50"/>
  <c r="AC114" i="50"/>
  <c r="AC99" i="50"/>
  <c r="AC21" i="50"/>
  <c r="AG111" i="50"/>
  <c r="AG76" i="50"/>
  <c r="Y15" i="50"/>
  <c r="Y112" i="50"/>
  <c r="Y72" i="50"/>
  <c r="T9" i="56" s="1"/>
  <c r="Y61" i="50"/>
  <c r="AK117" i="50"/>
  <c r="AK102" i="50"/>
  <c r="AK75" i="50"/>
  <c r="AK52" i="50"/>
  <c r="AC139" i="50"/>
  <c r="AC109" i="50"/>
  <c r="AC53" i="50"/>
  <c r="AG106" i="50"/>
  <c r="AG67" i="50"/>
  <c r="Y98" i="50"/>
  <c r="AA9" i="56" s="1"/>
  <c r="Y46" i="50"/>
  <c r="Y69" i="50"/>
  <c r="Y19" i="50"/>
  <c r="Y48" i="50"/>
  <c r="AK122" i="50"/>
  <c r="AK109" i="50"/>
  <c r="AK112" i="50"/>
  <c r="AK107" i="50"/>
  <c r="AK94" i="50"/>
  <c r="AK88" i="50"/>
  <c r="AK127" i="50"/>
  <c r="AK62" i="50"/>
  <c r="AK66" i="50"/>
  <c r="AK60" i="50"/>
  <c r="AK55" i="50"/>
  <c r="AK49" i="50"/>
  <c r="AK43" i="50"/>
  <c r="AK47" i="50"/>
  <c r="AK32" i="50"/>
  <c r="AC115" i="50"/>
  <c r="AC132" i="50"/>
  <c r="AC121" i="50"/>
  <c r="AC108" i="50"/>
  <c r="AC103" i="50"/>
  <c r="AC98" i="50"/>
  <c r="AC101" i="50"/>
  <c r="AC87" i="50"/>
  <c r="AC82" i="50"/>
  <c r="AC77" i="50"/>
  <c r="AC31" i="50"/>
  <c r="AC20" i="50"/>
  <c r="AC45" i="50"/>
  <c r="AC33" i="50"/>
  <c r="AG124" i="50"/>
  <c r="AG110" i="50"/>
  <c r="AG83" i="50"/>
  <c r="AG26" i="50"/>
  <c r="Y63" i="50"/>
  <c r="Y94" i="50"/>
  <c r="Y42" i="50"/>
  <c r="Y18" i="50"/>
  <c r="AK126" i="50"/>
  <c r="AK27" i="50"/>
  <c r="AK79" i="50"/>
  <c r="AC124" i="50"/>
  <c r="AC134" i="50"/>
  <c r="AC110" i="50"/>
  <c r="AC36" i="50"/>
  <c r="AG109" i="50"/>
  <c r="AG88" i="50"/>
  <c r="AG75" i="50"/>
  <c r="AG19" i="50"/>
  <c r="Y117" i="50"/>
  <c r="Y85" i="50"/>
  <c r="Y33" i="50"/>
  <c r="Y23" i="50"/>
  <c r="AK132" i="50"/>
  <c r="AK86" i="50"/>
  <c r="AK76" i="50"/>
  <c r="AC122" i="50"/>
  <c r="AC73" i="50"/>
  <c r="AC107" i="50"/>
  <c r="AC30" i="50"/>
  <c r="AG122" i="50"/>
  <c r="AG94" i="50"/>
  <c r="AG72" i="50"/>
  <c r="AG79" i="50"/>
  <c r="Y114" i="50"/>
  <c r="Y53" i="50"/>
  <c r="Y86" i="50"/>
  <c r="Y35" i="50"/>
  <c r="AK125" i="50"/>
  <c r="AK105" i="50"/>
  <c r="AK83" i="50"/>
  <c r="AK61" i="50"/>
  <c r="AC119" i="50"/>
  <c r="AC65" i="50"/>
  <c r="AC94" i="50"/>
  <c r="AC19" i="50"/>
  <c r="AG93" i="50"/>
  <c r="AG73" i="50"/>
  <c r="AG25" i="50"/>
  <c r="AG56" i="50"/>
  <c r="Y101" i="50"/>
  <c r="Y135" i="50"/>
  <c r="Y78" i="50"/>
  <c r="Y27" i="50"/>
  <c r="AK120" i="50"/>
  <c r="AK136" i="50"/>
  <c r="AK58" i="50"/>
  <c r="AC116" i="50"/>
  <c r="AC106" i="50"/>
  <c r="AC40" i="50"/>
  <c r="AG82" i="50"/>
  <c r="AG68" i="50"/>
  <c r="AG103" i="50"/>
  <c r="AG48" i="50"/>
  <c r="AG61" i="50"/>
  <c r="Y137" i="50"/>
  <c r="Y107" i="50"/>
  <c r="Y55" i="50"/>
  <c r="AG132" i="50"/>
  <c r="AG121" i="50"/>
  <c r="AG63" i="50"/>
  <c r="Y133" i="50"/>
  <c r="Y116" i="50"/>
  <c r="Y43" i="50"/>
  <c r="AK114" i="50"/>
  <c r="AK99" i="50"/>
  <c r="AD12" i="63" s="1"/>
  <c r="AK119" i="50"/>
  <c r="AK51" i="50"/>
  <c r="AK34" i="50"/>
  <c r="AC140" i="50"/>
  <c r="AC95" i="50"/>
  <c r="AC79" i="50"/>
  <c r="AC61" i="50"/>
  <c r="AC22" i="50"/>
  <c r="AC50" i="50"/>
  <c r="AC25" i="50"/>
  <c r="AG120" i="50"/>
  <c r="AG92" i="50"/>
  <c r="AG51" i="50"/>
  <c r="AG50" i="50"/>
  <c r="Y58" i="50"/>
  <c r="Y97" i="50"/>
  <c r="Y31" i="50"/>
  <c r="AK89" i="50"/>
  <c r="AK121" i="50"/>
  <c r="AK30" i="50"/>
  <c r="AK82" i="50"/>
  <c r="AC88" i="50"/>
  <c r="AC59" i="50"/>
  <c r="AC67" i="50"/>
  <c r="AC23" i="50"/>
  <c r="AG139" i="50"/>
  <c r="AG90" i="50"/>
  <c r="AG42" i="50"/>
  <c r="AG41" i="50"/>
  <c r="Y132" i="50"/>
  <c r="Y83" i="50"/>
  <c r="AK15" i="50"/>
  <c r="AK118" i="50"/>
  <c r="AK21" i="50"/>
  <c r="AK59" i="50"/>
  <c r="AC80" i="50"/>
  <c r="AC112" i="50"/>
  <c r="AC17" i="50"/>
  <c r="AG85" i="50"/>
  <c r="AG66" i="50"/>
  <c r="AG18" i="50"/>
  <c r="Y109" i="50"/>
  <c r="Y77" i="50"/>
  <c r="Y25" i="50"/>
  <c r="F9" i="56" s="1"/>
  <c r="AK139" i="50"/>
  <c r="AK128" i="50"/>
  <c r="AK92" i="50"/>
  <c r="AK78" i="50"/>
  <c r="AK50" i="50"/>
  <c r="AC69" i="50"/>
  <c r="AC104" i="50"/>
  <c r="AC37" i="50"/>
  <c r="AG114" i="50"/>
  <c r="AG84" i="50"/>
  <c r="AG57" i="50"/>
  <c r="AG71" i="50"/>
  <c r="Y106" i="50"/>
  <c r="Y68" i="50"/>
  <c r="Y17" i="50"/>
  <c r="AK131" i="50"/>
  <c r="AK97" i="50"/>
  <c r="AK69" i="50"/>
  <c r="AK41" i="50"/>
  <c r="AC129" i="50"/>
  <c r="AC56" i="50"/>
  <c r="AC90" i="50"/>
  <c r="AC29" i="50"/>
  <c r="AG87" i="50"/>
  <c r="AG129" i="50"/>
  <c r="AG17" i="50"/>
  <c r="Y140" i="50"/>
  <c r="Y104" i="50"/>
  <c r="Y36" i="50"/>
  <c r="AG98" i="50"/>
  <c r="AG123" i="50"/>
  <c r="AG116" i="50"/>
  <c r="AG45" i="50"/>
  <c r="AG52" i="50"/>
  <c r="AG30" i="50"/>
  <c r="AG117" i="50"/>
  <c r="AG97" i="50"/>
  <c r="AG36" i="50"/>
  <c r="Y134" i="50"/>
  <c r="Y71" i="50"/>
  <c r="Y92" i="50"/>
  <c r="Y56" i="50"/>
  <c r="AK80" i="50"/>
  <c r="AK108" i="50"/>
  <c r="AK25" i="50"/>
  <c r="F12" i="63" s="1"/>
  <c r="AK68" i="50"/>
  <c r="AC131" i="50"/>
  <c r="AC75" i="50"/>
  <c r="AC47" i="50"/>
  <c r="AC38" i="50"/>
  <c r="AG131" i="50"/>
  <c r="AG102" i="50"/>
  <c r="AG80" i="50"/>
  <c r="AG22" i="50"/>
  <c r="Y122" i="50"/>
  <c r="Y65" i="50"/>
  <c r="Y95" i="50"/>
  <c r="Y47" i="50"/>
  <c r="AK134" i="50"/>
  <c r="AK113" i="50"/>
  <c r="AK18" i="50"/>
  <c r="AK71" i="50"/>
  <c r="AC120" i="50"/>
  <c r="AC125" i="50"/>
  <c r="AC58" i="50"/>
  <c r="AC28" i="50"/>
  <c r="AG101" i="50"/>
  <c r="AG119" i="50"/>
  <c r="AG20" i="50"/>
  <c r="Y124" i="50"/>
  <c r="Y123" i="50"/>
  <c r="Y75" i="50"/>
  <c r="Y37" i="50"/>
  <c r="AK123" i="50"/>
  <c r="AK77" i="50"/>
  <c r="AK73" i="50"/>
  <c r="AK65" i="50"/>
  <c r="AC138" i="50"/>
  <c r="AC117" i="50"/>
  <c r="AC49" i="50"/>
  <c r="AC62" i="50"/>
  <c r="AG133" i="50"/>
  <c r="AG69" i="50"/>
  <c r="AG62" i="50"/>
  <c r="AG23" i="50"/>
  <c r="Y115" i="50"/>
  <c r="Y66" i="50"/>
  <c r="Y29" i="50"/>
  <c r="AK115" i="50"/>
  <c r="AK72" i="50"/>
  <c r="AK63" i="50"/>
  <c r="AK56" i="50"/>
  <c r="AC57" i="50"/>
  <c r="AC85" i="50"/>
  <c r="AC42" i="50"/>
  <c r="AG140" i="50"/>
  <c r="AG65" i="50"/>
  <c r="AG53" i="50"/>
  <c r="AG47" i="50"/>
  <c r="Y93" i="50"/>
  <c r="Y126" i="50"/>
  <c r="Y62" i="50"/>
  <c r="Y52" i="50"/>
  <c r="AG81" i="50"/>
  <c r="AG135" i="50"/>
  <c r="AG95" i="50"/>
  <c r="AG38" i="50"/>
  <c r="AG58" i="50"/>
  <c r="AG37" i="50"/>
  <c r="Y129" i="50"/>
  <c r="Y89" i="50"/>
  <c r="Y84" i="50"/>
  <c r="Y99" i="50"/>
  <c r="Y118" i="50"/>
  <c r="Y121" i="50"/>
  <c r="Y127" i="50"/>
  <c r="Y57" i="50"/>
  <c r="Y28" i="50"/>
  <c r="Y59" i="50"/>
  <c r="Y38" i="50"/>
  <c r="AK101" i="50"/>
  <c r="AK104" i="50"/>
  <c r="AK85" i="50"/>
  <c r="AK133" i="50"/>
  <c r="AK53" i="50"/>
  <c r="AK57" i="50"/>
  <c r="AK46" i="50"/>
  <c r="AK40" i="50"/>
  <c r="AK37" i="50"/>
  <c r="AK23" i="50"/>
  <c r="AC135" i="50"/>
  <c r="AC113" i="50"/>
  <c r="AC100" i="50"/>
  <c r="AC89" i="50"/>
  <c r="AC93" i="50"/>
  <c r="AC74" i="50"/>
  <c r="AC35" i="50"/>
  <c r="AG138" i="50"/>
  <c r="AG89" i="50"/>
  <c r="AG137" i="50"/>
  <c r="AG115" i="50"/>
  <c r="AG126" i="50"/>
  <c r="AG113" i="50"/>
  <c r="AG108" i="50"/>
  <c r="AG86" i="50"/>
  <c r="AG35" i="50"/>
  <c r="AG55" i="50"/>
  <c r="AG49" i="50"/>
  <c r="AG43" i="50"/>
  <c r="AG29" i="50"/>
  <c r="Y136" i="50"/>
  <c r="Y128" i="50"/>
  <c r="Y81" i="50"/>
  <c r="Y76" i="50"/>
  <c r="Y87" i="50"/>
  <c r="Y90" i="50"/>
  <c r="Y110" i="50"/>
  <c r="Y113" i="50"/>
  <c r="Y108" i="50"/>
  <c r="Y119" i="50"/>
  <c r="Y60" i="50"/>
  <c r="Y49" i="50"/>
  <c r="Y34" i="50"/>
  <c r="Y50" i="50"/>
  <c r="Y30" i="50"/>
  <c r="AK106" i="50"/>
  <c r="AK93" i="50"/>
  <c r="AK90" i="50"/>
  <c r="AK138" i="50"/>
  <c r="AK124" i="50"/>
  <c r="AK111" i="50"/>
  <c r="AK45" i="50"/>
  <c r="AK48" i="50"/>
  <c r="AK42" i="50"/>
  <c r="AK36" i="50"/>
  <c r="AK31" i="50"/>
  <c r="AK26" i="50"/>
  <c r="AK29" i="50"/>
  <c r="AC15" i="50"/>
  <c r="AC128" i="50"/>
  <c r="AC127" i="50"/>
  <c r="AC105" i="50"/>
  <c r="AC92" i="50"/>
  <c r="AC86" i="50"/>
  <c r="AC81" i="50"/>
  <c r="AC84" i="50"/>
  <c r="AC71" i="50"/>
  <c r="AC66" i="50"/>
  <c r="AC52" i="50"/>
  <c r="AC43" i="50"/>
  <c r="AC41" i="50"/>
  <c r="AC27" i="50"/>
  <c r="AC55" i="50"/>
  <c r="AG15" i="50"/>
  <c r="AG136" i="50"/>
  <c r="AG60" i="50"/>
  <c r="AG128" i="50"/>
  <c r="AG107" i="50"/>
  <c r="AG118" i="50"/>
  <c r="AG105" i="50"/>
  <c r="AG100" i="50"/>
  <c r="AG78" i="50"/>
  <c r="AG27" i="50"/>
  <c r="AG21" i="50"/>
  <c r="AG46" i="50"/>
  <c r="AG40" i="50"/>
  <c r="AG34" i="50"/>
  <c r="AG59" i="50"/>
  <c r="Y138" i="50"/>
  <c r="Y139" i="50"/>
  <c r="Y73" i="50"/>
  <c r="Y67" i="50"/>
  <c r="Y79" i="50"/>
  <c r="Y82" i="50"/>
  <c r="Y102" i="50"/>
  <c r="Y105" i="50"/>
  <c r="Y100" i="50"/>
  <c r="Y111" i="50"/>
  <c r="Y51" i="50"/>
  <c r="Y40" i="50"/>
  <c r="Y26" i="50"/>
  <c r="M9" i="56" s="1"/>
  <c r="Y41" i="50"/>
  <c r="Y21" i="50"/>
  <c r="AK98" i="50"/>
  <c r="AA12" i="56" s="1"/>
  <c r="AK84" i="50"/>
  <c r="AK87" i="50"/>
  <c r="AK135" i="50"/>
  <c r="AK129" i="50"/>
  <c r="AK116" i="50"/>
  <c r="AK103" i="50"/>
  <c r="AK35" i="50"/>
  <c r="AK38" i="50"/>
  <c r="AK33" i="50"/>
  <c r="AK28" i="50"/>
  <c r="AK22" i="50"/>
  <c r="AK17" i="50"/>
  <c r="AK20" i="50"/>
  <c r="AL12" i="63" s="1"/>
  <c r="AC126" i="50"/>
  <c r="AC136" i="50"/>
  <c r="AC111" i="50"/>
  <c r="AC97" i="50"/>
  <c r="AC83" i="50"/>
  <c r="AC78" i="50"/>
  <c r="AC63" i="50"/>
  <c r="AC76" i="50"/>
  <c r="AC48" i="50"/>
  <c r="AC118" i="50"/>
  <c r="AC51" i="50"/>
  <c r="AC34" i="50"/>
  <c r="AC32" i="50"/>
  <c r="AC18" i="50"/>
  <c r="AC46" i="50"/>
  <c r="X75" i="48"/>
  <c r="Y75" i="48" s="1"/>
  <c r="W78" i="50" s="1"/>
  <c r="AB10" i="9"/>
  <c r="AB13" i="9" s="1"/>
  <c r="AD10" i="9"/>
  <c r="AD13" i="9" s="1"/>
  <c r="X135" i="48"/>
  <c r="Y135" i="48" s="1"/>
  <c r="W138" i="50" s="1"/>
  <c r="X102" i="48"/>
  <c r="Y102" i="48" s="1"/>
  <c r="W105" i="50" s="1"/>
  <c r="X29" i="48"/>
  <c r="Y29" i="48" s="1"/>
  <c r="W32" i="50" s="1"/>
  <c r="X42" i="48"/>
  <c r="Y42" i="48" s="1"/>
  <c r="W45" i="50" s="1"/>
  <c r="X101" i="48"/>
  <c r="Y101" i="48" s="1"/>
  <c r="W104" i="50" s="1"/>
  <c r="X27" i="48"/>
  <c r="Y27" i="48" s="1"/>
  <c r="W30" i="50" s="1"/>
  <c r="X115" i="48"/>
  <c r="Y115" i="48" s="1"/>
  <c r="W118" i="50" s="1"/>
  <c r="X65" i="48"/>
  <c r="Y65" i="48" s="1"/>
  <c r="W68" i="50" s="1"/>
  <c r="X84" i="48"/>
  <c r="Y84" i="48" s="1"/>
  <c r="W87" i="50" s="1"/>
  <c r="X132" i="48"/>
  <c r="Y132" i="48" s="1"/>
  <c r="W135" i="50" s="1"/>
  <c r="X118" i="48"/>
  <c r="Y118" i="48" s="1"/>
  <c r="W121" i="50" s="1"/>
  <c r="X58" i="48"/>
  <c r="Y58" i="48" s="1"/>
  <c r="W61" i="50" s="1"/>
  <c r="X99" i="48"/>
  <c r="Y99" i="48" s="1"/>
  <c r="W102" i="50" s="1"/>
  <c r="X85" i="48"/>
  <c r="Y85" i="48" s="1"/>
  <c r="W88" i="50" s="1"/>
  <c r="X124" i="48"/>
  <c r="Y124" i="48" s="1"/>
  <c r="W127" i="50" s="1"/>
  <c r="X82" i="48"/>
  <c r="Y82" i="48" s="1"/>
  <c r="W85" i="50" s="1"/>
  <c r="X69" i="48"/>
  <c r="Y69" i="48" s="1"/>
  <c r="W72" i="50" s="1"/>
  <c r="X10" i="63" s="1"/>
  <c r="X108" i="48"/>
  <c r="Y108" i="48" s="1"/>
  <c r="W111" i="50" s="1"/>
  <c r="X47" i="48"/>
  <c r="Y47" i="48" s="1"/>
  <c r="W50" i="50" s="1"/>
  <c r="X24" i="48"/>
  <c r="Y24" i="48" s="1"/>
  <c r="W27" i="50" s="1"/>
  <c r="X125" i="48"/>
  <c r="Y125" i="48" s="1"/>
  <c r="W128" i="50" s="1"/>
  <c r="X123" i="48"/>
  <c r="Y123" i="48" s="1"/>
  <c r="W126" i="50" s="1"/>
  <c r="X91" i="48"/>
  <c r="Y91" i="48" s="1"/>
  <c r="W94" i="50" s="1"/>
  <c r="X56" i="48"/>
  <c r="Y56" i="48" s="1"/>
  <c r="W59" i="50" s="1"/>
  <c r="X20" i="48"/>
  <c r="Y20" i="48" s="1"/>
  <c r="W23" i="50" s="1"/>
  <c r="X110" i="48"/>
  <c r="Y110" i="48" s="1"/>
  <c r="W113" i="50" s="1"/>
  <c r="X77" i="48"/>
  <c r="Y77" i="48" s="1"/>
  <c r="W80" i="50" s="1"/>
  <c r="X32" i="48"/>
  <c r="Y32" i="48" s="1"/>
  <c r="W35" i="50" s="1"/>
  <c r="X117" i="48"/>
  <c r="Y117" i="48" s="1"/>
  <c r="W120" i="50" s="1"/>
  <c r="X68" i="48"/>
  <c r="Y68" i="48" s="1"/>
  <c r="W71" i="50" s="1"/>
  <c r="X18" i="48"/>
  <c r="Y18" i="48" s="1"/>
  <c r="W21" i="50" s="1"/>
  <c r="X83" i="48"/>
  <c r="Y83" i="48" s="1"/>
  <c r="W86" i="50" s="1"/>
  <c r="X30" i="48"/>
  <c r="Y30" i="48" s="1"/>
  <c r="W33" i="50" s="1"/>
  <c r="X119" i="48"/>
  <c r="Y119" i="48" s="1"/>
  <c r="W122" i="50" s="1"/>
  <c r="X86" i="48"/>
  <c r="Y86" i="48" s="1"/>
  <c r="W89" i="50" s="1"/>
  <c r="X52" i="48"/>
  <c r="Y52" i="48" s="1"/>
  <c r="W55" i="50" s="1"/>
  <c r="X16" i="48"/>
  <c r="Y16" i="48" s="1"/>
  <c r="W19" i="50" s="1"/>
  <c r="X106" i="48"/>
  <c r="Y106" i="48" s="1"/>
  <c r="W109" i="50" s="1"/>
  <c r="X73" i="48"/>
  <c r="Y73" i="48" s="1"/>
  <c r="W76" i="50" s="1"/>
  <c r="X28" i="48"/>
  <c r="Y28" i="48" s="1"/>
  <c r="W31" i="50" s="1"/>
  <c r="X113" i="48"/>
  <c r="Y113" i="48" s="1"/>
  <c r="W116" i="50" s="1"/>
  <c r="X63" i="48"/>
  <c r="Y63" i="48" s="1"/>
  <c r="W66" i="50" s="1"/>
  <c r="X14" i="48"/>
  <c r="Y14" i="48" s="1"/>
  <c r="W17" i="50" s="1"/>
  <c r="X79" i="48"/>
  <c r="Y79" i="48" s="1"/>
  <c r="W82" i="50" s="1"/>
  <c r="X111" i="48"/>
  <c r="Y111" i="48" s="1"/>
  <c r="W114" i="50" s="1"/>
  <c r="X78" i="48"/>
  <c r="Y78" i="48" s="1"/>
  <c r="W81" i="50" s="1"/>
  <c r="X43" i="48"/>
  <c r="Y43" i="48" s="1"/>
  <c r="W46" i="50" s="1"/>
  <c r="X131" i="48"/>
  <c r="Y131" i="48" s="1"/>
  <c r="W134" i="50" s="1"/>
  <c r="X98" i="48"/>
  <c r="Y98" i="48" s="1"/>
  <c r="W101" i="50" s="1"/>
  <c r="X64" i="48"/>
  <c r="Y64" i="48" s="1"/>
  <c r="W67" i="50" s="1"/>
  <c r="X19" i="48"/>
  <c r="Y19" i="48" s="1"/>
  <c r="W22" i="50" s="1"/>
  <c r="X97" i="48"/>
  <c r="Y97" i="48" s="1"/>
  <c r="W100" i="50" s="1"/>
  <c r="X54" i="48"/>
  <c r="Y54" i="48" s="1"/>
  <c r="W57" i="50" s="1"/>
  <c r="X120" i="48"/>
  <c r="Y120" i="48" s="1"/>
  <c r="W123" i="50" s="1"/>
  <c r="X71" i="48"/>
  <c r="Y71" i="48" s="1"/>
  <c r="W74" i="50" s="1"/>
  <c r="X107" i="48"/>
  <c r="Y107" i="48" s="1"/>
  <c r="W110" i="50" s="1"/>
  <c r="X74" i="48"/>
  <c r="Y74" i="48" s="1"/>
  <c r="W77" i="50" s="1"/>
  <c r="X38" i="48"/>
  <c r="Y38" i="48" s="1"/>
  <c r="W41" i="50" s="1"/>
  <c r="X126" i="48"/>
  <c r="Y126" i="48" s="1"/>
  <c r="W129" i="50" s="1"/>
  <c r="X94" i="48"/>
  <c r="Y94" i="48" s="1"/>
  <c r="W97" i="50" s="1"/>
  <c r="X59" i="48"/>
  <c r="Y59" i="48" s="1"/>
  <c r="W62" i="50" s="1"/>
  <c r="X134" i="48"/>
  <c r="Y134" i="48" s="1"/>
  <c r="W137" i="50" s="1"/>
  <c r="X49" i="48"/>
  <c r="Y49" i="48" s="1"/>
  <c r="W52" i="50" s="1"/>
  <c r="X116" i="48"/>
  <c r="Y116" i="48" s="1"/>
  <c r="W119" i="50" s="1"/>
  <c r="X22" i="48"/>
  <c r="Y22" i="48" s="1"/>
  <c r="W25" i="50" s="1"/>
  <c r="H10" i="63" s="1"/>
  <c r="X136" i="48"/>
  <c r="Y136" i="48" s="1"/>
  <c r="W139" i="50" s="1"/>
  <c r="X103" i="48"/>
  <c r="Y103" i="48" s="1"/>
  <c r="W106" i="50" s="1"/>
  <c r="X70" i="48"/>
  <c r="Y70" i="48" s="1"/>
  <c r="W73" i="50" s="1"/>
  <c r="X33" i="48"/>
  <c r="Y33" i="48" s="1"/>
  <c r="W36" i="50" s="1"/>
  <c r="X122" i="48"/>
  <c r="Y122" i="48" s="1"/>
  <c r="W125" i="50" s="1"/>
  <c r="X90" i="48"/>
  <c r="Y90" i="48" s="1"/>
  <c r="W93" i="50" s="1"/>
  <c r="X55" i="48"/>
  <c r="Y55" i="48" s="1"/>
  <c r="W58" i="50" s="1"/>
  <c r="X130" i="48"/>
  <c r="Y130" i="48" s="1"/>
  <c r="W133" i="50" s="1"/>
  <c r="X89" i="48"/>
  <c r="Y89" i="48" s="1"/>
  <c r="W92" i="50" s="1"/>
  <c r="X31" i="48"/>
  <c r="Y31" i="48" s="1"/>
  <c r="W34" i="50" s="1"/>
  <c r="X112" i="48"/>
  <c r="Y112" i="48" s="1"/>
  <c r="W115" i="50" s="1"/>
  <c r="X17" i="48"/>
  <c r="Y17" i="48" s="1"/>
  <c r="W20" i="50" s="1"/>
  <c r="X128" i="48"/>
  <c r="Y128" i="48" s="1"/>
  <c r="W131" i="50" s="1"/>
  <c r="X95" i="48"/>
  <c r="Y95" i="48" s="1"/>
  <c r="W98" i="50" s="1"/>
  <c r="AC8" i="56" s="1"/>
  <c r="X60" i="48"/>
  <c r="Y60" i="48" s="1"/>
  <c r="W63" i="50" s="1"/>
  <c r="X25" i="48"/>
  <c r="Y25" i="48" s="1"/>
  <c r="W28" i="50" s="1"/>
  <c r="X114" i="48"/>
  <c r="Y114" i="48" s="1"/>
  <c r="W117" i="50" s="1"/>
  <c r="X81" i="48"/>
  <c r="Y81" i="48" s="1"/>
  <c r="W84" i="50" s="1"/>
  <c r="X37" i="48"/>
  <c r="Y37" i="48" s="1"/>
  <c r="W40" i="50" s="1"/>
  <c r="X121" i="48"/>
  <c r="Y121" i="48" s="1"/>
  <c r="W124" i="50" s="1"/>
  <c r="X80" i="48"/>
  <c r="Y80" i="48" s="1"/>
  <c r="W83" i="50" s="1"/>
  <c r="X23" i="48"/>
  <c r="Y23" i="48" s="1"/>
  <c r="W26" i="50" s="1"/>
  <c r="P10" i="63" s="1"/>
  <c r="X26" i="48"/>
  <c r="Y26" i="48" s="1"/>
  <c r="W29" i="50" s="1"/>
  <c r="X45" i="48"/>
  <c r="Y45" i="48" s="1"/>
  <c r="W48" i="50" s="1"/>
  <c r="X137" i="48"/>
  <c r="Y137" i="48" s="1"/>
  <c r="W140" i="50" s="1"/>
  <c r="X104" i="48"/>
  <c r="Y104" i="48" s="1"/>
  <c r="W107" i="50" s="1"/>
  <c r="X62" i="48"/>
  <c r="Y62" i="48" s="1"/>
  <c r="W65" i="50" s="1"/>
  <c r="X50" i="48"/>
  <c r="Y50" i="48" s="1"/>
  <c r="W53" i="50" s="1"/>
  <c r="X15" i="48"/>
  <c r="Y15" i="48" s="1"/>
  <c r="W18" i="50" s="1"/>
  <c r="X109" i="48"/>
  <c r="Y109" i="48" s="1"/>
  <c r="W112" i="50" s="1"/>
  <c r="X76" i="48"/>
  <c r="Y76" i="48" s="1"/>
  <c r="W79" i="50" s="1"/>
  <c r="X40" i="48"/>
  <c r="Y40" i="48" s="1"/>
  <c r="W43" i="50" s="1"/>
  <c r="X133" i="48"/>
  <c r="Y133" i="48" s="1"/>
  <c r="W136" i="50" s="1"/>
  <c r="X96" i="48"/>
  <c r="Y96" i="48" s="1"/>
  <c r="W99" i="50" s="1"/>
  <c r="AF10" i="63" s="1"/>
  <c r="X57" i="48"/>
  <c r="Y57" i="48" s="1"/>
  <c r="W60" i="50" s="1"/>
  <c r="X46" i="48"/>
  <c r="Y46" i="48" s="1"/>
  <c r="W49" i="50" s="1"/>
  <c r="X12" i="48"/>
  <c r="Y12" i="48" s="1"/>
  <c r="W15" i="50" s="1"/>
  <c r="X105" i="48"/>
  <c r="Y105" i="48" s="1"/>
  <c r="W108" i="50" s="1"/>
  <c r="X72" i="48"/>
  <c r="Y72" i="48" s="1"/>
  <c r="W75" i="50" s="1"/>
  <c r="X35" i="48"/>
  <c r="Y35" i="48" s="1"/>
  <c r="W38" i="50" s="1"/>
  <c r="X129" i="48"/>
  <c r="Y129" i="48" s="1"/>
  <c r="W132" i="50" s="1"/>
  <c r="X92" i="48"/>
  <c r="Y92" i="48" s="1"/>
  <c r="W95" i="50" s="1"/>
  <c r="X44" i="48"/>
  <c r="Y44" i="48" s="1"/>
  <c r="W47" i="50" s="1"/>
  <c r="X53" i="48"/>
  <c r="Y53" i="48" s="1"/>
  <c r="W56" i="50" s="1"/>
  <c r="X48" i="48"/>
  <c r="Y48" i="48" s="1"/>
  <c r="W51" i="50" s="1"/>
  <c r="X128" i="44"/>
  <c r="Y128" i="44" s="1"/>
  <c r="O131" i="50" s="1"/>
  <c r="X56" i="44"/>
  <c r="Y56" i="44" s="1"/>
  <c r="O59" i="50" s="1"/>
  <c r="X39" i="48"/>
  <c r="Y39" i="48" s="1"/>
  <c r="W42" i="50" s="1"/>
  <c r="X34" i="48"/>
  <c r="Y34" i="48" s="1"/>
  <c r="W37" i="50" s="1"/>
  <c r="X100" i="48"/>
  <c r="Y100" i="48" s="1"/>
  <c r="W103" i="50" s="1"/>
  <c r="X66" i="48"/>
  <c r="Y66" i="48" s="1"/>
  <c r="W69" i="50" s="1"/>
  <c r="X125" i="33"/>
  <c r="Y125" i="33" s="1"/>
  <c r="AA128" i="50" s="1"/>
  <c r="X30" i="44"/>
  <c r="Y30" i="44" s="1"/>
  <c r="O33" i="50" s="1"/>
  <c r="X73" i="44"/>
  <c r="Y73" i="44" s="1"/>
  <c r="O76" i="50" s="1"/>
  <c r="X30" i="33"/>
  <c r="Y30" i="33" s="1"/>
  <c r="AA33" i="50" s="1"/>
  <c r="X16" i="33"/>
  <c r="Y16" i="33" s="1"/>
  <c r="AA19" i="50" s="1"/>
  <c r="X48" i="33"/>
  <c r="Y48" i="33" s="1"/>
  <c r="AA51" i="50" s="1"/>
  <c r="X33" i="33"/>
  <c r="Y33" i="33" s="1"/>
  <c r="AA36" i="50" s="1"/>
  <c r="X19" i="33"/>
  <c r="Y19" i="33" s="1"/>
  <c r="AA22" i="50" s="1"/>
  <c r="X136" i="33"/>
  <c r="Y136" i="33" s="1"/>
  <c r="AA139" i="50" s="1"/>
  <c r="X122" i="33"/>
  <c r="Y122" i="33" s="1"/>
  <c r="AA125" i="50" s="1"/>
  <c r="X109" i="33"/>
  <c r="Y109" i="33" s="1"/>
  <c r="AA112" i="50" s="1"/>
  <c r="X133" i="33"/>
  <c r="Y133" i="33" s="1"/>
  <c r="AA136" i="50" s="1"/>
  <c r="X119" i="33"/>
  <c r="Y119" i="33" s="1"/>
  <c r="AA122" i="50" s="1"/>
  <c r="X106" i="33"/>
  <c r="Y106" i="33" s="1"/>
  <c r="AA109" i="50" s="1"/>
  <c r="X116" i="33"/>
  <c r="Y116" i="33" s="1"/>
  <c r="AA119" i="50" s="1"/>
  <c r="X103" i="33"/>
  <c r="Y103" i="33" s="1"/>
  <c r="AA106" i="50" s="1"/>
  <c r="X90" i="33"/>
  <c r="Y90" i="33" s="1"/>
  <c r="AA93" i="50" s="1"/>
  <c r="X76" i="33"/>
  <c r="Y76" i="33" s="1"/>
  <c r="AA79" i="50" s="1"/>
  <c r="X100" i="33"/>
  <c r="Y100" i="33" s="1"/>
  <c r="AA103" i="50" s="1"/>
  <c r="X86" i="33"/>
  <c r="Y86" i="33" s="1"/>
  <c r="AA89" i="50" s="1"/>
  <c r="X73" i="33"/>
  <c r="Y73" i="33" s="1"/>
  <c r="AA76" i="50" s="1"/>
  <c r="X58" i="33"/>
  <c r="Y58" i="33" s="1"/>
  <c r="AA61" i="50" s="1"/>
  <c r="X83" i="33"/>
  <c r="Y83" i="33" s="1"/>
  <c r="AA86" i="50" s="1"/>
  <c r="X70" i="33"/>
  <c r="Y70" i="33" s="1"/>
  <c r="AA73" i="50" s="1"/>
  <c r="X55" i="33"/>
  <c r="Y55" i="33" s="1"/>
  <c r="AA58" i="50" s="1"/>
  <c r="X40" i="33"/>
  <c r="Y40" i="33" s="1"/>
  <c r="AA43" i="50" s="1"/>
  <c r="X66" i="33"/>
  <c r="Y66" i="33" s="1"/>
  <c r="AA69" i="50" s="1"/>
  <c r="X52" i="33"/>
  <c r="Y52" i="33" s="1"/>
  <c r="AA55" i="50" s="1"/>
  <c r="X37" i="33"/>
  <c r="Y37" i="33" s="1"/>
  <c r="AA40" i="50" s="1"/>
  <c r="X23" i="33"/>
  <c r="Y23" i="33" s="1"/>
  <c r="AA26" i="50" s="1"/>
  <c r="O9" i="56" s="1"/>
  <c r="X14" i="47"/>
  <c r="Y14" i="47" s="1"/>
  <c r="AM17" i="50" s="1"/>
  <c r="X18" i="47"/>
  <c r="Y18" i="47" s="1"/>
  <c r="AM21" i="50" s="1"/>
  <c r="X23" i="47"/>
  <c r="Y23" i="47" s="1"/>
  <c r="AM26" i="50" s="1"/>
  <c r="X27" i="47"/>
  <c r="Y27" i="47" s="1"/>
  <c r="AM30" i="50" s="1"/>
  <c r="X31" i="47"/>
  <c r="Y31" i="47" s="1"/>
  <c r="AM34" i="50" s="1"/>
  <c r="X35" i="47"/>
  <c r="Y35" i="47" s="1"/>
  <c r="AM38" i="50" s="1"/>
  <c r="X40" i="47"/>
  <c r="Y40" i="47" s="1"/>
  <c r="AM43" i="50" s="1"/>
  <c r="X45" i="47"/>
  <c r="Y45" i="47" s="1"/>
  <c r="AM48" i="50" s="1"/>
  <c r="X49" i="47"/>
  <c r="Y49" i="47" s="1"/>
  <c r="AM52" i="50" s="1"/>
  <c r="X54" i="47"/>
  <c r="Y54" i="47" s="1"/>
  <c r="AM57" i="50" s="1"/>
  <c r="X58" i="47"/>
  <c r="Y58" i="47" s="1"/>
  <c r="AM61" i="50" s="1"/>
  <c r="X63" i="47"/>
  <c r="Y63" i="47" s="1"/>
  <c r="AM66" i="50" s="1"/>
  <c r="X68" i="47"/>
  <c r="Y68" i="47" s="1"/>
  <c r="AM71" i="50" s="1"/>
  <c r="X72" i="47"/>
  <c r="Y72" i="47" s="1"/>
  <c r="AM75" i="50" s="1"/>
  <c r="X76" i="47"/>
  <c r="Y76" i="47" s="1"/>
  <c r="AM79" i="50" s="1"/>
  <c r="X80" i="47"/>
  <c r="Y80" i="47" s="1"/>
  <c r="AM83" i="50" s="1"/>
  <c r="X84" i="47"/>
  <c r="Y84" i="47" s="1"/>
  <c r="AM87" i="50" s="1"/>
  <c r="X89" i="47"/>
  <c r="Y89" i="47" s="1"/>
  <c r="AM92" i="50" s="1"/>
  <c r="X97" i="47"/>
  <c r="Y97" i="47" s="1"/>
  <c r="AM100" i="50" s="1"/>
  <c r="X101" i="47"/>
  <c r="Y101" i="47" s="1"/>
  <c r="AM104" i="50" s="1"/>
  <c r="X105" i="47"/>
  <c r="Y105" i="47" s="1"/>
  <c r="AM108" i="50" s="1"/>
  <c r="X109" i="47"/>
  <c r="Y109" i="47" s="1"/>
  <c r="AM112" i="50" s="1"/>
  <c r="X113" i="47"/>
  <c r="Y113" i="47" s="1"/>
  <c r="AM116" i="50" s="1"/>
  <c r="X117" i="47"/>
  <c r="Y117" i="47" s="1"/>
  <c r="AM120" i="50" s="1"/>
  <c r="X121" i="47"/>
  <c r="Y121" i="47" s="1"/>
  <c r="AM124" i="50" s="1"/>
  <c r="X125" i="47"/>
  <c r="Y125" i="47" s="1"/>
  <c r="AM128" i="50" s="1"/>
  <c r="X130" i="47"/>
  <c r="Y130" i="47" s="1"/>
  <c r="AM133" i="50" s="1"/>
  <c r="X134" i="47"/>
  <c r="Y134" i="47" s="1"/>
  <c r="AM137" i="50" s="1"/>
  <c r="X12" i="47"/>
  <c r="Y12" i="47" s="1"/>
  <c r="AM15" i="50" s="1"/>
  <c r="X15" i="47"/>
  <c r="Y15" i="47" s="1"/>
  <c r="AM18" i="50" s="1"/>
  <c r="X19" i="47"/>
  <c r="Y19" i="47" s="1"/>
  <c r="AM22" i="50" s="1"/>
  <c r="X24" i="47"/>
  <c r="Y24" i="47" s="1"/>
  <c r="AM27" i="50" s="1"/>
  <c r="X28" i="47"/>
  <c r="Y28" i="47" s="1"/>
  <c r="AM31" i="50" s="1"/>
  <c r="X32" i="47"/>
  <c r="Y32" i="47" s="1"/>
  <c r="AM35" i="50" s="1"/>
  <c r="X37" i="47"/>
  <c r="Y37" i="47" s="1"/>
  <c r="AM40" i="50" s="1"/>
  <c r="X42" i="47"/>
  <c r="Y42" i="47" s="1"/>
  <c r="AM45" i="50" s="1"/>
  <c r="X46" i="47"/>
  <c r="Y46" i="47" s="1"/>
  <c r="AM49" i="50" s="1"/>
  <c r="X50" i="47"/>
  <c r="Y50" i="47" s="1"/>
  <c r="AM53" i="50" s="1"/>
  <c r="X55" i="47"/>
  <c r="Y55" i="47" s="1"/>
  <c r="AM58" i="50" s="1"/>
  <c r="X59" i="47"/>
  <c r="Y59" i="47" s="1"/>
  <c r="AM62" i="50" s="1"/>
  <c r="X64" i="47"/>
  <c r="Y64" i="47" s="1"/>
  <c r="AM67" i="50" s="1"/>
  <c r="X69" i="47"/>
  <c r="Y69" i="47" s="1"/>
  <c r="AM72" i="50" s="1"/>
  <c r="X73" i="47"/>
  <c r="Y73" i="47" s="1"/>
  <c r="AM76" i="50" s="1"/>
  <c r="X77" i="47"/>
  <c r="Y77" i="47" s="1"/>
  <c r="AM80" i="50" s="1"/>
  <c r="X81" i="47"/>
  <c r="Y81" i="47" s="1"/>
  <c r="AM84" i="50" s="1"/>
  <c r="X85" i="47"/>
  <c r="Y85" i="47" s="1"/>
  <c r="AM88" i="50" s="1"/>
  <c r="X90" i="47"/>
  <c r="Y90" i="47" s="1"/>
  <c r="AM93" i="50" s="1"/>
  <c r="X94" i="47"/>
  <c r="Y94" i="47" s="1"/>
  <c r="AM97" i="50" s="1"/>
  <c r="X98" i="47"/>
  <c r="Y98" i="47" s="1"/>
  <c r="AM101" i="50" s="1"/>
  <c r="X102" i="47"/>
  <c r="Y102" i="47" s="1"/>
  <c r="AM105" i="50" s="1"/>
  <c r="X106" i="47"/>
  <c r="Y106" i="47" s="1"/>
  <c r="AM109" i="50" s="1"/>
  <c r="X110" i="47"/>
  <c r="Y110" i="47" s="1"/>
  <c r="AM113" i="50" s="1"/>
  <c r="X114" i="47"/>
  <c r="Y114" i="47" s="1"/>
  <c r="AM117" i="50" s="1"/>
  <c r="X118" i="47"/>
  <c r="Y118" i="47" s="1"/>
  <c r="AM121" i="50" s="1"/>
  <c r="X122" i="47"/>
  <c r="Y122" i="47" s="1"/>
  <c r="AM125" i="50" s="1"/>
  <c r="X126" i="47"/>
  <c r="Y126" i="47" s="1"/>
  <c r="AM129" i="50" s="1"/>
  <c r="X131" i="47"/>
  <c r="Y131" i="47" s="1"/>
  <c r="AM134" i="50" s="1"/>
  <c r="X135" i="47"/>
  <c r="Y135" i="47" s="1"/>
  <c r="AM138" i="50" s="1"/>
  <c r="X16" i="47"/>
  <c r="Y16" i="47" s="1"/>
  <c r="AM19" i="50" s="1"/>
  <c r="X20" i="47"/>
  <c r="Y20" i="47" s="1"/>
  <c r="AM23" i="50" s="1"/>
  <c r="X25" i="47"/>
  <c r="Y25" i="47" s="1"/>
  <c r="AM28" i="50" s="1"/>
  <c r="X29" i="47"/>
  <c r="Y29" i="47" s="1"/>
  <c r="AM32" i="50" s="1"/>
  <c r="X33" i="47"/>
  <c r="Y33" i="47" s="1"/>
  <c r="AM36" i="50" s="1"/>
  <c r="X38" i="47"/>
  <c r="Y38" i="47" s="1"/>
  <c r="AM41" i="50" s="1"/>
  <c r="X43" i="47"/>
  <c r="Y43" i="47" s="1"/>
  <c r="AM46" i="50" s="1"/>
  <c r="X47" i="47"/>
  <c r="Y47" i="47" s="1"/>
  <c r="AM50" i="50" s="1"/>
  <c r="X52" i="47"/>
  <c r="Y52" i="47" s="1"/>
  <c r="AM55" i="50" s="1"/>
  <c r="X56" i="47"/>
  <c r="Y56" i="47" s="1"/>
  <c r="AM59" i="50" s="1"/>
  <c r="X60" i="47"/>
  <c r="Y60" i="47" s="1"/>
  <c r="AM63" i="50" s="1"/>
  <c r="X65" i="47"/>
  <c r="Y65" i="47" s="1"/>
  <c r="AM68" i="50" s="1"/>
  <c r="X70" i="47"/>
  <c r="Y70" i="47" s="1"/>
  <c r="AM73" i="50" s="1"/>
  <c r="X74" i="47"/>
  <c r="Y74" i="47" s="1"/>
  <c r="AM77" i="50" s="1"/>
  <c r="X78" i="47"/>
  <c r="Y78" i="47" s="1"/>
  <c r="AM81" i="50" s="1"/>
  <c r="X82" i="47"/>
  <c r="Y82" i="47" s="1"/>
  <c r="AM85" i="50" s="1"/>
  <c r="X86" i="47"/>
  <c r="Y86" i="47" s="1"/>
  <c r="AM89" i="50" s="1"/>
  <c r="X91" i="47"/>
  <c r="Y91" i="47" s="1"/>
  <c r="AM94" i="50" s="1"/>
  <c r="X95" i="47"/>
  <c r="Y95" i="47" s="1"/>
  <c r="AM98" i="50" s="1"/>
  <c r="AC12" i="56" s="1"/>
  <c r="X99" i="47"/>
  <c r="Y99" i="47" s="1"/>
  <c r="AM102" i="50" s="1"/>
  <c r="X103" i="47"/>
  <c r="Y103" i="47" s="1"/>
  <c r="AM106" i="50" s="1"/>
  <c r="X107" i="47"/>
  <c r="Y107" i="47" s="1"/>
  <c r="AM110" i="50" s="1"/>
  <c r="X111" i="47"/>
  <c r="Y111" i="47" s="1"/>
  <c r="AM114" i="50" s="1"/>
  <c r="X115" i="47"/>
  <c r="Y115" i="47" s="1"/>
  <c r="AM118" i="50" s="1"/>
  <c r="X119" i="47"/>
  <c r="Y119" i="47" s="1"/>
  <c r="AM122" i="50" s="1"/>
  <c r="X123" i="47"/>
  <c r="Y123" i="47" s="1"/>
  <c r="AM126" i="50" s="1"/>
  <c r="X128" i="47"/>
  <c r="Y128" i="47" s="1"/>
  <c r="AM131" i="50" s="1"/>
  <c r="X132" i="47"/>
  <c r="Y132" i="47" s="1"/>
  <c r="AM135" i="50" s="1"/>
  <c r="X136" i="47"/>
  <c r="Y136" i="47" s="1"/>
  <c r="AM139" i="50" s="1"/>
  <c r="X17" i="47"/>
  <c r="Y17" i="47" s="1"/>
  <c r="AM20" i="50" s="1"/>
  <c r="AN12" i="63" s="1"/>
  <c r="X22" i="47"/>
  <c r="Y22" i="47" s="1"/>
  <c r="AM25" i="50" s="1"/>
  <c r="H12" i="63" s="1"/>
  <c r="X26" i="47"/>
  <c r="Y26" i="47" s="1"/>
  <c r="AM29" i="50" s="1"/>
  <c r="X30" i="47"/>
  <c r="Y30" i="47" s="1"/>
  <c r="AM33" i="50" s="1"/>
  <c r="X34" i="47"/>
  <c r="Y34" i="47" s="1"/>
  <c r="AM37" i="50" s="1"/>
  <c r="X39" i="47"/>
  <c r="Y39" i="47" s="1"/>
  <c r="AM42" i="50" s="1"/>
  <c r="X44" i="47"/>
  <c r="Y44" i="47" s="1"/>
  <c r="AM47" i="50" s="1"/>
  <c r="X48" i="47"/>
  <c r="Y48" i="47" s="1"/>
  <c r="AM51" i="50" s="1"/>
  <c r="X53" i="47"/>
  <c r="Y53" i="47" s="1"/>
  <c r="AM56" i="50" s="1"/>
  <c r="X57" i="47"/>
  <c r="Y57" i="47" s="1"/>
  <c r="AM60" i="50" s="1"/>
  <c r="X62" i="47"/>
  <c r="Y62" i="47" s="1"/>
  <c r="AM65" i="50" s="1"/>
  <c r="X66" i="47"/>
  <c r="Y66" i="47" s="1"/>
  <c r="AM69" i="50" s="1"/>
  <c r="X71" i="47"/>
  <c r="Y71" i="47" s="1"/>
  <c r="AM74" i="50" s="1"/>
  <c r="X75" i="47"/>
  <c r="Y75" i="47" s="1"/>
  <c r="AM78" i="50" s="1"/>
  <c r="X79" i="47"/>
  <c r="Y79" i="47" s="1"/>
  <c r="AM82" i="50" s="1"/>
  <c r="X83" i="47"/>
  <c r="Y83" i="47" s="1"/>
  <c r="AM86" i="50" s="1"/>
  <c r="X87" i="47"/>
  <c r="Y87" i="47" s="1"/>
  <c r="AM90" i="50" s="1"/>
  <c r="X92" i="47"/>
  <c r="Y92" i="47" s="1"/>
  <c r="AM95" i="50" s="1"/>
  <c r="X96" i="47"/>
  <c r="Y96" i="47" s="1"/>
  <c r="AM99" i="50" s="1"/>
  <c r="AF12" i="63" s="1"/>
  <c r="X100" i="47"/>
  <c r="Y100" i="47" s="1"/>
  <c r="AM103" i="50" s="1"/>
  <c r="X104" i="47"/>
  <c r="Y104" i="47" s="1"/>
  <c r="AM107" i="50" s="1"/>
  <c r="X108" i="47"/>
  <c r="Y108" i="47" s="1"/>
  <c r="AM111" i="50" s="1"/>
  <c r="X112" i="47"/>
  <c r="Y112" i="47" s="1"/>
  <c r="AM115" i="50" s="1"/>
  <c r="X116" i="47"/>
  <c r="Y116" i="47" s="1"/>
  <c r="AM119" i="50" s="1"/>
  <c r="X120" i="47"/>
  <c r="Y120" i="47" s="1"/>
  <c r="AM123" i="50" s="1"/>
  <c r="X124" i="47"/>
  <c r="Y124" i="47" s="1"/>
  <c r="AM127" i="50" s="1"/>
  <c r="X129" i="47"/>
  <c r="Y129" i="47" s="1"/>
  <c r="AM132" i="50" s="1"/>
  <c r="X133" i="47"/>
  <c r="Y133" i="47" s="1"/>
  <c r="AM136" i="50" s="1"/>
  <c r="X137" i="47"/>
  <c r="Y137" i="47" s="1"/>
  <c r="AM140" i="50" s="1"/>
  <c r="X14" i="45"/>
  <c r="Y14" i="45" s="1"/>
  <c r="AI17" i="50" s="1"/>
  <c r="X18" i="45"/>
  <c r="Y18" i="45" s="1"/>
  <c r="AI21" i="50" s="1"/>
  <c r="X23" i="45"/>
  <c r="Y23" i="45" s="1"/>
  <c r="AI26" i="50" s="1"/>
  <c r="P11" i="63" s="1"/>
  <c r="X27" i="45"/>
  <c r="Y27" i="45" s="1"/>
  <c r="AI30" i="50" s="1"/>
  <c r="X31" i="45"/>
  <c r="Y31" i="45" s="1"/>
  <c r="AI34" i="50" s="1"/>
  <c r="X35" i="45"/>
  <c r="Y35" i="45" s="1"/>
  <c r="AI38" i="50" s="1"/>
  <c r="X40" i="45"/>
  <c r="Y40" i="45" s="1"/>
  <c r="AI43" i="50" s="1"/>
  <c r="X45" i="45"/>
  <c r="Y45" i="45" s="1"/>
  <c r="AI48" i="50" s="1"/>
  <c r="X49" i="45"/>
  <c r="Y49" i="45" s="1"/>
  <c r="AI52" i="50" s="1"/>
  <c r="X54" i="45"/>
  <c r="Y54" i="45" s="1"/>
  <c r="AI57" i="50" s="1"/>
  <c r="X58" i="45"/>
  <c r="Y58" i="45" s="1"/>
  <c r="AI61" i="50" s="1"/>
  <c r="X63" i="45"/>
  <c r="Y63" i="45" s="1"/>
  <c r="AI66" i="50" s="1"/>
  <c r="X68" i="45"/>
  <c r="Y68" i="45" s="1"/>
  <c r="AI71" i="50" s="1"/>
  <c r="X72" i="45"/>
  <c r="Y72" i="45" s="1"/>
  <c r="AI75" i="50" s="1"/>
  <c r="X76" i="45"/>
  <c r="Y76" i="45" s="1"/>
  <c r="AI79" i="50" s="1"/>
  <c r="X80" i="45"/>
  <c r="Y80" i="45" s="1"/>
  <c r="AI83" i="50" s="1"/>
  <c r="X84" i="45"/>
  <c r="Y84" i="45" s="1"/>
  <c r="AI87" i="50" s="1"/>
  <c r="X89" i="45"/>
  <c r="Y89" i="45" s="1"/>
  <c r="AI92" i="50" s="1"/>
  <c r="X97" i="45"/>
  <c r="Y97" i="45" s="1"/>
  <c r="AI100" i="50" s="1"/>
  <c r="X101" i="45"/>
  <c r="Y101" i="45" s="1"/>
  <c r="AI104" i="50" s="1"/>
  <c r="X105" i="45"/>
  <c r="Y105" i="45" s="1"/>
  <c r="AI108" i="50" s="1"/>
  <c r="X109" i="45"/>
  <c r="Y109" i="45" s="1"/>
  <c r="AI112" i="50" s="1"/>
  <c r="X113" i="45"/>
  <c r="Y113" i="45" s="1"/>
  <c r="AI116" i="50" s="1"/>
  <c r="X117" i="45"/>
  <c r="Y117" i="45" s="1"/>
  <c r="AI120" i="50" s="1"/>
  <c r="X121" i="45"/>
  <c r="Y121" i="45" s="1"/>
  <c r="AI124" i="50" s="1"/>
  <c r="X125" i="45"/>
  <c r="Y125" i="45" s="1"/>
  <c r="AI128" i="50" s="1"/>
  <c r="X130" i="45"/>
  <c r="Y130" i="45" s="1"/>
  <c r="AI133" i="50" s="1"/>
  <c r="X134" i="45"/>
  <c r="Y134" i="45" s="1"/>
  <c r="AI137" i="50" s="1"/>
  <c r="X15" i="45"/>
  <c r="Y15" i="45" s="1"/>
  <c r="AI18" i="50" s="1"/>
  <c r="X19" i="45"/>
  <c r="Y19" i="45" s="1"/>
  <c r="AI22" i="50" s="1"/>
  <c r="X24" i="45"/>
  <c r="Y24" i="45" s="1"/>
  <c r="AI27" i="50" s="1"/>
  <c r="X28" i="45"/>
  <c r="Y28" i="45" s="1"/>
  <c r="AI31" i="50" s="1"/>
  <c r="X32" i="45"/>
  <c r="Y32" i="45" s="1"/>
  <c r="AI35" i="50" s="1"/>
  <c r="X37" i="45"/>
  <c r="Y37" i="45" s="1"/>
  <c r="AI40" i="50" s="1"/>
  <c r="X42" i="45"/>
  <c r="Y42" i="45" s="1"/>
  <c r="AI45" i="50" s="1"/>
  <c r="X46" i="45"/>
  <c r="Y46" i="45" s="1"/>
  <c r="AI49" i="50" s="1"/>
  <c r="X50" i="45"/>
  <c r="Y50" i="45" s="1"/>
  <c r="AI53" i="50" s="1"/>
  <c r="X55" i="45"/>
  <c r="Y55" i="45" s="1"/>
  <c r="AI58" i="50" s="1"/>
  <c r="X59" i="45"/>
  <c r="Y59" i="45" s="1"/>
  <c r="AI62" i="50" s="1"/>
  <c r="X64" i="45"/>
  <c r="Y64" i="45" s="1"/>
  <c r="AI67" i="50" s="1"/>
  <c r="X69" i="45"/>
  <c r="Y69" i="45" s="1"/>
  <c r="AI72" i="50" s="1"/>
  <c r="X73" i="45"/>
  <c r="Y73" i="45" s="1"/>
  <c r="AI76" i="50" s="1"/>
  <c r="X77" i="45"/>
  <c r="Y77" i="45" s="1"/>
  <c r="AI80" i="50" s="1"/>
  <c r="X81" i="45"/>
  <c r="Y81" i="45" s="1"/>
  <c r="AI84" i="50" s="1"/>
  <c r="X85" i="45"/>
  <c r="Y85" i="45" s="1"/>
  <c r="AI88" i="50" s="1"/>
  <c r="X90" i="45"/>
  <c r="Y90" i="45" s="1"/>
  <c r="AI93" i="50" s="1"/>
  <c r="X94" i="45"/>
  <c r="Y94" i="45" s="1"/>
  <c r="AI97" i="50" s="1"/>
  <c r="X98" i="45"/>
  <c r="Y98" i="45" s="1"/>
  <c r="AI101" i="50" s="1"/>
  <c r="X102" i="45"/>
  <c r="Y102" i="45" s="1"/>
  <c r="AI105" i="50" s="1"/>
  <c r="X106" i="45"/>
  <c r="Y106" i="45" s="1"/>
  <c r="AI109" i="50" s="1"/>
  <c r="X110" i="45"/>
  <c r="Y110" i="45" s="1"/>
  <c r="AI113" i="50" s="1"/>
  <c r="X114" i="45"/>
  <c r="Y114" i="45" s="1"/>
  <c r="AI117" i="50" s="1"/>
  <c r="X118" i="45"/>
  <c r="Y118" i="45" s="1"/>
  <c r="AI121" i="50" s="1"/>
  <c r="X122" i="45"/>
  <c r="Y122" i="45" s="1"/>
  <c r="AI125" i="50" s="1"/>
  <c r="X126" i="45"/>
  <c r="Y126" i="45" s="1"/>
  <c r="AI129" i="50" s="1"/>
  <c r="X131" i="45"/>
  <c r="Y131" i="45" s="1"/>
  <c r="AI134" i="50" s="1"/>
  <c r="X135" i="45"/>
  <c r="Y135" i="45" s="1"/>
  <c r="AI138" i="50" s="1"/>
  <c r="X12" i="45"/>
  <c r="Y12" i="45" s="1"/>
  <c r="AI15" i="50" s="1"/>
  <c r="X16" i="45"/>
  <c r="Y16" i="45" s="1"/>
  <c r="AI19" i="50" s="1"/>
  <c r="X20" i="45"/>
  <c r="Y20" i="45" s="1"/>
  <c r="AI23" i="50" s="1"/>
  <c r="X25" i="45"/>
  <c r="Y25" i="45" s="1"/>
  <c r="AI28" i="50" s="1"/>
  <c r="X29" i="45"/>
  <c r="Y29" i="45" s="1"/>
  <c r="AI32" i="50" s="1"/>
  <c r="X33" i="45"/>
  <c r="Y33" i="45" s="1"/>
  <c r="AI36" i="50" s="1"/>
  <c r="X38" i="45"/>
  <c r="Y38" i="45" s="1"/>
  <c r="AI41" i="50" s="1"/>
  <c r="X43" i="45"/>
  <c r="Y43" i="45" s="1"/>
  <c r="AI46" i="50" s="1"/>
  <c r="X47" i="45"/>
  <c r="Y47" i="45" s="1"/>
  <c r="AI50" i="50" s="1"/>
  <c r="X52" i="45"/>
  <c r="Y52" i="45" s="1"/>
  <c r="AI55" i="50" s="1"/>
  <c r="X56" i="45"/>
  <c r="Y56" i="45" s="1"/>
  <c r="AI59" i="50" s="1"/>
  <c r="X60" i="45"/>
  <c r="Y60" i="45" s="1"/>
  <c r="AI63" i="50" s="1"/>
  <c r="X65" i="45"/>
  <c r="Y65" i="45" s="1"/>
  <c r="AI68" i="50" s="1"/>
  <c r="X70" i="45"/>
  <c r="Y70" i="45" s="1"/>
  <c r="AI73" i="50" s="1"/>
  <c r="X74" i="45"/>
  <c r="Y74" i="45" s="1"/>
  <c r="AI77" i="50" s="1"/>
  <c r="X78" i="45"/>
  <c r="Y78" i="45" s="1"/>
  <c r="AI81" i="50" s="1"/>
  <c r="X82" i="45"/>
  <c r="Y82" i="45" s="1"/>
  <c r="AI85" i="50" s="1"/>
  <c r="X86" i="45"/>
  <c r="Y86" i="45" s="1"/>
  <c r="AI89" i="50" s="1"/>
  <c r="X91" i="45"/>
  <c r="Y91" i="45" s="1"/>
  <c r="AI94" i="50" s="1"/>
  <c r="X95" i="45"/>
  <c r="Y95" i="45" s="1"/>
  <c r="AI98" i="50" s="1"/>
  <c r="AC11" i="56" s="1"/>
  <c r="X99" i="45"/>
  <c r="Y99" i="45" s="1"/>
  <c r="AI102" i="50" s="1"/>
  <c r="X103" i="45"/>
  <c r="Y103" i="45" s="1"/>
  <c r="AI106" i="50" s="1"/>
  <c r="X107" i="45"/>
  <c r="Y107" i="45" s="1"/>
  <c r="AI110" i="50" s="1"/>
  <c r="X111" i="45"/>
  <c r="Y111" i="45" s="1"/>
  <c r="AI114" i="50" s="1"/>
  <c r="X115" i="45"/>
  <c r="Y115" i="45" s="1"/>
  <c r="AI118" i="50" s="1"/>
  <c r="X119" i="45"/>
  <c r="Y119" i="45" s="1"/>
  <c r="AI122" i="50" s="1"/>
  <c r="X123" i="45"/>
  <c r="Y123" i="45" s="1"/>
  <c r="AI126" i="50" s="1"/>
  <c r="X128" i="45"/>
  <c r="Y128" i="45" s="1"/>
  <c r="AI131" i="50" s="1"/>
  <c r="X132" i="45"/>
  <c r="Y132" i="45" s="1"/>
  <c r="AI135" i="50" s="1"/>
  <c r="X136" i="45"/>
  <c r="Y136" i="45" s="1"/>
  <c r="AI139" i="50" s="1"/>
  <c r="X17" i="45"/>
  <c r="Y17" i="45" s="1"/>
  <c r="AI20" i="50" s="1"/>
  <c r="AN11" i="63" s="1"/>
  <c r="X22" i="45"/>
  <c r="Y22" i="45" s="1"/>
  <c r="AI25" i="50" s="1"/>
  <c r="H11" i="63" s="1"/>
  <c r="X26" i="45"/>
  <c r="Y26" i="45" s="1"/>
  <c r="AI29" i="50" s="1"/>
  <c r="X30" i="45"/>
  <c r="Y30" i="45" s="1"/>
  <c r="AI33" i="50" s="1"/>
  <c r="X34" i="45"/>
  <c r="Y34" i="45" s="1"/>
  <c r="AI37" i="50" s="1"/>
  <c r="X39" i="45"/>
  <c r="Y39" i="45" s="1"/>
  <c r="AI42" i="50" s="1"/>
  <c r="X44" i="45"/>
  <c r="Y44" i="45" s="1"/>
  <c r="AI47" i="50" s="1"/>
  <c r="X48" i="45"/>
  <c r="Y48" i="45" s="1"/>
  <c r="AI51" i="50" s="1"/>
  <c r="X53" i="45"/>
  <c r="Y53" i="45" s="1"/>
  <c r="AI56" i="50" s="1"/>
  <c r="X57" i="45"/>
  <c r="Y57" i="45" s="1"/>
  <c r="AI60" i="50" s="1"/>
  <c r="X62" i="45"/>
  <c r="Y62" i="45" s="1"/>
  <c r="AI65" i="50" s="1"/>
  <c r="X66" i="45"/>
  <c r="Y66" i="45" s="1"/>
  <c r="AI69" i="50" s="1"/>
  <c r="X71" i="45"/>
  <c r="Y71" i="45" s="1"/>
  <c r="AI74" i="50" s="1"/>
  <c r="X75" i="45"/>
  <c r="Y75" i="45" s="1"/>
  <c r="AI78" i="50" s="1"/>
  <c r="X79" i="45"/>
  <c r="Y79" i="45" s="1"/>
  <c r="AI82" i="50" s="1"/>
  <c r="X83" i="45"/>
  <c r="Y83" i="45" s="1"/>
  <c r="AI86" i="50" s="1"/>
  <c r="X87" i="45"/>
  <c r="Y87" i="45" s="1"/>
  <c r="AI90" i="50" s="1"/>
  <c r="X92" i="45"/>
  <c r="Y92" i="45" s="1"/>
  <c r="AI95" i="50" s="1"/>
  <c r="X96" i="45"/>
  <c r="Y96" i="45" s="1"/>
  <c r="AI99" i="50" s="1"/>
  <c r="AF11" i="63" s="1"/>
  <c r="X100" i="45"/>
  <c r="Y100" i="45" s="1"/>
  <c r="AI103" i="50" s="1"/>
  <c r="X104" i="45"/>
  <c r="Y104" i="45" s="1"/>
  <c r="AI107" i="50" s="1"/>
  <c r="X108" i="45"/>
  <c r="Y108" i="45" s="1"/>
  <c r="AI111" i="50" s="1"/>
  <c r="X112" i="45"/>
  <c r="Y112" i="45" s="1"/>
  <c r="AI115" i="50" s="1"/>
  <c r="X116" i="45"/>
  <c r="Y116" i="45" s="1"/>
  <c r="AI119" i="50" s="1"/>
  <c r="X120" i="45"/>
  <c r="Y120" i="45" s="1"/>
  <c r="AI123" i="50" s="1"/>
  <c r="X124" i="45"/>
  <c r="Y124" i="45" s="1"/>
  <c r="AI127" i="50" s="1"/>
  <c r="X129" i="45"/>
  <c r="Y129" i="45" s="1"/>
  <c r="AI132" i="50" s="1"/>
  <c r="X133" i="45"/>
  <c r="Y133" i="45" s="1"/>
  <c r="AI136" i="50" s="1"/>
  <c r="X137" i="45"/>
  <c r="Y137" i="45" s="1"/>
  <c r="AI140" i="50" s="1"/>
  <c r="X118" i="44"/>
  <c r="Y118" i="44" s="1"/>
  <c r="O121" i="50" s="1"/>
  <c r="X92" i="44"/>
  <c r="Y92" i="44" s="1"/>
  <c r="O95" i="50" s="1"/>
  <c r="X94" i="44"/>
  <c r="Y94" i="44" s="1"/>
  <c r="O97" i="50" s="1"/>
  <c r="X59" i="42"/>
  <c r="Y59" i="42" s="1"/>
  <c r="K62" i="50" s="1"/>
  <c r="X80" i="44"/>
  <c r="Y80" i="44" s="1"/>
  <c r="O83" i="50" s="1"/>
  <c r="X65" i="42"/>
  <c r="Y65" i="42" s="1"/>
  <c r="K68" i="50" s="1"/>
  <c r="X82" i="44"/>
  <c r="Y82" i="44" s="1"/>
  <c r="O85" i="50" s="1"/>
  <c r="X117" i="44"/>
  <c r="Y117" i="44" s="1"/>
  <c r="O120" i="50" s="1"/>
  <c r="X17" i="44"/>
  <c r="Y17" i="44" s="1"/>
  <c r="O20" i="50" s="1"/>
  <c r="AN6" i="63" s="1"/>
  <c r="X17" i="46"/>
  <c r="Y17" i="46" s="1"/>
  <c r="S20" i="50" s="1"/>
  <c r="X25" i="46"/>
  <c r="Y25" i="46" s="1"/>
  <c r="S28" i="50" s="1"/>
  <c r="X33" i="46"/>
  <c r="Y33" i="46" s="1"/>
  <c r="S36" i="50" s="1"/>
  <c r="X49" i="46"/>
  <c r="Y49" i="46" s="1"/>
  <c r="S52" i="50" s="1"/>
  <c r="X57" i="46"/>
  <c r="Y57" i="46" s="1"/>
  <c r="S60" i="50" s="1"/>
  <c r="X65" i="46"/>
  <c r="Y65" i="46" s="1"/>
  <c r="S68" i="50" s="1"/>
  <c r="X73" i="46"/>
  <c r="Y73" i="46" s="1"/>
  <c r="S76" i="50" s="1"/>
  <c r="X81" i="46"/>
  <c r="Y81" i="46" s="1"/>
  <c r="S84" i="50" s="1"/>
  <c r="X89" i="46"/>
  <c r="Y89" i="46" s="1"/>
  <c r="S92" i="50" s="1"/>
  <c r="X97" i="46"/>
  <c r="Y97" i="46" s="1"/>
  <c r="S100" i="50" s="1"/>
  <c r="X105" i="46"/>
  <c r="Y105" i="46" s="1"/>
  <c r="S108" i="50" s="1"/>
  <c r="X113" i="46"/>
  <c r="Y113" i="46" s="1"/>
  <c r="S116" i="50" s="1"/>
  <c r="X121" i="46"/>
  <c r="Y121" i="46" s="1"/>
  <c r="S124" i="50" s="1"/>
  <c r="X129" i="46"/>
  <c r="Y129" i="46" s="1"/>
  <c r="S132" i="50" s="1"/>
  <c r="X137" i="46"/>
  <c r="X39" i="46"/>
  <c r="Y39" i="46" s="1"/>
  <c r="S42" i="50" s="1"/>
  <c r="X103" i="46"/>
  <c r="Y103" i="46" s="1"/>
  <c r="S106" i="50" s="1"/>
  <c r="X18" i="46"/>
  <c r="Y18" i="46" s="1"/>
  <c r="X26" i="46"/>
  <c r="Y26" i="46" s="1"/>
  <c r="S29" i="50" s="1"/>
  <c r="X34" i="46"/>
  <c r="Y34" i="46" s="1"/>
  <c r="S37" i="50" s="1"/>
  <c r="X42" i="46"/>
  <c r="Y42" i="46" s="1"/>
  <c r="S45" i="50" s="1"/>
  <c r="X50" i="46"/>
  <c r="Y50" i="46" s="1"/>
  <c r="S53" i="50" s="1"/>
  <c r="X58" i="46"/>
  <c r="Y58" i="46" s="1"/>
  <c r="S61" i="50" s="1"/>
  <c r="X66" i="46"/>
  <c r="Y66" i="46" s="1"/>
  <c r="S69" i="50" s="1"/>
  <c r="X74" i="46"/>
  <c r="Y74" i="46" s="1"/>
  <c r="S77" i="50" s="1"/>
  <c r="X82" i="46"/>
  <c r="Y82" i="46" s="1"/>
  <c r="S85" i="50" s="1"/>
  <c r="X90" i="46"/>
  <c r="Y90" i="46" s="1"/>
  <c r="S93" i="50" s="1"/>
  <c r="X98" i="46"/>
  <c r="Y98" i="46" s="1"/>
  <c r="S101" i="50" s="1"/>
  <c r="X106" i="46"/>
  <c r="Y106" i="46" s="1"/>
  <c r="S109" i="50" s="1"/>
  <c r="X114" i="46"/>
  <c r="Y114" i="46" s="1"/>
  <c r="S117" i="50" s="1"/>
  <c r="X122" i="46"/>
  <c r="Y122" i="46" s="1"/>
  <c r="S125" i="50" s="1"/>
  <c r="X130" i="46"/>
  <c r="Y130" i="46" s="1"/>
  <c r="S133" i="50" s="1"/>
  <c r="X12" i="46"/>
  <c r="Y12" i="46" s="1"/>
  <c r="S15" i="50" s="1"/>
  <c r="X19" i="46"/>
  <c r="Y19" i="46" s="1"/>
  <c r="S22" i="50" s="1"/>
  <c r="X27" i="46"/>
  <c r="Y27" i="46" s="1"/>
  <c r="S30" i="50" s="1"/>
  <c r="X35" i="46"/>
  <c r="Y35" i="46" s="1"/>
  <c r="S38" i="50" s="1"/>
  <c r="X43" i="46"/>
  <c r="Y43" i="46" s="1"/>
  <c r="S46" i="50" s="1"/>
  <c r="X59" i="46"/>
  <c r="Y59" i="46" s="1"/>
  <c r="S62" i="50" s="1"/>
  <c r="X75" i="46"/>
  <c r="Y75" i="46" s="1"/>
  <c r="S78" i="50" s="1"/>
  <c r="X83" i="46"/>
  <c r="Y83" i="46" s="1"/>
  <c r="S86" i="50" s="1"/>
  <c r="X91" i="46"/>
  <c r="Y91" i="46" s="1"/>
  <c r="S94" i="50" s="1"/>
  <c r="X99" i="46"/>
  <c r="Y99" i="46" s="1"/>
  <c r="S102" i="50" s="1"/>
  <c r="X107" i="46"/>
  <c r="Y107" i="46" s="1"/>
  <c r="S110" i="50" s="1"/>
  <c r="X115" i="46"/>
  <c r="Y115" i="46" s="1"/>
  <c r="S118" i="50" s="1"/>
  <c r="X123" i="46"/>
  <c r="Y123" i="46" s="1"/>
  <c r="X131" i="46"/>
  <c r="Y131" i="46" s="1"/>
  <c r="S134" i="50" s="1"/>
  <c r="X20" i="46"/>
  <c r="Y20" i="46" s="1"/>
  <c r="S23" i="50" s="1"/>
  <c r="X28" i="46"/>
  <c r="Y28" i="46" s="1"/>
  <c r="S31" i="50" s="1"/>
  <c r="X44" i="46"/>
  <c r="Y44" i="46" s="1"/>
  <c r="S47" i="50" s="1"/>
  <c r="X52" i="46"/>
  <c r="Y52" i="46" s="1"/>
  <c r="S55" i="50" s="1"/>
  <c r="X60" i="46"/>
  <c r="Y60" i="46" s="1"/>
  <c r="S63" i="50" s="1"/>
  <c r="X68" i="46"/>
  <c r="Y68" i="46" s="1"/>
  <c r="S71" i="50" s="1"/>
  <c r="X76" i="46"/>
  <c r="Y76" i="46" s="1"/>
  <c r="S79" i="50" s="1"/>
  <c r="X84" i="46"/>
  <c r="Y84" i="46" s="1"/>
  <c r="S87" i="50" s="1"/>
  <c r="X92" i="46"/>
  <c r="Y92" i="46" s="1"/>
  <c r="S95" i="50" s="1"/>
  <c r="X100" i="46"/>
  <c r="Y100" i="46" s="1"/>
  <c r="S103" i="50" s="1"/>
  <c r="X108" i="46"/>
  <c r="Y108" i="46" s="1"/>
  <c r="S111" i="50" s="1"/>
  <c r="X116" i="46"/>
  <c r="Y116" i="46" s="1"/>
  <c r="S119" i="50" s="1"/>
  <c r="X124" i="46"/>
  <c r="Y124" i="46" s="1"/>
  <c r="S127" i="50" s="1"/>
  <c r="X132" i="46"/>
  <c r="Y132" i="46" s="1"/>
  <c r="S135" i="50" s="1"/>
  <c r="X23" i="46"/>
  <c r="Y23" i="46" s="1"/>
  <c r="S26" i="50" s="1"/>
  <c r="X47" i="46"/>
  <c r="Y47" i="46" s="1"/>
  <c r="S50" i="50" s="1"/>
  <c r="X71" i="46"/>
  <c r="Y71" i="46" s="1"/>
  <c r="X87" i="46"/>
  <c r="Y87" i="46" s="1"/>
  <c r="S90" i="50" s="1"/>
  <c r="X111" i="46"/>
  <c r="Y111" i="46" s="1"/>
  <c r="S114" i="50" s="1"/>
  <c r="X135" i="46"/>
  <c r="Y135" i="46" s="1"/>
  <c r="S138" i="50" s="1"/>
  <c r="X29" i="46"/>
  <c r="Y29" i="46" s="1"/>
  <c r="S32" i="50" s="1"/>
  <c r="X37" i="46"/>
  <c r="Y37" i="46" s="1"/>
  <c r="S40" i="50" s="1"/>
  <c r="X45" i="46"/>
  <c r="Y45" i="46" s="1"/>
  <c r="S48" i="50" s="1"/>
  <c r="X53" i="46"/>
  <c r="Y53" i="46" s="1"/>
  <c r="S56" i="50" s="1"/>
  <c r="X69" i="46"/>
  <c r="Y69" i="46" s="1"/>
  <c r="S72" i="50" s="1"/>
  <c r="X9" i="63" s="1"/>
  <c r="X77" i="46"/>
  <c r="Y77" i="46" s="1"/>
  <c r="S80" i="50" s="1"/>
  <c r="X85" i="46"/>
  <c r="Y85" i="46" s="1"/>
  <c r="S88" i="50" s="1"/>
  <c r="X101" i="46"/>
  <c r="Y101" i="46" s="1"/>
  <c r="S104" i="50" s="1"/>
  <c r="X109" i="46"/>
  <c r="Y109" i="46" s="1"/>
  <c r="S112" i="50" s="1"/>
  <c r="X117" i="46"/>
  <c r="Y117" i="46" s="1"/>
  <c r="S120" i="50" s="1"/>
  <c r="X125" i="46"/>
  <c r="Y125" i="46" s="1"/>
  <c r="S128" i="50" s="1"/>
  <c r="X133" i="46"/>
  <c r="Y133" i="46" s="1"/>
  <c r="S136" i="50" s="1"/>
  <c r="X15" i="46"/>
  <c r="Y15" i="46" s="1"/>
  <c r="S18" i="50" s="1"/>
  <c r="X31" i="46"/>
  <c r="Y31" i="46" s="1"/>
  <c r="S34" i="50" s="1"/>
  <c r="X55" i="46"/>
  <c r="Y55" i="46" s="1"/>
  <c r="S58" i="50" s="1"/>
  <c r="X79" i="46"/>
  <c r="Y79" i="46" s="1"/>
  <c r="S82" i="50" s="1"/>
  <c r="X95" i="46"/>
  <c r="Y95" i="46" s="1"/>
  <c r="S98" i="50" s="1"/>
  <c r="AC7" i="56" s="1"/>
  <c r="X119" i="46"/>
  <c r="Y119" i="46" s="1"/>
  <c r="S122" i="50" s="1"/>
  <c r="X14" i="46"/>
  <c r="Y14" i="46" s="1"/>
  <c r="X22" i="46"/>
  <c r="Y22" i="46" s="1"/>
  <c r="X30" i="46"/>
  <c r="Y30" i="46" s="1"/>
  <c r="S33" i="50" s="1"/>
  <c r="X38" i="46"/>
  <c r="Y38" i="46" s="1"/>
  <c r="S41" i="50" s="1"/>
  <c r="X46" i="46"/>
  <c r="Y46" i="46" s="1"/>
  <c r="S49" i="50" s="1"/>
  <c r="X54" i="46"/>
  <c r="Y54" i="46" s="1"/>
  <c r="S57" i="50" s="1"/>
  <c r="X62" i="46"/>
  <c r="Y62" i="46" s="1"/>
  <c r="S65" i="50" s="1"/>
  <c r="X70" i="46"/>
  <c r="Y70" i="46" s="1"/>
  <c r="S73" i="50" s="1"/>
  <c r="X78" i="46"/>
  <c r="Y78" i="46" s="1"/>
  <c r="S81" i="50" s="1"/>
  <c r="X86" i="46"/>
  <c r="Y86" i="46" s="1"/>
  <c r="S89" i="50" s="1"/>
  <c r="X94" i="46"/>
  <c r="Y94" i="46" s="1"/>
  <c r="S97" i="50" s="1"/>
  <c r="X102" i="46"/>
  <c r="Y102" i="46" s="1"/>
  <c r="S105" i="50" s="1"/>
  <c r="X110" i="46"/>
  <c r="Y110" i="46" s="1"/>
  <c r="S113" i="50" s="1"/>
  <c r="X118" i="46"/>
  <c r="Y118" i="46" s="1"/>
  <c r="S121" i="50" s="1"/>
  <c r="X126" i="46"/>
  <c r="Y126" i="46" s="1"/>
  <c r="S129" i="50" s="1"/>
  <c r="X134" i="46"/>
  <c r="Y134" i="46" s="1"/>
  <c r="S137" i="50" s="1"/>
  <c r="X16" i="46"/>
  <c r="Y16" i="46" s="1"/>
  <c r="S19" i="50" s="1"/>
  <c r="X24" i="46"/>
  <c r="Y24" i="46" s="1"/>
  <c r="S27" i="50" s="1"/>
  <c r="X32" i="46"/>
  <c r="Y32" i="46" s="1"/>
  <c r="S35" i="50" s="1"/>
  <c r="X40" i="46"/>
  <c r="Y40" i="46" s="1"/>
  <c r="S43" i="50" s="1"/>
  <c r="X48" i="46"/>
  <c r="Y48" i="46" s="1"/>
  <c r="S51" i="50" s="1"/>
  <c r="X56" i="46"/>
  <c r="Y56" i="46" s="1"/>
  <c r="S59" i="50" s="1"/>
  <c r="X64" i="46"/>
  <c r="Y64" i="46" s="1"/>
  <c r="S67" i="50" s="1"/>
  <c r="X72" i="46"/>
  <c r="Y72" i="46" s="1"/>
  <c r="S75" i="50" s="1"/>
  <c r="X80" i="46"/>
  <c r="Y80" i="46" s="1"/>
  <c r="S83" i="50" s="1"/>
  <c r="X96" i="46"/>
  <c r="Y96" i="46" s="1"/>
  <c r="S99" i="50" s="1"/>
  <c r="AF9" i="63" s="1"/>
  <c r="X104" i="46"/>
  <c r="Y104" i="46" s="1"/>
  <c r="S107" i="50" s="1"/>
  <c r="X112" i="46"/>
  <c r="Y112" i="46" s="1"/>
  <c r="X120" i="46"/>
  <c r="Y120" i="46" s="1"/>
  <c r="X128" i="46"/>
  <c r="Y128" i="46" s="1"/>
  <c r="S131" i="50" s="1"/>
  <c r="X136" i="46"/>
  <c r="Y136" i="46" s="1"/>
  <c r="X63" i="46"/>
  <c r="Y63" i="46" s="1"/>
  <c r="S66" i="50" s="1"/>
  <c r="X126" i="44"/>
  <c r="Y126" i="44" s="1"/>
  <c r="O129" i="50" s="1"/>
  <c r="X64" i="44"/>
  <c r="Y64" i="44" s="1"/>
  <c r="O67" i="50" s="1"/>
  <c r="X45" i="44"/>
  <c r="Y45" i="44" s="1"/>
  <c r="O48" i="50" s="1"/>
  <c r="X44" i="44"/>
  <c r="Y44" i="44" s="1"/>
  <c r="O47" i="50" s="1"/>
  <c r="X135" i="44"/>
  <c r="Y135" i="44" s="1"/>
  <c r="O138" i="50" s="1"/>
  <c r="X109" i="44"/>
  <c r="Y109" i="44" s="1"/>
  <c r="O112" i="50" s="1"/>
  <c r="X124" i="44"/>
  <c r="Y124" i="44" s="1"/>
  <c r="O127" i="50" s="1"/>
  <c r="X16" i="44"/>
  <c r="Y16" i="44" s="1"/>
  <c r="O19" i="50" s="1"/>
  <c r="X12" i="44"/>
  <c r="Y12" i="44" s="1"/>
  <c r="O15" i="50" s="1"/>
  <c r="X134" i="44"/>
  <c r="Y134" i="44" s="1"/>
  <c r="O137" i="50" s="1"/>
  <c r="X100" i="44"/>
  <c r="Y100" i="44" s="1"/>
  <c r="O103" i="50" s="1"/>
  <c r="X58" i="44"/>
  <c r="Y58" i="44" s="1"/>
  <c r="O61" i="50" s="1"/>
  <c r="X29" i="44"/>
  <c r="Y29" i="44" s="1"/>
  <c r="O32" i="50" s="1"/>
  <c r="X136" i="44"/>
  <c r="Y136" i="44" s="1"/>
  <c r="O139" i="50" s="1"/>
  <c r="X72" i="44"/>
  <c r="Y72" i="44" s="1"/>
  <c r="O75" i="50" s="1"/>
  <c r="X65" i="44"/>
  <c r="Y65" i="44" s="1"/>
  <c r="O68" i="50" s="1"/>
  <c r="X40" i="44"/>
  <c r="Y40" i="44" s="1"/>
  <c r="O43" i="50" s="1"/>
  <c r="X14" i="44"/>
  <c r="Y14" i="44" s="1"/>
  <c r="O17" i="50" s="1"/>
  <c r="X112" i="33"/>
  <c r="Y112" i="33" s="1"/>
  <c r="AA115" i="50" s="1"/>
  <c r="X79" i="33"/>
  <c r="Y79" i="33" s="1"/>
  <c r="AA82" i="50" s="1"/>
  <c r="X44" i="33"/>
  <c r="Y44" i="33" s="1"/>
  <c r="AA47" i="50" s="1"/>
  <c r="X132" i="33"/>
  <c r="Y132" i="33" s="1"/>
  <c r="AA135" i="50" s="1"/>
  <c r="X99" i="33"/>
  <c r="Y99" i="33" s="1"/>
  <c r="AA102" i="50" s="1"/>
  <c r="X65" i="33"/>
  <c r="Y65" i="33" s="1"/>
  <c r="AA68" i="50" s="1"/>
  <c r="X29" i="33"/>
  <c r="Y29" i="33" s="1"/>
  <c r="AA32" i="50" s="1"/>
  <c r="X118" i="33"/>
  <c r="Y118" i="33" s="1"/>
  <c r="AA121" i="50" s="1"/>
  <c r="X85" i="33"/>
  <c r="Y85" i="33" s="1"/>
  <c r="AA88" i="50" s="1"/>
  <c r="X50" i="33"/>
  <c r="Y50" i="33" s="1"/>
  <c r="AA53" i="50" s="1"/>
  <c r="X15" i="33"/>
  <c r="Y15" i="33" s="1"/>
  <c r="AA18" i="50" s="1"/>
  <c r="X105" i="33"/>
  <c r="Y105" i="33" s="1"/>
  <c r="AA108" i="50" s="1"/>
  <c r="X72" i="33"/>
  <c r="Y72" i="33" s="1"/>
  <c r="AA75" i="50" s="1"/>
  <c r="X35" i="33"/>
  <c r="Y35" i="33" s="1"/>
  <c r="AA38" i="50" s="1"/>
  <c r="X12" i="33"/>
  <c r="Y12" i="33" s="1"/>
  <c r="AA15" i="50" s="1"/>
  <c r="X108" i="33"/>
  <c r="Y108" i="33" s="1"/>
  <c r="AA111" i="50" s="1"/>
  <c r="X75" i="33"/>
  <c r="Y75" i="33" s="1"/>
  <c r="AA78" i="50" s="1"/>
  <c r="X39" i="33"/>
  <c r="Y39" i="33" s="1"/>
  <c r="AA42" i="50" s="1"/>
  <c r="X128" i="33"/>
  <c r="Y128" i="33" s="1"/>
  <c r="AA131" i="50" s="1"/>
  <c r="X95" i="33"/>
  <c r="Y95" i="33" s="1"/>
  <c r="AA98" i="50" s="1"/>
  <c r="AC9" i="56" s="1"/>
  <c r="X60" i="33"/>
  <c r="Y60" i="33" s="1"/>
  <c r="AA63" i="50" s="1"/>
  <c r="X25" i="33"/>
  <c r="Y25" i="33" s="1"/>
  <c r="AA28" i="50" s="1"/>
  <c r="X114" i="33"/>
  <c r="Y114" i="33" s="1"/>
  <c r="AA117" i="50" s="1"/>
  <c r="X81" i="33"/>
  <c r="Y81" i="33" s="1"/>
  <c r="AA84" i="50" s="1"/>
  <c r="X46" i="33"/>
  <c r="Y46" i="33" s="1"/>
  <c r="AA49" i="50" s="1"/>
  <c r="X134" i="33"/>
  <c r="Y134" i="33" s="1"/>
  <c r="AA137" i="50" s="1"/>
  <c r="X101" i="33"/>
  <c r="Y101" i="33" s="1"/>
  <c r="AA104" i="50" s="1"/>
  <c r="X68" i="33"/>
  <c r="Y68" i="33" s="1"/>
  <c r="AA71" i="50" s="1"/>
  <c r="X31" i="33"/>
  <c r="Y31" i="33" s="1"/>
  <c r="AA34" i="50" s="1"/>
  <c r="X137" i="33"/>
  <c r="Y137" i="33" s="1"/>
  <c r="AA140" i="50" s="1"/>
  <c r="X104" i="33"/>
  <c r="Y104" i="33" s="1"/>
  <c r="AA107" i="50" s="1"/>
  <c r="X71" i="33"/>
  <c r="Y71" i="33" s="1"/>
  <c r="AA74" i="50" s="1"/>
  <c r="X34" i="33"/>
  <c r="Y34" i="33" s="1"/>
  <c r="AA37" i="50" s="1"/>
  <c r="X123" i="33"/>
  <c r="Y123" i="33" s="1"/>
  <c r="AA126" i="50" s="1"/>
  <c r="X91" i="33"/>
  <c r="Y91" i="33" s="1"/>
  <c r="AA94" i="50" s="1"/>
  <c r="X56" i="33"/>
  <c r="Y56" i="33" s="1"/>
  <c r="AA59" i="50" s="1"/>
  <c r="X20" i="33"/>
  <c r="Y20" i="33" s="1"/>
  <c r="AA23" i="50" s="1"/>
  <c r="X110" i="33"/>
  <c r="Y110" i="33" s="1"/>
  <c r="AA113" i="50" s="1"/>
  <c r="X77" i="33"/>
  <c r="Y77" i="33" s="1"/>
  <c r="AA80" i="50" s="1"/>
  <c r="X42" i="33"/>
  <c r="Y42" i="33" s="1"/>
  <c r="AA45" i="50" s="1"/>
  <c r="X130" i="33"/>
  <c r="Y130" i="33" s="1"/>
  <c r="AA133" i="50" s="1"/>
  <c r="X97" i="33"/>
  <c r="Y97" i="33" s="1"/>
  <c r="AA100" i="50" s="1"/>
  <c r="X63" i="33"/>
  <c r="Y63" i="33" s="1"/>
  <c r="AA66" i="50" s="1"/>
  <c r="X27" i="33"/>
  <c r="Y27" i="33" s="1"/>
  <c r="AA30" i="50" s="1"/>
  <c r="X129" i="33"/>
  <c r="Y129" i="33" s="1"/>
  <c r="AA132" i="50" s="1"/>
  <c r="X96" i="33"/>
  <c r="Y96" i="33" s="1"/>
  <c r="AA99" i="50" s="1"/>
  <c r="X62" i="33"/>
  <c r="Y62" i="33" s="1"/>
  <c r="AA65" i="50" s="1"/>
  <c r="X26" i="33"/>
  <c r="Y26" i="33" s="1"/>
  <c r="AA29" i="50" s="1"/>
  <c r="X115" i="33"/>
  <c r="Y115" i="33" s="1"/>
  <c r="AA118" i="50" s="1"/>
  <c r="X82" i="33"/>
  <c r="Y82" i="33" s="1"/>
  <c r="AA85" i="50" s="1"/>
  <c r="X47" i="33"/>
  <c r="Y47" i="33" s="1"/>
  <c r="AA50" i="50" s="1"/>
  <c r="X135" i="33"/>
  <c r="Y135" i="33" s="1"/>
  <c r="AA138" i="50" s="1"/>
  <c r="X102" i="33"/>
  <c r="Y102" i="33" s="1"/>
  <c r="AA105" i="50" s="1"/>
  <c r="X69" i="33"/>
  <c r="Y69" i="33" s="1"/>
  <c r="AA72" i="50" s="1"/>
  <c r="V9" i="56" s="1"/>
  <c r="X32" i="33"/>
  <c r="Y32" i="33" s="1"/>
  <c r="AA35" i="50" s="1"/>
  <c r="X121" i="33"/>
  <c r="Y121" i="33" s="1"/>
  <c r="AA124" i="50" s="1"/>
  <c r="X89" i="33"/>
  <c r="Y89" i="33" s="1"/>
  <c r="AA92" i="50" s="1"/>
  <c r="X54" i="33"/>
  <c r="Y54" i="33" s="1"/>
  <c r="AA57" i="50" s="1"/>
  <c r="X18" i="33"/>
  <c r="Y18" i="33" s="1"/>
  <c r="AA21" i="50" s="1"/>
  <c r="X124" i="33"/>
  <c r="Y124" i="33" s="1"/>
  <c r="AA127" i="50" s="1"/>
  <c r="X92" i="33"/>
  <c r="Y92" i="33" s="1"/>
  <c r="AA95" i="50" s="1"/>
  <c r="X57" i="33"/>
  <c r="Y57" i="33" s="1"/>
  <c r="AA60" i="50" s="1"/>
  <c r="X22" i="33"/>
  <c r="Y22" i="33" s="1"/>
  <c r="AA25" i="50" s="1"/>
  <c r="X111" i="33"/>
  <c r="Y111" i="33" s="1"/>
  <c r="AA114" i="50" s="1"/>
  <c r="X78" i="33"/>
  <c r="Y78" i="33" s="1"/>
  <c r="AA81" i="50" s="1"/>
  <c r="X43" i="33"/>
  <c r="Y43" i="33" s="1"/>
  <c r="AA46" i="50" s="1"/>
  <c r="X131" i="33"/>
  <c r="Y131" i="33" s="1"/>
  <c r="AA134" i="50" s="1"/>
  <c r="X98" i="33"/>
  <c r="Y98" i="33" s="1"/>
  <c r="AA101" i="50" s="1"/>
  <c r="X64" i="33"/>
  <c r="Y64" i="33" s="1"/>
  <c r="AA67" i="50" s="1"/>
  <c r="X28" i="33"/>
  <c r="Y28" i="33" s="1"/>
  <c r="AA31" i="50" s="1"/>
  <c r="X117" i="33"/>
  <c r="Y117" i="33" s="1"/>
  <c r="AA120" i="50" s="1"/>
  <c r="X84" i="33"/>
  <c r="Y84" i="33" s="1"/>
  <c r="AA87" i="50" s="1"/>
  <c r="X49" i="33"/>
  <c r="Y49" i="33" s="1"/>
  <c r="AA52" i="50" s="1"/>
  <c r="X14" i="33"/>
  <c r="Y14" i="33" s="1"/>
  <c r="AA17" i="50" s="1"/>
  <c r="X120" i="33"/>
  <c r="Y120" i="33" s="1"/>
  <c r="AA123" i="50" s="1"/>
  <c r="X87" i="33"/>
  <c r="Y87" i="33" s="1"/>
  <c r="AA90" i="50" s="1"/>
  <c r="X53" i="33"/>
  <c r="Y53" i="33" s="1"/>
  <c r="AA56" i="50" s="1"/>
  <c r="X17" i="33"/>
  <c r="Y17" i="33" s="1"/>
  <c r="AA20" i="50" s="1"/>
  <c r="X107" i="33"/>
  <c r="Y107" i="33" s="1"/>
  <c r="AA110" i="50" s="1"/>
  <c r="X74" i="33"/>
  <c r="Y74" i="33" s="1"/>
  <c r="AA77" i="50" s="1"/>
  <c r="X38" i="33"/>
  <c r="Y38" i="33" s="1"/>
  <c r="AA41" i="50" s="1"/>
  <c r="X126" i="33"/>
  <c r="Y126" i="33" s="1"/>
  <c r="AA129" i="50" s="1"/>
  <c r="X94" i="33"/>
  <c r="Y94" i="33" s="1"/>
  <c r="AA97" i="50" s="1"/>
  <c r="X59" i="33"/>
  <c r="Y59" i="33" s="1"/>
  <c r="AA62" i="50" s="1"/>
  <c r="X24" i="33"/>
  <c r="Y24" i="33" s="1"/>
  <c r="AA27" i="50" s="1"/>
  <c r="X113" i="33"/>
  <c r="Y113" i="33" s="1"/>
  <c r="AA116" i="50" s="1"/>
  <c r="X80" i="33"/>
  <c r="Y80" i="33" s="1"/>
  <c r="AA83" i="50" s="1"/>
  <c r="X14" i="43"/>
  <c r="Y14" i="43" s="1"/>
  <c r="AE17" i="50" s="1"/>
  <c r="X18" i="43"/>
  <c r="Y18" i="43" s="1"/>
  <c r="AE21" i="50" s="1"/>
  <c r="X23" i="43"/>
  <c r="Y23" i="43" s="1"/>
  <c r="AE26" i="50" s="1"/>
  <c r="X27" i="43"/>
  <c r="Y27" i="43" s="1"/>
  <c r="AE30" i="50" s="1"/>
  <c r="X31" i="43"/>
  <c r="Y31" i="43" s="1"/>
  <c r="AE34" i="50" s="1"/>
  <c r="X35" i="43"/>
  <c r="Y35" i="43" s="1"/>
  <c r="AE38" i="50" s="1"/>
  <c r="X40" i="43"/>
  <c r="Y40" i="43" s="1"/>
  <c r="AE43" i="50" s="1"/>
  <c r="X45" i="43"/>
  <c r="Y45" i="43" s="1"/>
  <c r="AE48" i="50" s="1"/>
  <c r="X49" i="43"/>
  <c r="Y49" i="43" s="1"/>
  <c r="AE52" i="50" s="1"/>
  <c r="X54" i="43"/>
  <c r="Y54" i="43" s="1"/>
  <c r="AE57" i="50" s="1"/>
  <c r="X58" i="43"/>
  <c r="Y58" i="43" s="1"/>
  <c r="AE61" i="50" s="1"/>
  <c r="X63" i="43"/>
  <c r="Y63" i="43" s="1"/>
  <c r="AE66" i="50" s="1"/>
  <c r="X68" i="43"/>
  <c r="Y68" i="43" s="1"/>
  <c r="AE71" i="50" s="1"/>
  <c r="X72" i="43"/>
  <c r="Y72" i="43" s="1"/>
  <c r="AE75" i="50" s="1"/>
  <c r="X76" i="43"/>
  <c r="Y76" i="43" s="1"/>
  <c r="AE79" i="50" s="1"/>
  <c r="X80" i="43"/>
  <c r="Y80" i="43" s="1"/>
  <c r="AE83" i="50" s="1"/>
  <c r="X84" i="43"/>
  <c r="Y84" i="43" s="1"/>
  <c r="AE87" i="50" s="1"/>
  <c r="X89" i="43"/>
  <c r="Y89" i="43" s="1"/>
  <c r="AE92" i="50" s="1"/>
  <c r="X97" i="43"/>
  <c r="Y97" i="43" s="1"/>
  <c r="AE100" i="50" s="1"/>
  <c r="X101" i="43"/>
  <c r="Y101" i="43" s="1"/>
  <c r="AE104" i="50" s="1"/>
  <c r="X105" i="43"/>
  <c r="Y105" i="43" s="1"/>
  <c r="AE108" i="50" s="1"/>
  <c r="X109" i="43"/>
  <c r="Y109" i="43" s="1"/>
  <c r="AE112" i="50" s="1"/>
  <c r="X113" i="43"/>
  <c r="Y113" i="43" s="1"/>
  <c r="AE116" i="50" s="1"/>
  <c r="X117" i="43"/>
  <c r="Y117" i="43" s="1"/>
  <c r="AE120" i="50" s="1"/>
  <c r="X121" i="43"/>
  <c r="Y121" i="43" s="1"/>
  <c r="AE124" i="50" s="1"/>
  <c r="X125" i="43"/>
  <c r="Y125" i="43" s="1"/>
  <c r="AE128" i="50" s="1"/>
  <c r="X130" i="43"/>
  <c r="Y130" i="43" s="1"/>
  <c r="AE133" i="50" s="1"/>
  <c r="X134" i="43"/>
  <c r="Y134" i="43" s="1"/>
  <c r="AE137" i="50" s="1"/>
  <c r="X12" i="43"/>
  <c r="Y12" i="43" s="1"/>
  <c r="AE15" i="50" s="1"/>
  <c r="X15" i="43"/>
  <c r="Y15" i="43" s="1"/>
  <c r="AE18" i="50" s="1"/>
  <c r="X19" i="43"/>
  <c r="Y19" i="43" s="1"/>
  <c r="AE22" i="50" s="1"/>
  <c r="X24" i="43"/>
  <c r="Y24" i="43" s="1"/>
  <c r="AE27" i="50" s="1"/>
  <c r="X28" i="43"/>
  <c r="Y28" i="43" s="1"/>
  <c r="AE31" i="50" s="1"/>
  <c r="X32" i="43"/>
  <c r="Y32" i="43" s="1"/>
  <c r="AE35" i="50" s="1"/>
  <c r="X37" i="43"/>
  <c r="Y37" i="43" s="1"/>
  <c r="AE40" i="50" s="1"/>
  <c r="X42" i="43"/>
  <c r="Y42" i="43" s="1"/>
  <c r="AE45" i="50" s="1"/>
  <c r="X46" i="43"/>
  <c r="Y46" i="43" s="1"/>
  <c r="AE49" i="50" s="1"/>
  <c r="X50" i="43"/>
  <c r="Y50" i="43" s="1"/>
  <c r="AE53" i="50" s="1"/>
  <c r="X55" i="43"/>
  <c r="Y55" i="43" s="1"/>
  <c r="AE58" i="50" s="1"/>
  <c r="X59" i="43"/>
  <c r="Y59" i="43" s="1"/>
  <c r="AE62" i="50" s="1"/>
  <c r="X64" i="43"/>
  <c r="Y64" i="43" s="1"/>
  <c r="AE67" i="50" s="1"/>
  <c r="X69" i="43"/>
  <c r="Y69" i="43" s="1"/>
  <c r="AE72" i="50" s="1"/>
  <c r="X73" i="43"/>
  <c r="Y73" i="43" s="1"/>
  <c r="AE76" i="50" s="1"/>
  <c r="X77" i="43"/>
  <c r="Y77" i="43" s="1"/>
  <c r="AE80" i="50" s="1"/>
  <c r="X81" i="43"/>
  <c r="Y81" i="43" s="1"/>
  <c r="AE84" i="50" s="1"/>
  <c r="X85" i="43"/>
  <c r="Y85" i="43" s="1"/>
  <c r="AE88" i="50" s="1"/>
  <c r="X90" i="43"/>
  <c r="Y90" i="43" s="1"/>
  <c r="AE93" i="50" s="1"/>
  <c r="X94" i="43"/>
  <c r="Y94" i="43" s="1"/>
  <c r="AE97" i="50" s="1"/>
  <c r="X98" i="43"/>
  <c r="Y98" i="43" s="1"/>
  <c r="AE101" i="50" s="1"/>
  <c r="X102" i="43"/>
  <c r="Y102" i="43" s="1"/>
  <c r="AE105" i="50" s="1"/>
  <c r="X106" i="43"/>
  <c r="Y106" i="43" s="1"/>
  <c r="AE109" i="50" s="1"/>
  <c r="X110" i="43"/>
  <c r="Y110" i="43" s="1"/>
  <c r="AE113" i="50" s="1"/>
  <c r="X114" i="43"/>
  <c r="Y114" i="43" s="1"/>
  <c r="AE117" i="50" s="1"/>
  <c r="X118" i="43"/>
  <c r="Y118" i="43" s="1"/>
  <c r="AE121" i="50" s="1"/>
  <c r="X122" i="43"/>
  <c r="Y122" i="43" s="1"/>
  <c r="AE125" i="50" s="1"/>
  <c r="X126" i="43"/>
  <c r="Y126" i="43" s="1"/>
  <c r="AE129" i="50" s="1"/>
  <c r="X131" i="43"/>
  <c r="Y131" i="43" s="1"/>
  <c r="AE134" i="50" s="1"/>
  <c r="X135" i="43"/>
  <c r="Y135" i="43" s="1"/>
  <c r="AE138" i="50" s="1"/>
  <c r="X16" i="43"/>
  <c r="Y16" i="43" s="1"/>
  <c r="AE19" i="50" s="1"/>
  <c r="X20" i="43"/>
  <c r="Y20" i="43" s="1"/>
  <c r="AE23" i="50" s="1"/>
  <c r="X25" i="43"/>
  <c r="Y25" i="43" s="1"/>
  <c r="AE28" i="50" s="1"/>
  <c r="X29" i="43"/>
  <c r="Y29" i="43" s="1"/>
  <c r="AE32" i="50" s="1"/>
  <c r="X33" i="43"/>
  <c r="Y33" i="43" s="1"/>
  <c r="AE36" i="50" s="1"/>
  <c r="X38" i="43"/>
  <c r="Y38" i="43" s="1"/>
  <c r="AE41" i="50" s="1"/>
  <c r="X43" i="43"/>
  <c r="Y43" i="43" s="1"/>
  <c r="AE46" i="50" s="1"/>
  <c r="X47" i="43"/>
  <c r="Y47" i="43" s="1"/>
  <c r="AE50" i="50" s="1"/>
  <c r="X52" i="43"/>
  <c r="Y52" i="43" s="1"/>
  <c r="AE55" i="50" s="1"/>
  <c r="X56" i="43"/>
  <c r="Y56" i="43" s="1"/>
  <c r="AE59" i="50" s="1"/>
  <c r="X60" i="43"/>
  <c r="Y60" i="43" s="1"/>
  <c r="AE63" i="50" s="1"/>
  <c r="X65" i="43"/>
  <c r="Y65" i="43" s="1"/>
  <c r="AE68" i="50" s="1"/>
  <c r="X70" i="43"/>
  <c r="Y70" i="43" s="1"/>
  <c r="AE73" i="50" s="1"/>
  <c r="X74" i="43"/>
  <c r="Y74" i="43" s="1"/>
  <c r="AE77" i="50" s="1"/>
  <c r="X78" i="43"/>
  <c r="Y78" i="43" s="1"/>
  <c r="AE81" i="50" s="1"/>
  <c r="X82" i="43"/>
  <c r="Y82" i="43" s="1"/>
  <c r="AE85" i="50" s="1"/>
  <c r="X86" i="43"/>
  <c r="Y86" i="43" s="1"/>
  <c r="AE89" i="50" s="1"/>
  <c r="AF7" i="63" s="1"/>
  <c r="X91" i="43"/>
  <c r="Y91" i="43" s="1"/>
  <c r="AE94" i="50" s="1"/>
  <c r="X95" i="43"/>
  <c r="Y95" i="43" s="1"/>
  <c r="AE98" i="50" s="1"/>
  <c r="AC10" i="56" s="1"/>
  <c r="X99" i="43"/>
  <c r="Y99" i="43" s="1"/>
  <c r="AE102" i="50" s="1"/>
  <c r="X103" i="43"/>
  <c r="Y103" i="43" s="1"/>
  <c r="AE106" i="50" s="1"/>
  <c r="X107" i="43"/>
  <c r="Y107" i="43" s="1"/>
  <c r="AE110" i="50" s="1"/>
  <c r="X111" i="43"/>
  <c r="Y111" i="43" s="1"/>
  <c r="AE114" i="50" s="1"/>
  <c r="X115" i="43"/>
  <c r="Y115" i="43" s="1"/>
  <c r="AE118" i="50" s="1"/>
  <c r="X119" i="43"/>
  <c r="Y119" i="43" s="1"/>
  <c r="AE122" i="50" s="1"/>
  <c r="X123" i="43"/>
  <c r="Y123" i="43" s="1"/>
  <c r="AE126" i="50" s="1"/>
  <c r="X128" i="43"/>
  <c r="Y128" i="43" s="1"/>
  <c r="AE131" i="50" s="1"/>
  <c r="X132" i="43"/>
  <c r="Y132" i="43" s="1"/>
  <c r="AE135" i="50" s="1"/>
  <c r="X136" i="43"/>
  <c r="Y136" i="43" s="1"/>
  <c r="AE139" i="50" s="1"/>
  <c r="X17" i="43"/>
  <c r="Y17" i="43" s="1"/>
  <c r="AE20" i="50" s="1"/>
  <c r="AN7" i="63" s="1"/>
  <c r="X22" i="43"/>
  <c r="Y22" i="43" s="1"/>
  <c r="AE25" i="50" s="1"/>
  <c r="X26" i="43"/>
  <c r="Y26" i="43" s="1"/>
  <c r="AE29" i="50" s="1"/>
  <c r="X30" i="43"/>
  <c r="Y30" i="43" s="1"/>
  <c r="AE33" i="50" s="1"/>
  <c r="X34" i="43"/>
  <c r="Y34" i="43" s="1"/>
  <c r="AE37" i="50" s="1"/>
  <c r="X39" i="43"/>
  <c r="Y39" i="43" s="1"/>
  <c r="AE42" i="50" s="1"/>
  <c r="X44" i="43"/>
  <c r="Y44" i="43" s="1"/>
  <c r="AE47" i="50" s="1"/>
  <c r="X48" i="43"/>
  <c r="Y48" i="43" s="1"/>
  <c r="AE51" i="50" s="1"/>
  <c r="X53" i="43"/>
  <c r="Y53" i="43" s="1"/>
  <c r="AE56" i="50" s="1"/>
  <c r="X57" i="43"/>
  <c r="Y57" i="43" s="1"/>
  <c r="AE60" i="50" s="1"/>
  <c r="X62" i="43"/>
  <c r="Y62" i="43" s="1"/>
  <c r="AE65" i="50" s="1"/>
  <c r="X66" i="43"/>
  <c r="Y66" i="43" s="1"/>
  <c r="AE69" i="50" s="1"/>
  <c r="X71" i="43"/>
  <c r="Y71" i="43" s="1"/>
  <c r="AE74" i="50" s="1"/>
  <c r="X75" i="43"/>
  <c r="Y75" i="43" s="1"/>
  <c r="AE78" i="50" s="1"/>
  <c r="X79" i="43"/>
  <c r="Y79" i="43" s="1"/>
  <c r="AE82" i="50" s="1"/>
  <c r="X83" i="43"/>
  <c r="Y83" i="43" s="1"/>
  <c r="AE86" i="50" s="1"/>
  <c r="X87" i="43"/>
  <c r="Y87" i="43" s="1"/>
  <c r="AE90" i="50" s="1"/>
  <c r="X92" i="43"/>
  <c r="Y92" i="43" s="1"/>
  <c r="AE95" i="50" s="1"/>
  <c r="X96" i="43"/>
  <c r="Y96" i="43" s="1"/>
  <c r="AE99" i="50" s="1"/>
  <c r="X100" i="43"/>
  <c r="Y100" i="43" s="1"/>
  <c r="AE103" i="50" s="1"/>
  <c r="X104" i="43"/>
  <c r="Y104" i="43" s="1"/>
  <c r="AE107" i="50" s="1"/>
  <c r="X108" i="43"/>
  <c r="Y108" i="43" s="1"/>
  <c r="AE111" i="50" s="1"/>
  <c r="X112" i="43"/>
  <c r="Y112" i="43" s="1"/>
  <c r="AE115" i="50" s="1"/>
  <c r="X116" i="43"/>
  <c r="Y116" i="43" s="1"/>
  <c r="AE119" i="50" s="1"/>
  <c r="X120" i="43"/>
  <c r="Y120" i="43" s="1"/>
  <c r="AE123" i="50" s="1"/>
  <c r="X124" i="43"/>
  <c r="Y124" i="43" s="1"/>
  <c r="AE127" i="50" s="1"/>
  <c r="X129" i="43"/>
  <c r="Y129" i="43" s="1"/>
  <c r="AE132" i="50" s="1"/>
  <c r="X133" i="43"/>
  <c r="Y133" i="43" s="1"/>
  <c r="AE136" i="50" s="1"/>
  <c r="X137" i="43"/>
  <c r="Y137" i="43" s="1"/>
  <c r="AE140" i="50" s="1"/>
  <c r="X18" i="42"/>
  <c r="Y18" i="42" s="1"/>
  <c r="K21" i="50" s="1"/>
  <c r="X84" i="42"/>
  <c r="Y84" i="42" s="1"/>
  <c r="K87" i="50" s="1"/>
  <c r="X66" i="42"/>
  <c r="Y66" i="42" s="1"/>
  <c r="K69" i="50" s="1"/>
  <c r="X20" i="42"/>
  <c r="Y20" i="42" s="1"/>
  <c r="K23" i="50" s="1"/>
  <c r="X31" i="44"/>
  <c r="Y31" i="44" s="1"/>
  <c r="O34" i="50" s="1"/>
  <c r="X34" i="44"/>
  <c r="Y34" i="44" s="1"/>
  <c r="O37" i="50" s="1"/>
  <c r="X54" i="44"/>
  <c r="Y54" i="44" s="1"/>
  <c r="O57" i="50" s="1"/>
  <c r="X122" i="44"/>
  <c r="Y122" i="44" s="1"/>
  <c r="O125" i="50" s="1"/>
  <c r="X90" i="44"/>
  <c r="Y90" i="44" s="1"/>
  <c r="O93" i="50" s="1"/>
  <c r="X48" i="44"/>
  <c r="Y48" i="44" s="1"/>
  <c r="O51" i="50" s="1"/>
  <c r="X25" i="44"/>
  <c r="Y25" i="44" s="1"/>
  <c r="O28" i="50" s="1"/>
  <c r="X86" i="44"/>
  <c r="Y86" i="44" s="1"/>
  <c r="O89" i="50" s="1"/>
  <c r="X113" i="44"/>
  <c r="Y113" i="44" s="1"/>
  <c r="O116" i="50" s="1"/>
  <c r="X130" i="44"/>
  <c r="Y130" i="44" s="1"/>
  <c r="O133" i="50" s="1"/>
  <c r="X18" i="44"/>
  <c r="Y18" i="44" s="1"/>
  <c r="O21" i="50" s="1"/>
  <c r="X60" i="44"/>
  <c r="Y60" i="44" s="1"/>
  <c r="O63" i="50" s="1"/>
  <c r="X69" i="44"/>
  <c r="Y69" i="44" s="1"/>
  <c r="O72" i="50" s="1"/>
  <c r="X96" i="44"/>
  <c r="Y96" i="44" s="1"/>
  <c r="O99" i="50" s="1"/>
  <c r="AF6" i="63" s="1"/>
  <c r="X95" i="44"/>
  <c r="Y95" i="44" s="1"/>
  <c r="O98" i="50" s="1"/>
  <c r="AC6" i="56" s="1"/>
  <c r="X62" i="44"/>
  <c r="Y62" i="44" s="1"/>
  <c r="O65" i="50" s="1"/>
  <c r="X26" i="44"/>
  <c r="Y26" i="44" s="1"/>
  <c r="O29" i="50" s="1"/>
  <c r="X87" i="44"/>
  <c r="Y87" i="44" s="1"/>
  <c r="O90" i="50" s="1"/>
  <c r="X114" i="44"/>
  <c r="Y114" i="44" s="1"/>
  <c r="O117" i="50" s="1"/>
  <c r="X131" i="44"/>
  <c r="Y131" i="44" s="1"/>
  <c r="O134" i="50" s="1"/>
  <c r="X115" i="44"/>
  <c r="Y115" i="44" s="1"/>
  <c r="O118" i="50" s="1"/>
  <c r="X50" i="44"/>
  <c r="Y50" i="44" s="1"/>
  <c r="O53" i="50" s="1"/>
  <c r="X78" i="44"/>
  <c r="Y78" i="44" s="1"/>
  <c r="O81" i="50" s="1"/>
  <c r="X105" i="44"/>
  <c r="Y105" i="44" s="1"/>
  <c r="O108" i="50" s="1"/>
  <c r="X23" i="44"/>
  <c r="Y23" i="44" s="1"/>
  <c r="O26" i="50" s="1"/>
  <c r="X32" i="44"/>
  <c r="Y32" i="44" s="1"/>
  <c r="O35" i="50" s="1"/>
  <c r="X52" i="44"/>
  <c r="Y52" i="44" s="1"/>
  <c r="O55" i="50" s="1"/>
  <c r="X120" i="44"/>
  <c r="Y120" i="44" s="1"/>
  <c r="O123" i="50" s="1"/>
  <c r="X137" i="44"/>
  <c r="Y137" i="44" s="1"/>
  <c r="O140" i="50" s="1"/>
  <c r="X68" i="44"/>
  <c r="Y68" i="44" s="1"/>
  <c r="O71" i="50" s="1"/>
  <c r="X22" i="44"/>
  <c r="Y22" i="44" s="1"/>
  <c r="O25" i="50" s="1"/>
  <c r="X83" i="44"/>
  <c r="Y83" i="44" s="1"/>
  <c r="O86" i="50" s="1"/>
  <c r="X110" i="44"/>
  <c r="Y110" i="44" s="1"/>
  <c r="O113" i="50" s="1"/>
  <c r="X27" i="44"/>
  <c r="Y27" i="44" s="1"/>
  <c r="O30" i="50" s="1"/>
  <c r="X91" i="44"/>
  <c r="Y91" i="44" s="1"/>
  <c r="O94" i="50" s="1"/>
  <c r="X46" i="44"/>
  <c r="Y46" i="44" s="1"/>
  <c r="O49" i="50" s="1"/>
  <c r="X74" i="44"/>
  <c r="Y74" i="44" s="1"/>
  <c r="O77" i="50" s="1"/>
  <c r="X101" i="44"/>
  <c r="Y101" i="44" s="1"/>
  <c r="O104" i="50" s="1"/>
  <c r="X55" i="44"/>
  <c r="Y55" i="44" s="1"/>
  <c r="O58" i="50" s="1"/>
  <c r="X28" i="44"/>
  <c r="Y28" i="44" s="1"/>
  <c r="O31" i="50" s="1"/>
  <c r="X63" i="44"/>
  <c r="Y63" i="44" s="1"/>
  <c r="O66" i="50" s="1"/>
  <c r="X116" i="44"/>
  <c r="Y116" i="44" s="1"/>
  <c r="O119" i="50" s="1"/>
  <c r="X133" i="44"/>
  <c r="Y133" i="44" s="1"/>
  <c r="O136" i="50" s="1"/>
  <c r="X38" i="44"/>
  <c r="Y38" i="44" s="1"/>
  <c r="O41" i="50" s="1"/>
  <c r="X107" i="44"/>
  <c r="Y107" i="44" s="1"/>
  <c r="O110" i="50" s="1"/>
  <c r="X37" i="44"/>
  <c r="Y37" i="44" s="1"/>
  <c r="O40" i="50" s="1"/>
  <c r="X79" i="44"/>
  <c r="Y79" i="44" s="1"/>
  <c r="O82" i="50" s="1"/>
  <c r="X106" i="44"/>
  <c r="Y106" i="44" s="1"/>
  <c r="O109" i="50" s="1"/>
  <c r="X66" i="44"/>
  <c r="Y66" i="44" s="1"/>
  <c r="O69" i="50" s="1"/>
  <c r="X19" i="44"/>
  <c r="Y19" i="44" s="1"/>
  <c r="O22" i="50" s="1"/>
  <c r="X42" i="44"/>
  <c r="Y42" i="44" s="1"/>
  <c r="O45" i="50" s="1"/>
  <c r="X70" i="44"/>
  <c r="Y70" i="44" s="1"/>
  <c r="O73" i="50" s="1"/>
  <c r="X97" i="44"/>
  <c r="Y97" i="44" s="1"/>
  <c r="O100" i="50" s="1"/>
  <c r="X76" i="44"/>
  <c r="Y76" i="44" s="1"/>
  <c r="O79" i="50" s="1"/>
  <c r="X24" i="44"/>
  <c r="Y24" i="44" s="1"/>
  <c r="O27" i="50" s="1"/>
  <c r="X85" i="44"/>
  <c r="Y85" i="44" s="1"/>
  <c r="O88" i="50" s="1"/>
  <c r="X112" i="44"/>
  <c r="Y112" i="44" s="1"/>
  <c r="O115" i="50" s="1"/>
  <c r="X129" i="44"/>
  <c r="Y129" i="44" s="1"/>
  <c r="O132" i="50" s="1"/>
  <c r="X84" i="44"/>
  <c r="Y84" i="44" s="1"/>
  <c r="O87" i="50" s="1"/>
  <c r="X132" i="44"/>
  <c r="Y132" i="44" s="1"/>
  <c r="O135" i="50" s="1"/>
  <c r="X47" i="44"/>
  <c r="Y47" i="44" s="1"/>
  <c r="O50" i="50" s="1"/>
  <c r="X75" i="44"/>
  <c r="Y75" i="44" s="1"/>
  <c r="O78" i="50" s="1"/>
  <c r="X102" i="44"/>
  <c r="Y102" i="44" s="1"/>
  <c r="O105" i="50" s="1"/>
  <c r="X123" i="44"/>
  <c r="Y123" i="44" s="1"/>
  <c r="O126" i="50" s="1"/>
  <c r="X15" i="44"/>
  <c r="Y15" i="44" s="1"/>
  <c r="O18" i="50" s="1"/>
  <c r="X57" i="44"/>
  <c r="Y57" i="44" s="1"/>
  <c r="O60" i="50" s="1"/>
  <c r="X125" i="44"/>
  <c r="Y125" i="44" s="1"/>
  <c r="O128" i="50" s="1"/>
  <c r="X119" i="44"/>
  <c r="Y119" i="44" s="1"/>
  <c r="O122" i="50" s="1"/>
  <c r="X39" i="44"/>
  <c r="Y39" i="44" s="1"/>
  <c r="O42" i="50" s="1"/>
  <c r="X81" i="44"/>
  <c r="Y81" i="44" s="1"/>
  <c r="O84" i="50" s="1"/>
  <c r="X108" i="44"/>
  <c r="Y108" i="44" s="1"/>
  <c r="O111" i="50" s="1"/>
  <c r="X35" i="44"/>
  <c r="Y35" i="44" s="1"/>
  <c r="O38" i="50" s="1"/>
  <c r="X111" i="44"/>
  <c r="Y111" i="44" s="1"/>
  <c r="O114" i="50" s="1"/>
  <c r="X20" i="44"/>
  <c r="Y20" i="44" s="1"/>
  <c r="O23" i="50" s="1"/>
  <c r="X43" i="44"/>
  <c r="Y43" i="44" s="1"/>
  <c r="O46" i="50" s="1"/>
  <c r="X71" i="44"/>
  <c r="Y71" i="44" s="1"/>
  <c r="O74" i="50" s="1"/>
  <c r="X98" i="44"/>
  <c r="Y98" i="44" s="1"/>
  <c r="O101" i="50" s="1"/>
  <c r="X99" i="44"/>
  <c r="Y99" i="44" s="1"/>
  <c r="O102" i="50" s="1"/>
  <c r="X33" i="44"/>
  <c r="Y33" i="44" s="1"/>
  <c r="O36" i="50" s="1"/>
  <c r="X53" i="44"/>
  <c r="Y53" i="44" s="1"/>
  <c r="O56" i="50" s="1"/>
  <c r="X121" i="44"/>
  <c r="Y121" i="44" s="1"/>
  <c r="O124" i="50" s="1"/>
  <c r="X89" i="44"/>
  <c r="Y89" i="44" s="1"/>
  <c r="O92" i="50" s="1"/>
  <c r="X103" i="44"/>
  <c r="Y103" i="44" s="1"/>
  <c r="O106" i="50" s="1"/>
  <c r="X49" i="44"/>
  <c r="Y49" i="44" s="1"/>
  <c r="O52" i="50" s="1"/>
  <c r="X77" i="44"/>
  <c r="Y77" i="44" s="1"/>
  <c r="O80" i="50" s="1"/>
  <c r="X104" i="44"/>
  <c r="Y104" i="44" s="1"/>
  <c r="O107" i="50" s="1"/>
  <c r="X125" i="42"/>
  <c r="Y125" i="42" s="1"/>
  <c r="K128" i="50" s="1"/>
  <c r="X99" i="42"/>
  <c r="Y99" i="42" s="1"/>
  <c r="K102" i="50" s="1"/>
  <c r="X60" i="42"/>
  <c r="Y60" i="42" s="1"/>
  <c r="K63" i="50" s="1"/>
  <c r="X14" i="42"/>
  <c r="Y14" i="42" s="1"/>
  <c r="K17" i="50" s="1"/>
  <c r="X73" i="42"/>
  <c r="Y73" i="42" s="1"/>
  <c r="K76" i="50" s="1"/>
  <c r="X110" i="42"/>
  <c r="Y110" i="42" s="1"/>
  <c r="K113" i="50" s="1"/>
  <c r="X133" i="42"/>
  <c r="Y133" i="42" s="1"/>
  <c r="K136" i="50" s="1"/>
  <c r="X78" i="42"/>
  <c r="Y78" i="42" s="1"/>
  <c r="K81" i="50" s="1"/>
  <c r="X69" i="42"/>
  <c r="Y69" i="42" s="1"/>
  <c r="K72" i="50" s="1"/>
  <c r="X92" i="42"/>
  <c r="Y92" i="42" s="1"/>
  <c r="K95" i="50" s="1"/>
  <c r="X97" i="42"/>
  <c r="Y97" i="42" s="1"/>
  <c r="K100" i="50" s="1"/>
  <c r="X136" i="42"/>
  <c r="Y136" i="42" s="1"/>
  <c r="K139" i="50" s="1"/>
  <c r="X25" i="42"/>
  <c r="Y25" i="42" s="1"/>
  <c r="K28" i="50" s="1"/>
  <c r="X26" i="42"/>
  <c r="Y26" i="42" s="1"/>
  <c r="K29" i="50" s="1"/>
  <c r="X102" i="42"/>
  <c r="Y102" i="42" s="1"/>
  <c r="K105" i="50" s="1"/>
  <c r="X101" i="42"/>
  <c r="Y101" i="42" s="1"/>
  <c r="K104" i="50" s="1"/>
  <c r="X100" i="42"/>
  <c r="Y100" i="42" s="1"/>
  <c r="K103" i="50" s="1"/>
  <c r="X91" i="42"/>
  <c r="Y91" i="42" s="1"/>
  <c r="K94" i="50" s="1"/>
  <c r="X130" i="42"/>
  <c r="Y130" i="42" s="1"/>
  <c r="K133" i="50" s="1"/>
  <c r="X32" i="42"/>
  <c r="Y32" i="42" s="1"/>
  <c r="K35" i="50" s="1"/>
  <c r="X40" i="42"/>
  <c r="Y40" i="42" s="1"/>
  <c r="K43" i="50" s="1"/>
  <c r="X48" i="42"/>
  <c r="Y48" i="42" s="1"/>
  <c r="K51" i="50" s="1"/>
  <c r="X114" i="42"/>
  <c r="Y114" i="42" s="1"/>
  <c r="K117" i="50" s="1"/>
  <c r="X137" i="42"/>
  <c r="Y137" i="42" s="1"/>
  <c r="K140" i="50" s="1"/>
  <c r="X111" i="42"/>
  <c r="Y111" i="42" s="1"/>
  <c r="K114" i="50" s="1"/>
  <c r="X15" i="42"/>
  <c r="Y15" i="42" s="1"/>
  <c r="K18" i="50" s="1"/>
  <c r="X31" i="42"/>
  <c r="Y31" i="42" s="1"/>
  <c r="K34" i="50" s="1"/>
  <c r="X39" i="42"/>
  <c r="Y39" i="42" s="1"/>
  <c r="K42" i="50" s="1"/>
  <c r="X81" i="42"/>
  <c r="Y81" i="42" s="1"/>
  <c r="K84" i="50" s="1"/>
  <c r="X96" i="42"/>
  <c r="Y96" i="42" s="1"/>
  <c r="K99" i="50" s="1"/>
  <c r="AF5" i="63" s="1"/>
  <c r="X126" i="42"/>
  <c r="Y126" i="42" s="1"/>
  <c r="K129" i="50" s="1"/>
  <c r="X134" i="42"/>
  <c r="Y134" i="42" s="1"/>
  <c r="K137" i="50" s="1"/>
  <c r="X33" i="42"/>
  <c r="Y33" i="42" s="1"/>
  <c r="K36" i="50" s="1"/>
  <c r="X132" i="42"/>
  <c r="Y132" i="42" s="1"/>
  <c r="K135" i="50" s="1"/>
  <c r="X46" i="42"/>
  <c r="Y46" i="42" s="1"/>
  <c r="K49" i="50" s="1"/>
  <c r="X63" i="42"/>
  <c r="Y63" i="42" s="1"/>
  <c r="K66" i="50" s="1"/>
  <c r="X104" i="42"/>
  <c r="Y104" i="42" s="1"/>
  <c r="K107" i="50" s="1"/>
  <c r="X71" i="42"/>
  <c r="Y71" i="42" s="1"/>
  <c r="K74" i="50" s="1"/>
  <c r="X89" i="42"/>
  <c r="Y89" i="42" s="1"/>
  <c r="K92" i="50" s="1"/>
  <c r="X135" i="42"/>
  <c r="Y135" i="42" s="1"/>
  <c r="K138" i="50" s="1"/>
  <c r="X42" i="42"/>
  <c r="Y42" i="42" s="1"/>
  <c r="K45" i="50" s="1"/>
  <c r="X109" i="42"/>
  <c r="Y109" i="42" s="1"/>
  <c r="K112" i="50" s="1"/>
  <c r="X23" i="42"/>
  <c r="Y23" i="42" s="1"/>
  <c r="K26" i="50" s="1"/>
  <c r="X75" i="42"/>
  <c r="Y75" i="42" s="1"/>
  <c r="K78" i="50" s="1"/>
  <c r="X107" i="42"/>
  <c r="Y107" i="42" s="1"/>
  <c r="K110" i="50" s="1"/>
  <c r="X90" i="42"/>
  <c r="Y90" i="42" s="1"/>
  <c r="K93" i="50" s="1"/>
  <c r="X105" i="42"/>
  <c r="Y105" i="42" s="1"/>
  <c r="K108" i="50" s="1"/>
  <c r="X112" i="42"/>
  <c r="Y112" i="42" s="1"/>
  <c r="K115" i="50" s="1"/>
  <c r="X85" i="42"/>
  <c r="Y85" i="42" s="1"/>
  <c r="K88" i="50" s="1"/>
  <c r="X103" i="42"/>
  <c r="Y103" i="42" s="1"/>
  <c r="K106" i="50" s="1"/>
  <c r="X68" i="42"/>
  <c r="Y68" i="42" s="1"/>
  <c r="K71" i="50" s="1"/>
  <c r="X116" i="42"/>
  <c r="Y116" i="42" s="1"/>
  <c r="K119" i="50" s="1"/>
  <c r="X30" i="42"/>
  <c r="Y30" i="42" s="1"/>
  <c r="K33" i="50" s="1"/>
  <c r="X38" i="42"/>
  <c r="Y38" i="42" s="1"/>
  <c r="K41" i="50" s="1"/>
  <c r="X19" i="42"/>
  <c r="Y19" i="42" s="1"/>
  <c r="K22" i="50" s="1"/>
  <c r="X35" i="42"/>
  <c r="Y35" i="42" s="1"/>
  <c r="K38" i="50" s="1"/>
  <c r="X44" i="42"/>
  <c r="Y44" i="42" s="1"/>
  <c r="K47" i="50" s="1"/>
  <c r="X77" i="42"/>
  <c r="Y77" i="42" s="1"/>
  <c r="K80" i="50" s="1"/>
  <c r="X70" i="42"/>
  <c r="Y70" i="42" s="1"/>
  <c r="K73" i="50" s="1"/>
  <c r="X58" i="42"/>
  <c r="Y58" i="42" s="1"/>
  <c r="K61" i="50" s="1"/>
  <c r="X108" i="42"/>
  <c r="Y108" i="42" s="1"/>
  <c r="K111" i="50" s="1"/>
  <c r="X22" i="42"/>
  <c r="Y22" i="42" s="1"/>
  <c r="K25" i="50" s="1"/>
  <c r="X29" i="42"/>
  <c r="Y29" i="42" s="1"/>
  <c r="K32" i="50" s="1"/>
  <c r="X128" i="42"/>
  <c r="Y128" i="42" s="1"/>
  <c r="K131" i="50" s="1"/>
  <c r="X27" i="42"/>
  <c r="Y27" i="42" s="1"/>
  <c r="K30" i="50" s="1"/>
  <c r="X34" i="42"/>
  <c r="Y34" i="42" s="1"/>
  <c r="K37" i="50" s="1"/>
  <c r="X115" i="42"/>
  <c r="Y115" i="42" s="1"/>
  <c r="K118" i="50" s="1"/>
  <c r="X47" i="42"/>
  <c r="Y47" i="42" s="1"/>
  <c r="K50" i="50" s="1"/>
  <c r="X98" i="42"/>
  <c r="Y98" i="42" s="1"/>
  <c r="K101" i="50" s="1"/>
  <c r="X28" i="42"/>
  <c r="Y28" i="42" s="1"/>
  <c r="K31" i="50" s="1"/>
  <c r="X113" i="42"/>
  <c r="Y113" i="42" s="1"/>
  <c r="K116" i="50" s="1"/>
  <c r="X45" i="42"/>
  <c r="Y45" i="42" s="1"/>
  <c r="K48" i="50" s="1"/>
  <c r="X120" i="42"/>
  <c r="Y120" i="42" s="1"/>
  <c r="K123" i="50" s="1"/>
  <c r="X53" i="42"/>
  <c r="Y53" i="42" s="1"/>
  <c r="K56" i="50" s="1"/>
  <c r="X118" i="42"/>
  <c r="Y118" i="42" s="1"/>
  <c r="K121" i="50" s="1"/>
  <c r="X50" i="42"/>
  <c r="Y50" i="42" s="1"/>
  <c r="K53" i="50" s="1"/>
  <c r="X16" i="42"/>
  <c r="Y16" i="42" s="1"/>
  <c r="K19" i="50" s="1"/>
  <c r="X76" i="42"/>
  <c r="Y76" i="42" s="1"/>
  <c r="K79" i="50" s="1"/>
  <c r="X95" i="42"/>
  <c r="Y95" i="42" s="1"/>
  <c r="K98" i="50" s="1"/>
  <c r="AC5" i="56" s="1"/>
  <c r="X83" i="42"/>
  <c r="Y83" i="42" s="1"/>
  <c r="K86" i="50" s="1"/>
  <c r="X86" i="42"/>
  <c r="Y86" i="42" s="1"/>
  <c r="K89" i="50" s="1"/>
  <c r="X82" i="42"/>
  <c r="Y82" i="42" s="1"/>
  <c r="K85" i="50" s="1"/>
  <c r="X131" i="42"/>
  <c r="Y131" i="42" s="1"/>
  <c r="K134" i="50" s="1"/>
  <c r="X64" i="42"/>
  <c r="Y64" i="42" s="1"/>
  <c r="K67" i="50" s="1"/>
  <c r="X43" i="42"/>
  <c r="Y43" i="42" s="1"/>
  <c r="K46" i="50" s="1"/>
  <c r="X80" i="42"/>
  <c r="Y80" i="42" s="1"/>
  <c r="K83" i="50" s="1"/>
  <c r="X119" i="42"/>
  <c r="Y119" i="42" s="1"/>
  <c r="K122" i="50" s="1"/>
  <c r="X87" i="42"/>
  <c r="Y87" i="42" s="1"/>
  <c r="K90" i="50" s="1"/>
  <c r="X17" i="42"/>
  <c r="Y17" i="42" s="1"/>
  <c r="K20" i="50" s="1"/>
  <c r="AN5" i="63" s="1"/>
  <c r="X74" i="42"/>
  <c r="Y74" i="42" s="1"/>
  <c r="K77" i="50" s="1"/>
  <c r="X122" i="42"/>
  <c r="Y122" i="42" s="1"/>
  <c r="K125" i="50" s="1"/>
  <c r="X55" i="42"/>
  <c r="Y55" i="42" s="1"/>
  <c r="K58" i="50" s="1"/>
  <c r="X12" i="42"/>
  <c r="Y12" i="42" s="1"/>
  <c r="K15" i="50" s="1"/>
  <c r="X72" i="42"/>
  <c r="Y72" i="42" s="1"/>
  <c r="K75" i="50" s="1"/>
  <c r="X52" i="42"/>
  <c r="Y52" i="42" s="1"/>
  <c r="K55" i="50" s="1"/>
  <c r="X79" i="42"/>
  <c r="Y79" i="42" s="1"/>
  <c r="K82" i="50" s="1"/>
  <c r="X94" i="42"/>
  <c r="Y94" i="42" s="1"/>
  <c r="K97" i="50" s="1"/>
  <c r="X24" i="42"/>
  <c r="Y24" i="42" s="1"/>
  <c r="K27" i="50" s="1"/>
  <c r="X117" i="42"/>
  <c r="Y117" i="42" s="1"/>
  <c r="K120" i="50" s="1"/>
  <c r="X49" i="42"/>
  <c r="Y49" i="42" s="1"/>
  <c r="K52" i="50" s="1"/>
  <c r="X124" i="42"/>
  <c r="Y124" i="42" s="1"/>
  <c r="K127" i="50" s="1"/>
  <c r="X57" i="42"/>
  <c r="Y57" i="42" s="1"/>
  <c r="K60" i="50" s="1"/>
  <c r="X123" i="42"/>
  <c r="Y123" i="42" s="1"/>
  <c r="K126" i="50" s="1"/>
  <c r="X56" i="42"/>
  <c r="Y56" i="42" s="1"/>
  <c r="K59" i="50" s="1"/>
  <c r="X106" i="42"/>
  <c r="Y106" i="42" s="1"/>
  <c r="K109" i="50" s="1"/>
  <c r="X37" i="42"/>
  <c r="Y37" i="42" s="1"/>
  <c r="K40" i="50" s="1"/>
  <c r="X121" i="42"/>
  <c r="Y121" i="42" s="1"/>
  <c r="K124" i="50" s="1"/>
  <c r="X54" i="42"/>
  <c r="Y54" i="42" s="1"/>
  <c r="K57" i="50" s="1"/>
  <c r="X129" i="42"/>
  <c r="Y129" i="42" s="1"/>
  <c r="K132" i="50" s="1"/>
  <c r="AA11" i="56" l="1"/>
  <c r="F10" i="56"/>
  <c r="F7" i="63" s="1"/>
  <c r="AL7" i="63"/>
  <c r="AD7" i="63"/>
  <c r="AD11" i="63"/>
  <c r="AL11" i="63"/>
  <c r="AA10" i="56"/>
  <c r="AN9" i="63"/>
  <c r="AN10" i="63"/>
  <c r="O10" i="56"/>
  <c r="P7" i="63"/>
  <c r="M10" i="56"/>
  <c r="V10" i="56"/>
  <c r="X7" i="63"/>
  <c r="T10" i="56"/>
  <c r="V7" i="63"/>
  <c r="F12" i="56"/>
  <c r="V12" i="56"/>
  <c r="X12" i="63"/>
  <c r="O12" i="56"/>
  <c r="P12" i="63"/>
  <c r="V8" i="56"/>
  <c r="T12" i="56"/>
  <c r="V12" i="63"/>
  <c r="V7" i="56"/>
  <c r="O8" i="56"/>
  <c r="F11" i="56"/>
  <c r="F11" i="63"/>
  <c r="T11" i="56"/>
  <c r="V11" i="63"/>
  <c r="H5" i="56"/>
  <c r="H5" i="63"/>
  <c r="O7" i="56"/>
  <c r="P9" i="63"/>
  <c r="V11" i="56"/>
  <c r="X11" i="63"/>
  <c r="V5" i="56"/>
  <c r="X5" i="63"/>
  <c r="O5" i="56"/>
  <c r="P5" i="63"/>
  <c r="H8" i="56"/>
  <c r="M12" i="56"/>
  <c r="H6" i="56"/>
  <c r="H6" i="63"/>
  <c r="V6" i="56"/>
  <c r="X6" i="63"/>
  <c r="O6" i="56"/>
  <c r="P6" i="63"/>
  <c r="O11" i="56"/>
  <c r="M11" i="56"/>
  <c r="R6" i="62"/>
  <c r="S123" i="50"/>
  <c r="S74" i="50"/>
  <c r="S21" i="50"/>
  <c r="S115" i="50"/>
  <c r="S126" i="50"/>
  <c r="S17" i="50"/>
  <c r="S139" i="50"/>
  <c r="H9" i="56"/>
  <c r="H12" i="56"/>
  <c r="H10" i="56"/>
  <c r="H7" i="63" s="1"/>
  <c r="H11" i="56"/>
  <c r="R4" i="48"/>
  <c r="R4" i="42"/>
  <c r="R4" i="46"/>
  <c r="R4" i="44"/>
  <c r="R4" i="45"/>
  <c r="R4" i="33"/>
  <c r="R4" i="43"/>
  <c r="R4" i="47"/>
  <c r="S25" i="50"/>
  <c r="H9" i="63" s="1"/>
  <c r="V16" i="62" l="1"/>
  <c r="W16" i="62" s="1"/>
  <c r="V17" i="62"/>
  <c r="W17" i="62" s="1"/>
  <c r="V18" i="62"/>
  <c r="W18" i="62" s="1"/>
  <c r="V13" i="62"/>
  <c r="W13" i="62" s="1"/>
  <c r="V15" i="62"/>
  <c r="W15" i="62" s="1"/>
  <c r="V19" i="62"/>
  <c r="W19" i="62" s="1"/>
  <c r="V14" i="62"/>
  <c r="W14" i="62" s="1"/>
  <c r="Y137" i="46"/>
  <c r="S140"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40"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U50" i="45"/>
  <c r="V50" i="45" s="1"/>
  <c r="H50" i="45" s="1"/>
  <c r="U47" i="45"/>
  <c r="V47" i="45" s="1"/>
  <c r="H47" i="45" s="1"/>
  <c r="U53" i="45"/>
  <c r="V53" i="45" s="1"/>
  <c r="H53" i="45" s="1"/>
  <c r="U37" i="45"/>
  <c r="V37" i="45" s="1"/>
  <c r="H37" i="45" s="1"/>
  <c r="U33" i="45"/>
  <c r="V33" i="45" s="1"/>
  <c r="H33" i="45" s="1"/>
  <c r="U84" i="45"/>
  <c r="V84" i="45" s="1"/>
  <c r="H84" i="45" s="1"/>
  <c r="U98" i="45"/>
  <c r="V98" i="45" s="1"/>
  <c r="H98" i="45" s="1"/>
  <c r="U103" i="45"/>
  <c r="V103" i="45" s="1"/>
  <c r="H103" i="45" s="1"/>
  <c r="U18" i="45"/>
  <c r="V18" i="45" s="1"/>
  <c r="H18" i="45" s="1"/>
  <c r="U59" i="45"/>
  <c r="V59" i="45" s="1"/>
  <c r="H59" i="45" s="1"/>
  <c r="U56" i="45"/>
  <c r="V56" i="45" s="1"/>
  <c r="H56" i="45" s="1"/>
  <c r="U62" i="45"/>
  <c r="V62" i="45" s="1"/>
  <c r="H62" i="45" s="1"/>
  <c r="U27" i="45"/>
  <c r="V27" i="45" s="1"/>
  <c r="H27" i="45" s="1"/>
  <c r="U69" i="45"/>
  <c r="V69" i="45" s="1"/>
  <c r="H69" i="45" s="1"/>
  <c r="U65" i="45"/>
  <c r="V65" i="45" s="1"/>
  <c r="H65" i="45" s="1"/>
  <c r="U23" i="45"/>
  <c r="V23" i="45" s="1"/>
  <c r="H23" i="45" s="1"/>
  <c r="U55" i="45"/>
  <c r="V55" i="45" s="1"/>
  <c r="H55" i="45" s="1"/>
  <c r="U52" i="45"/>
  <c r="V52" i="45" s="1"/>
  <c r="H52" i="45" s="1"/>
  <c r="U101" i="45"/>
  <c r="V101" i="45" s="1"/>
  <c r="H101" i="45" s="1"/>
  <c r="U114" i="45"/>
  <c r="V114" i="45" s="1"/>
  <c r="H114" i="45" s="1"/>
  <c r="U48" i="45"/>
  <c r="V48" i="45" s="1"/>
  <c r="H48" i="45" s="1"/>
  <c r="U42" i="45"/>
  <c r="V42" i="45" s="1"/>
  <c r="H42" i="45" s="1"/>
  <c r="U38" i="45"/>
  <c r="V38" i="45" s="1"/>
  <c r="H38" i="45" s="1"/>
  <c r="U44" i="45"/>
  <c r="V44" i="45" s="1"/>
  <c r="H44" i="45" s="1"/>
  <c r="U28" i="45"/>
  <c r="V28" i="45" s="1"/>
  <c r="H28" i="45" s="1"/>
  <c r="U24" i="45"/>
  <c r="V24" i="45" s="1"/>
  <c r="H24" i="45" s="1"/>
  <c r="U26" i="45"/>
  <c r="V26" i="45" s="1"/>
  <c r="H26" i="45" s="1"/>
  <c r="U73" i="45"/>
  <c r="V73" i="45" s="1"/>
  <c r="H73" i="45" s="1"/>
  <c r="U63" i="45"/>
  <c r="V63" i="45" s="1"/>
  <c r="H63" i="45" s="1"/>
  <c r="U106" i="45"/>
  <c r="V106" i="45" s="1"/>
  <c r="H106" i="45" s="1"/>
  <c r="U128" i="45"/>
  <c r="V128" i="45" s="1"/>
  <c r="H128" i="45" s="1"/>
  <c r="U133" i="45"/>
  <c r="V133" i="45" s="1"/>
  <c r="H133" i="45" s="1"/>
  <c r="U66" i="45"/>
  <c r="V66" i="45" s="1"/>
  <c r="H66" i="45" s="1"/>
  <c r="U91" i="45"/>
  <c r="V91" i="45" s="1"/>
  <c r="H91" i="45" s="1"/>
  <c r="U112" i="45"/>
  <c r="V112" i="45" s="1"/>
  <c r="H112" i="45" s="1"/>
  <c r="U131" i="45"/>
  <c r="V131" i="45" s="1"/>
  <c r="H131" i="45" s="1"/>
  <c r="U49" i="45"/>
  <c r="V49" i="45" s="1"/>
  <c r="H49" i="45" s="1"/>
  <c r="U100" i="45"/>
  <c r="V100" i="45" s="1"/>
  <c r="H100" i="45" s="1"/>
  <c r="U110" i="45"/>
  <c r="V110" i="45" s="1"/>
  <c r="H110" i="45" s="1"/>
  <c r="U125" i="45"/>
  <c r="V125" i="45" s="1"/>
  <c r="H125" i="45" s="1"/>
  <c r="U87" i="45"/>
  <c r="V87" i="45" s="1"/>
  <c r="H87" i="45" s="1"/>
  <c r="U32" i="45"/>
  <c r="V32" i="45" s="1"/>
  <c r="H32" i="45" s="1"/>
  <c r="U34" i="45"/>
  <c r="V34" i="45" s="1"/>
  <c r="H34" i="45" s="1"/>
  <c r="U81" i="45"/>
  <c r="V81" i="45" s="1"/>
  <c r="H81" i="45" s="1"/>
  <c r="U79" i="45"/>
  <c r="V79" i="45" s="1"/>
  <c r="H79" i="45" s="1"/>
  <c r="U54" i="45"/>
  <c r="V54" i="45" s="1"/>
  <c r="H54" i="45" s="1"/>
  <c r="U71" i="45"/>
  <c r="V71" i="45" s="1"/>
  <c r="H71" i="45" s="1"/>
  <c r="U72" i="45"/>
  <c r="V72" i="45" s="1"/>
  <c r="H72" i="45" s="1"/>
  <c r="U85" i="45"/>
  <c r="V85" i="45" s="1"/>
  <c r="H85" i="45" s="1"/>
  <c r="U99" i="45"/>
  <c r="V99" i="45" s="1"/>
  <c r="H99" i="45" s="1"/>
  <c r="U120" i="45"/>
  <c r="V120" i="45" s="1"/>
  <c r="H120" i="45" s="1"/>
  <c r="U137" i="45"/>
  <c r="V137" i="45" s="1"/>
  <c r="H137" i="45" s="1"/>
  <c r="U76" i="45"/>
  <c r="V76" i="45" s="1"/>
  <c r="H76" i="45" s="1"/>
  <c r="U94" i="45"/>
  <c r="V94" i="45" s="1"/>
  <c r="H94" i="45" s="1"/>
  <c r="U20" i="45"/>
  <c r="V20" i="45" s="1"/>
  <c r="H20" i="45" s="1"/>
  <c r="U86" i="45"/>
  <c r="V86" i="45" s="1"/>
  <c r="H86" i="45" s="1"/>
  <c r="U82" i="45"/>
  <c r="V82" i="45" s="1"/>
  <c r="H82" i="45" s="1"/>
  <c r="U19" i="45"/>
  <c r="V19" i="45" s="1"/>
  <c r="H19" i="45" s="1"/>
  <c r="U118" i="45"/>
  <c r="V118" i="45" s="1"/>
  <c r="H118" i="45" s="1"/>
  <c r="U14" i="45"/>
  <c r="V14" i="45" s="1"/>
  <c r="H14" i="45" s="1"/>
  <c r="U77" i="45"/>
  <c r="V77" i="45" s="1"/>
  <c r="H77" i="45" s="1"/>
  <c r="U31" i="45"/>
  <c r="V31" i="45" s="1"/>
  <c r="H31" i="45" s="1"/>
  <c r="U17" i="45"/>
  <c r="V17" i="45" s="1"/>
  <c r="H17" i="45" s="1"/>
  <c r="U83" i="45"/>
  <c r="V83" i="45" s="1"/>
  <c r="H83" i="45" s="1"/>
  <c r="U89" i="45"/>
  <c r="V89" i="45" s="1"/>
  <c r="H89" i="45" s="1"/>
  <c r="U107" i="45"/>
  <c r="V107" i="45" s="1"/>
  <c r="H107" i="45" s="1"/>
  <c r="U129" i="45"/>
  <c r="V129" i="45" s="1"/>
  <c r="H129" i="45" s="1"/>
  <c r="U122" i="45"/>
  <c r="V122" i="45" s="1"/>
  <c r="H122" i="45" s="1"/>
  <c r="U43" i="45"/>
  <c r="V43" i="45" s="1"/>
  <c r="H43" i="45" s="1"/>
  <c r="U105" i="45"/>
  <c r="V105" i="45" s="1"/>
  <c r="H105" i="45" s="1"/>
  <c r="U123" i="45"/>
  <c r="V123" i="45" s="1"/>
  <c r="H123" i="45" s="1"/>
  <c r="U39" i="45"/>
  <c r="V39" i="45" s="1"/>
  <c r="H39" i="45" s="1"/>
  <c r="U108" i="45"/>
  <c r="V108" i="45" s="1"/>
  <c r="H108" i="45" s="1"/>
  <c r="U130" i="45"/>
  <c r="V130" i="45" s="1"/>
  <c r="H130" i="45" s="1"/>
  <c r="U22" i="45"/>
  <c r="V22" i="45" s="1"/>
  <c r="H22" i="45" s="1"/>
  <c r="U15" i="45"/>
  <c r="V15" i="45" s="1"/>
  <c r="H15" i="45" s="1"/>
  <c r="U40" i="45"/>
  <c r="V40" i="45" s="1"/>
  <c r="H40" i="45" s="1"/>
  <c r="U25" i="45"/>
  <c r="V25" i="45" s="1"/>
  <c r="H25" i="45" s="1"/>
  <c r="U109" i="45"/>
  <c r="V109" i="45" s="1"/>
  <c r="H109" i="45" s="1"/>
  <c r="U80" i="45"/>
  <c r="V80" i="45" s="1"/>
  <c r="H80" i="45" s="1"/>
  <c r="U92" i="45"/>
  <c r="V92" i="45" s="1"/>
  <c r="H92" i="45" s="1"/>
  <c r="U97" i="45"/>
  <c r="V97" i="45" s="1"/>
  <c r="H97" i="45" s="1"/>
  <c r="U102" i="45"/>
  <c r="V102" i="45" s="1"/>
  <c r="H102" i="45" s="1"/>
  <c r="U115" i="45"/>
  <c r="V115" i="45" s="1"/>
  <c r="H115" i="45" s="1"/>
  <c r="U134" i="45"/>
  <c r="V134" i="45" s="1"/>
  <c r="H134" i="45" s="1"/>
  <c r="U136" i="45"/>
  <c r="V136" i="45" s="1"/>
  <c r="H136" i="45" s="1"/>
  <c r="U95" i="45"/>
  <c r="V95" i="45" s="1"/>
  <c r="H95" i="45" s="1"/>
  <c r="U30" i="45"/>
  <c r="V30" i="45" s="1"/>
  <c r="H30" i="45" s="1"/>
  <c r="U117" i="45"/>
  <c r="V117" i="45" s="1"/>
  <c r="H117" i="45" s="1"/>
  <c r="U12" i="45"/>
  <c r="V12" i="45" s="1"/>
  <c r="H12" i="45" s="1"/>
  <c r="Z3" i="34" s="1"/>
  <c r="D45" i="70" s="1"/>
  <c r="U60" i="45"/>
  <c r="V60" i="45" s="1"/>
  <c r="H60" i="45" s="1"/>
  <c r="U29" i="45"/>
  <c r="V29" i="45" s="1"/>
  <c r="H29" i="45" s="1"/>
  <c r="U113" i="45"/>
  <c r="V113" i="45" s="1"/>
  <c r="H113" i="45" s="1"/>
  <c r="U45" i="45"/>
  <c r="V45" i="45" s="1"/>
  <c r="H45" i="45" s="1"/>
  <c r="U90" i="45"/>
  <c r="V90" i="45" s="1"/>
  <c r="H90" i="45" s="1"/>
  <c r="U68" i="45"/>
  <c r="V68" i="45" s="1"/>
  <c r="H68" i="45" s="1"/>
  <c r="U46" i="45"/>
  <c r="V46" i="45" s="1"/>
  <c r="H46" i="45" s="1"/>
  <c r="U74" i="45"/>
  <c r="V74" i="45" s="1"/>
  <c r="H74" i="45" s="1"/>
  <c r="U111" i="45"/>
  <c r="V111" i="45" s="1"/>
  <c r="H111" i="45" s="1"/>
  <c r="U96" i="45"/>
  <c r="V96" i="45" s="1"/>
  <c r="H96" i="45" s="1"/>
  <c r="U116" i="45"/>
  <c r="V116" i="45" s="1"/>
  <c r="H116" i="45" s="1"/>
  <c r="U70" i="45"/>
  <c r="V70" i="45" s="1"/>
  <c r="H70" i="45" s="1"/>
  <c r="U78" i="45"/>
  <c r="V78" i="45" s="1"/>
  <c r="H78" i="45" s="1"/>
  <c r="U16" i="45"/>
  <c r="V16" i="45" s="1"/>
  <c r="H16" i="45" s="1"/>
  <c r="U119" i="45"/>
  <c r="V119" i="45" s="1"/>
  <c r="H119" i="45" s="1"/>
  <c r="U104" i="45"/>
  <c r="V104" i="45" s="1"/>
  <c r="H104" i="45" s="1"/>
  <c r="U132" i="45"/>
  <c r="V132" i="45" s="1"/>
  <c r="H132" i="45" s="1"/>
  <c r="U58" i="45"/>
  <c r="V58" i="45" s="1"/>
  <c r="H58" i="45" s="1"/>
  <c r="U64" i="45"/>
  <c r="V64" i="45" s="1"/>
  <c r="H64" i="45" s="1"/>
  <c r="U124" i="45"/>
  <c r="V124" i="45" s="1"/>
  <c r="H124" i="45" s="1"/>
  <c r="U135" i="45"/>
  <c r="V135" i="45" s="1"/>
  <c r="H135" i="45" s="1"/>
  <c r="U121" i="45"/>
  <c r="V121" i="45" s="1"/>
  <c r="H121" i="45" s="1"/>
  <c r="U35" i="45"/>
  <c r="V35" i="45" s="1"/>
  <c r="H35" i="45" s="1"/>
  <c r="U75" i="45"/>
  <c r="V75" i="45" s="1"/>
  <c r="H75" i="45" s="1"/>
  <c r="U126" i="45"/>
  <c r="V126" i="45" s="1"/>
  <c r="H126" i="45" s="1"/>
  <c r="U16" i="33"/>
  <c r="V16" i="33" s="1"/>
  <c r="H16" i="33" s="1"/>
  <c r="I18" i="65" s="1"/>
  <c r="Q18" i="65" s="1"/>
  <c r="U22" i="33"/>
  <c r="V22" i="33" s="1"/>
  <c r="H22" i="33" s="1"/>
  <c r="I24" i="65" s="1"/>
  <c r="Q24" i="65" s="1"/>
  <c r="U54" i="33"/>
  <c r="V54" i="33" s="1"/>
  <c r="H54" i="33" s="1"/>
  <c r="I56" i="65" s="1"/>
  <c r="Q56" i="65" s="1"/>
  <c r="U38" i="33"/>
  <c r="V38" i="33" s="1"/>
  <c r="H38" i="33" s="1"/>
  <c r="I40" i="65" s="1"/>
  <c r="Q40" i="65" s="1"/>
  <c r="U49" i="33"/>
  <c r="V49" i="33" s="1"/>
  <c r="H49" i="33" s="1"/>
  <c r="I51" i="65" s="1"/>
  <c r="Q51" i="65" s="1"/>
  <c r="U101" i="33"/>
  <c r="V101" i="33" s="1"/>
  <c r="H101" i="33" s="1"/>
  <c r="I103" i="65" s="1"/>
  <c r="Q103" i="65" s="1"/>
  <c r="U90" i="33"/>
  <c r="V90" i="33" s="1"/>
  <c r="H90" i="33" s="1"/>
  <c r="I92" i="65" s="1"/>
  <c r="Q92" i="65" s="1"/>
  <c r="U78" i="33"/>
  <c r="V78" i="33" s="1"/>
  <c r="H78" i="33" s="1"/>
  <c r="I80" i="65" s="1"/>
  <c r="Q80" i="65" s="1"/>
  <c r="U83" i="33"/>
  <c r="V83" i="33" s="1"/>
  <c r="H83" i="33" s="1"/>
  <c r="I85" i="65" s="1"/>
  <c r="Q85" i="65" s="1"/>
  <c r="U43" i="33"/>
  <c r="V43" i="33" s="1"/>
  <c r="H43" i="33" s="1"/>
  <c r="I45" i="65" s="1"/>
  <c r="Q45" i="65" s="1"/>
  <c r="U121" i="33"/>
  <c r="V121" i="33" s="1"/>
  <c r="H121" i="33" s="1"/>
  <c r="I123" i="65" s="1"/>
  <c r="Q123" i="65" s="1"/>
  <c r="U65" i="33"/>
  <c r="V65" i="33" s="1"/>
  <c r="H65" i="33" s="1"/>
  <c r="I67" i="65" s="1"/>
  <c r="Q67" i="65" s="1"/>
  <c r="U62" i="33"/>
  <c r="V62" i="33" s="1"/>
  <c r="H62" i="33" s="1"/>
  <c r="I64" i="65" s="1"/>
  <c r="Q64" i="65" s="1"/>
  <c r="U129" i="33"/>
  <c r="V129" i="33" s="1"/>
  <c r="H129" i="33" s="1"/>
  <c r="I131" i="65" s="1"/>
  <c r="Q131" i="65" s="1"/>
  <c r="U118" i="33"/>
  <c r="V118" i="33" s="1"/>
  <c r="H118" i="33" s="1"/>
  <c r="I120" i="65" s="1"/>
  <c r="Q120" i="65" s="1"/>
  <c r="U19" i="33"/>
  <c r="V19" i="33" s="1"/>
  <c r="H19" i="33" s="1"/>
  <c r="I21" i="65" s="1"/>
  <c r="Q21" i="65" s="1"/>
  <c r="U30" i="33"/>
  <c r="V30" i="33" s="1"/>
  <c r="H30" i="33" s="1"/>
  <c r="I32" i="65" s="1"/>
  <c r="Q32" i="65" s="1"/>
  <c r="U15" i="33"/>
  <c r="V15" i="33" s="1"/>
  <c r="H15" i="33" s="1"/>
  <c r="I17" i="65" s="1"/>
  <c r="Q17" i="65" s="1"/>
  <c r="U47" i="33"/>
  <c r="V47" i="33" s="1"/>
  <c r="H47" i="33" s="1"/>
  <c r="I49" i="65" s="1"/>
  <c r="Q49" i="65" s="1"/>
  <c r="U58" i="33"/>
  <c r="V58" i="33" s="1"/>
  <c r="H58" i="33" s="1"/>
  <c r="I60" i="65" s="1"/>
  <c r="Q60" i="65" s="1"/>
  <c r="U109" i="33"/>
  <c r="V109" i="33" s="1"/>
  <c r="H109" i="33" s="1"/>
  <c r="I111" i="65" s="1"/>
  <c r="Q111" i="65" s="1"/>
  <c r="U98" i="33"/>
  <c r="V98" i="33" s="1"/>
  <c r="H98" i="33" s="1"/>
  <c r="I100" i="65" s="1"/>
  <c r="Q100" i="65" s="1"/>
  <c r="U86" i="33"/>
  <c r="V86" i="33" s="1"/>
  <c r="H86" i="33" s="1"/>
  <c r="I88" i="65" s="1"/>
  <c r="Q88" i="65" s="1"/>
  <c r="U92" i="33"/>
  <c r="V92" i="33" s="1"/>
  <c r="H92" i="33" s="1"/>
  <c r="I94" i="65" s="1"/>
  <c r="Q94" i="65" s="1"/>
  <c r="U63" i="33"/>
  <c r="V63" i="33" s="1"/>
  <c r="H63" i="33" s="1"/>
  <c r="I65" i="65" s="1"/>
  <c r="Q65" i="65" s="1"/>
  <c r="U59" i="33"/>
  <c r="V59" i="33" s="1"/>
  <c r="H59" i="33" s="1"/>
  <c r="I61" i="65" s="1"/>
  <c r="Q61" i="65" s="1"/>
  <c r="U74" i="33"/>
  <c r="V74" i="33" s="1"/>
  <c r="H74" i="33" s="1"/>
  <c r="I76" i="65" s="1"/>
  <c r="Q76" i="65" s="1"/>
  <c r="U71" i="33"/>
  <c r="V71" i="33" s="1"/>
  <c r="H71" i="33" s="1"/>
  <c r="I73" i="65" s="1"/>
  <c r="Q73" i="65" s="1"/>
  <c r="U137" i="33"/>
  <c r="V137" i="33" s="1"/>
  <c r="H137" i="33" s="1"/>
  <c r="I139" i="65" s="1"/>
  <c r="Q139" i="65" s="1"/>
  <c r="U123" i="33"/>
  <c r="V123" i="33" s="1"/>
  <c r="H123" i="33" s="1"/>
  <c r="I125" i="65" s="1"/>
  <c r="Q125" i="65" s="1"/>
  <c r="U28" i="33"/>
  <c r="V28" i="33" s="1"/>
  <c r="H28" i="33" s="1"/>
  <c r="I30" i="65" s="1"/>
  <c r="Q30" i="65" s="1"/>
  <c r="U39" i="33"/>
  <c r="V39" i="33" s="1"/>
  <c r="H39" i="33" s="1"/>
  <c r="I41" i="65" s="1"/>
  <c r="Q41" i="65" s="1"/>
  <c r="U24" i="33"/>
  <c r="V24" i="33" s="1"/>
  <c r="H24" i="33" s="1"/>
  <c r="I26" i="65" s="1"/>
  <c r="Q26" i="65" s="1"/>
  <c r="U26" i="33"/>
  <c r="V26" i="33" s="1"/>
  <c r="H26" i="33" s="1"/>
  <c r="I28" i="65" s="1"/>
  <c r="Q28" i="65" s="1"/>
  <c r="U55" i="33"/>
  <c r="V55" i="33" s="1"/>
  <c r="H55" i="33" s="1"/>
  <c r="I57" i="65" s="1"/>
  <c r="Q57" i="65" s="1"/>
  <c r="U117" i="33"/>
  <c r="V117" i="33" s="1"/>
  <c r="H117" i="33" s="1"/>
  <c r="I119" i="65" s="1"/>
  <c r="Q119" i="65" s="1"/>
  <c r="U106" i="33"/>
  <c r="V106" i="33" s="1"/>
  <c r="H106" i="33" s="1"/>
  <c r="I108" i="65" s="1"/>
  <c r="Q108" i="65" s="1"/>
  <c r="U95" i="33"/>
  <c r="V95" i="33" s="1"/>
  <c r="H95" i="33" s="1"/>
  <c r="I97" i="65" s="1"/>
  <c r="Q97" i="65" s="1"/>
  <c r="U100" i="33"/>
  <c r="V100" i="33" s="1"/>
  <c r="H100" i="33" s="1"/>
  <c r="I102" i="65" s="1"/>
  <c r="Q102" i="65" s="1"/>
  <c r="U72" i="33"/>
  <c r="V72" i="33" s="1"/>
  <c r="H72" i="33" s="1"/>
  <c r="I74" i="65" s="1"/>
  <c r="Q74" i="65" s="1"/>
  <c r="U69" i="33"/>
  <c r="V69" i="33" s="1"/>
  <c r="H69" i="33" s="1"/>
  <c r="I71" i="65" s="1"/>
  <c r="Q71" i="65" s="1"/>
  <c r="U82" i="33"/>
  <c r="V82" i="33" s="1"/>
  <c r="H82" i="33" s="1"/>
  <c r="I84" i="65" s="1"/>
  <c r="Q84" i="65" s="1"/>
  <c r="U79" i="33"/>
  <c r="V79" i="33" s="1"/>
  <c r="H79" i="33" s="1"/>
  <c r="I81" i="65" s="1"/>
  <c r="Q81" i="65" s="1"/>
  <c r="U136" i="33"/>
  <c r="V136" i="33" s="1"/>
  <c r="H136" i="33" s="1"/>
  <c r="I138" i="65" s="1"/>
  <c r="Q138" i="65" s="1"/>
  <c r="U131" i="33"/>
  <c r="V131" i="33" s="1"/>
  <c r="H131" i="33" s="1"/>
  <c r="I133" i="65" s="1"/>
  <c r="Q133" i="65" s="1"/>
  <c r="U46" i="33"/>
  <c r="V46" i="33" s="1"/>
  <c r="H46" i="33" s="1"/>
  <c r="I48" i="65" s="1"/>
  <c r="Q48" i="65" s="1"/>
  <c r="U18" i="33"/>
  <c r="V18" i="33" s="1"/>
  <c r="H18" i="33" s="1"/>
  <c r="I20" i="65" s="1"/>
  <c r="Q20" i="65" s="1"/>
  <c r="U42" i="33"/>
  <c r="V42" i="33" s="1"/>
  <c r="H42" i="33" s="1"/>
  <c r="I44" i="65" s="1"/>
  <c r="Q44" i="65" s="1"/>
  <c r="U17" i="33"/>
  <c r="V17" i="33" s="1"/>
  <c r="H17" i="33" s="1"/>
  <c r="I19" i="65" s="1"/>
  <c r="Q19" i="65" s="1"/>
  <c r="U68" i="33"/>
  <c r="V68" i="33" s="1"/>
  <c r="H68" i="33" s="1"/>
  <c r="I70" i="65" s="1"/>
  <c r="Q70" i="65" s="1"/>
  <c r="U44" i="33"/>
  <c r="V44" i="33" s="1"/>
  <c r="H44" i="33" s="1"/>
  <c r="I46" i="65" s="1"/>
  <c r="Q46" i="65" s="1"/>
  <c r="U52" i="33"/>
  <c r="V52" i="33" s="1"/>
  <c r="H52" i="33" s="1"/>
  <c r="I54" i="65" s="1"/>
  <c r="Q54" i="65" s="1"/>
  <c r="U111" i="33"/>
  <c r="V111" i="33" s="1"/>
  <c r="H111" i="33" s="1"/>
  <c r="I113" i="65" s="1"/>
  <c r="Q113" i="65" s="1"/>
  <c r="U116" i="33"/>
  <c r="V116" i="33" s="1"/>
  <c r="H116" i="33" s="1"/>
  <c r="I118" i="65" s="1"/>
  <c r="Q118" i="65" s="1"/>
  <c r="U89" i="33"/>
  <c r="V89" i="33" s="1"/>
  <c r="H89" i="33" s="1"/>
  <c r="I91" i="65" s="1"/>
  <c r="Q91" i="65" s="1"/>
  <c r="U85" i="33"/>
  <c r="V85" i="33" s="1"/>
  <c r="H85" i="33" s="1"/>
  <c r="I87" i="65" s="1"/>
  <c r="Q87" i="65" s="1"/>
  <c r="U99" i="33"/>
  <c r="V99" i="33" s="1"/>
  <c r="H99" i="33" s="1"/>
  <c r="I101" i="65" s="1"/>
  <c r="Q101" i="65" s="1"/>
  <c r="U96" i="33"/>
  <c r="V96" i="33" s="1"/>
  <c r="H96" i="33" s="1"/>
  <c r="I98" i="65" s="1"/>
  <c r="Q98" i="65" s="1"/>
  <c r="U130" i="33"/>
  <c r="V130" i="33" s="1"/>
  <c r="H130" i="33" s="1"/>
  <c r="I132" i="65" s="1"/>
  <c r="Q132" i="65" s="1"/>
  <c r="U132" i="33"/>
  <c r="V132" i="33" s="1"/>
  <c r="H132" i="33" s="1"/>
  <c r="I134" i="65" s="1"/>
  <c r="Q134" i="65" s="1"/>
  <c r="U33" i="33"/>
  <c r="V33" i="33" s="1"/>
  <c r="H33" i="33" s="1"/>
  <c r="I35" i="65" s="1"/>
  <c r="Q35" i="65" s="1"/>
  <c r="U45" i="33"/>
  <c r="V45" i="33" s="1"/>
  <c r="H45" i="33" s="1"/>
  <c r="I47" i="65" s="1"/>
  <c r="Q47" i="65" s="1"/>
  <c r="U29" i="33"/>
  <c r="V29" i="33" s="1"/>
  <c r="H29" i="33" s="1"/>
  <c r="I31" i="65" s="1"/>
  <c r="Q31" i="65" s="1"/>
  <c r="U40" i="33"/>
  <c r="V40" i="33" s="1"/>
  <c r="H40" i="33" s="1"/>
  <c r="I42" i="65" s="1"/>
  <c r="Q42" i="65" s="1"/>
  <c r="U81" i="33"/>
  <c r="V81" i="33" s="1"/>
  <c r="H81" i="33" s="1"/>
  <c r="I83" i="65" s="1"/>
  <c r="Q83" i="65" s="1"/>
  <c r="U70" i="33"/>
  <c r="V70" i="33" s="1"/>
  <c r="H70" i="33" s="1"/>
  <c r="I72" i="65" s="1"/>
  <c r="Q72" i="65" s="1"/>
  <c r="U75" i="33"/>
  <c r="V75" i="33" s="1"/>
  <c r="H75" i="33" s="1"/>
  <c r="I77" i="65" s="1"/>
  <c r="Q77" i="65" s="1"/>
  <c r="U12" i="33"/>
  <c r="V12" i="33" s="1"/>
  <c r="H12" i="33" s="1"/>
  <c r="I14" i="65" s="1"/>
  <c r="Q14" i="65" s="1"/>
  <c r="U113" i="33"/>
  <c r="V113" i="33" s="1"/>
  <c r="H113" i="33" s="1"/>
  <c r="I115" i="65" s="1"/>
  <c r="Q115" i="65" s="1"/>
  <c r="U110" i="33"/>
  <c r="V110" i="33" s="1"/>
  <c r="H110" i="33" s="1"/>
  <c r="I112" i="65" s="1"/>
  <c r="Q112" i="65" s="1"/>
  <c r="U56" i="33"/>
  <c r="V56" i="33" s="1"/>
  <c r="H56" i="33" s="1"/>
  <c r="I58" i="65" s="1"/>
  <c r="Q58" i="65" s="1"/>
  <c r="U120" i="33"/>
  <c r="V120" i="33" s="1"/>
  <c r="H120" i="33" s="1"/>
  <c r="I122" i="65" s="1"/>
  <c r="Q122" i="65" s="1"/>
  <c r="U122" i="33"/>
  <c r="V122" i="33" s="1"/>
  <c r="H122" i="33" s="1"/>
  <c r="I124" i="65" s="1"/>
  <c r="Q124" i="65" s="1"/>
  <c r="U25" i="33"/>
  <c r="V25" i="33" s="1"/>
  <c r="H25" i="33" s="1"/>
  <c r="I27" i="65" s="1"/>
  <c r="Q27" i="65" s="1"/>
  <c r="U23" i="33"/>
  <c r="V23" i="33" s="1"/>
  <c r="H23" i="33" s="1"/>
  <c r="I25" i="65" s="1"/>
  <c r="Q25" i="65" s="1"/>
  <c r="U114" i="33"/>
  <c r="V114" i="33" s="1"/>
  <c r="H114" i="33" s="1"/>
  <c r="I116" i="65" s="1"/>
  <c r="Q116" i="65" s="1"/>
  <c r="U133" i="33"/>
  <c r="V133" i="33" s="1"/>
  <c r="H133" i="33" s="1"/>
  <c r="I135" i="65" s="1"/>
  <c r="Q135" i="65" s="1"/>
  <c r="U107" i="33"/>
  <c r="V107" i="33" s="1"/>
  <c r="H107" i="33" s="1"/>
  <c r="I109" i="65" s="1"/>
  <c r="Q109" i="65" s="1"/>
  <c r="U135" i="33"/>
  <c r="V135" i="33" s="1"/>
  <c r="H135" i="33" s="1"/>
  <c r="I137" i="65" s="1"/>
  <c r="Q137" i="65" s="1"/>
  <c r="U112" i="33"/>
  <c r="V112" i="33" s="1"/>
  <c r="H112" i="33" s="1"/>
  <c r="I114" i="65" s="1"/>
  <c r="Q114" i="65" s="1"/>
  <c r="U66" i="33"/>
  <c r="V66" i="33" s="1"/>
  <c r="H66" i="33" s="1"/>
  <c r="I68" i="65" s="1"/>
  <c r="Q68" i="65" s="1"/>
  <c r="U126" i="33"/>
  <c r="V126" i="33" s="1"/>
  <c r="H126" i="33" s="1"/>
  <c r="I128" i="65" s="1"/>
  <c r="Q128" i="65" s="1"/>
  <c r="U102" i="33"/>
  <c r="V102" i="33" s="1"/>
  <c r="H102" i="33" s="1"/>
  <c r="I104" i="65" s="1"/>
  <c r="Q104" i="65" s="1"/>
  <c r="U48" i="33"/>
  <c r="V48" i="33" s="1"/>
  <c r="H48" i="33" s="1"/>
  <c r="I50" i="65" s="1"/>
  <c r="Q50" i="65" s="1"/>
  <c r="U31" i="33"/>
  <c r="V31" i="33" s="1"/>
  <c r="H31" i="33" s="1"/>
  <c r="I33" i="65" s="1"/>
  <c r="Q33" i="65" s="1"/>
  <c r="U53" i="33"/>
  <c r="V53" i="33" s="1"/>
  <c r="H53" i="33" s="1"/>
  <c r="I55" i="65" s="1"/>
  <c r="Q55" i="65" s="1"/>
  <c r="U80" i="33"/>
  <c r="V80" i="33" s="1"/>
  <c r="H80" i="33" s="1"/>
  <c r="I82" i="65" s="1"/>
  <c r="Q82" i="65" s="1"/>
  <c r="U115" i="33"/>
  <c r="V115" i="33" s="1"/>
  <c r="H115" i="33" s="1"/>
  <c r="I117" i="65" s="1"/>
  <c r="Q117" i="65" s="1"/>
  <c r="U64" i="33"/>
  <c r="V64" i="33" s="1"/>
  <c r="H64" i="33" s="1"/>
  <c r="I66" i="65" s="1"/>
  <c r="Q66" i="65" s="1"/>
  <c r="U27" i="33"/>
  <c r="V27" i="33" s="1"/>
  <c r="H27" i="33" s="1"/>
  <c r="I29" i="65" s="1"/>
  <c r="Q29" i="65" s="1"/>
  <c r="U57" i="33"/>
  <c r="V57" i="33" s="1"/>
  <c r="H57" i="33" s="1"/>
  <c r="I59" i="65" s="1"/>
  <c r="Q59" i="65" s="1"/>
  <c r="U60" i="33"/>
  <c r="V60" i="33" s="1"/>
  <c r="H60" i="33" s="1"/>
  <c r="I62" i="65" s="1"/>
  <c r="Q62" i="65" s="1"/>
  <c r="U97" i="33"/>
  <c r="V97" i="33" s="1"/>
  <c r="H97" i="33" s="1"/>
  <c r="I99" i="65" s="1"/>
  <c r="Q99" i="65" s="1"/>
  <c r="U87" i="33"/>
  <c r="V87" i="33" s="1"/>
  <c r="H87" i="33" s="1"/>
  <c r="I89" i="65" s="1"/>
  <c r="Q89" i="65" s="1"/>
  <c r="U77" i="33"/>
  <c r="V77" i="33" s="1"/>
  <c r="H77" i="33" s="1"/>
  <c r="I79" i="65" s="1"/>
  <c r="Q79" i="65" s="1"/>
  <c r="U37" i="33"/>
  <c r="V37" i="33" s="1"/>
  <c r="H37" i="33" s="1"/>
  <c r="I39" i="65" s="1"/>
  <c r="Q39" i="65" s="1"/>
  <c r="U35" i="33"/>
  <c r="V35" i="33" s="1"/>
  <c r="H35" i="33" s="1"/>
  <c r="I37" i="65" s="1"/>
  <c r="Q37" i="65" s="1"/>
  <c r="U76" i="33"/>
  <c r="V76" i="33" s="1"/>
  <c r="H76" i="33" s="1"/>
  <c r="I78" i="65" s="1"/>
  <c r="Q78" i="65" s="1"/>
  <c r="U103" i="33"/>
  <c r="V103" i="33" s="1"/>
  <c r="H103" i="33" s="1"/>
  <c r="I105" i="65" s="1"/>
  <c r="Q105" i="65" s="1"/>
  <c r="U105" i="33"/>
  <c r="V105" i="33" s="1"/>
  <c r="H105" i="33" s="1"/>
  <c r="I107" i="65" s="1"/>
  <c r="Q107" i="65" s="1"/>
  <c r="U104" i="33"/>
  <c r="V104" i="33" s="1"/>
  <c r="H104" i="33" s="1"/>
  <c r="I106" i="65" s="1"/>
  <c r="Q106" i="65" s="1"/>
  <c r="U32" i="33"/>
  <c r="V32" i="33" s="1"/>
  <c r="H32" i="33" s="1"/>
  <c r="I34" i="65" s="1"/>
  <c r="Q34" i="65" s="1"/>
  <c r="U84" i="33"/>
  <c r="V84" i="33" s="1"/>
  <c r="H84" i="33" s="1"/>
  <c r="I86" i="65" s="1"/>
  <c r="Q86" i="65" s="1"/>
  <c r="U119" i="33"/>
  <c r="V119" i="33" s="1"/>
  <c r="H119" i="33" s="1"/>
  <c r="I121" i="65" s="1"/>
  <c r="Q121" i="65" s="1"/>
  <c r="U94" i="33"/>
  <c r="V94" i="33" s="1"/>
  <c r="H94" i="33" s="1"/>
  <c r="I96" i="65" s="1"/>
  <c r="Q96" i="65" s="1"/>
  <c r="U20" i="33"/>
  <c r="V20" i="33" s="1"/>
  <c r="H20" i="33" s="1"/>
  <c r="I22" i="65" s="1"/>
  <c r="Q22" i="65" s="1"/>
  <c r="U128" i="33"/>
  <c r="V128" i="33" s="1"/>
  <c r="H128" i="33" s="1"/>
  <c r="I130" i="65" s="1"/>
  <c r="Q130" i="65" s="1"/>
  <c r="U50" i="33"/>
  <c r="V50" i="33" s="1"/>
  <c r="H50" i="33" s="1"/>
  <c r="I52" i="65" s="1"/>
  <c r="Q52" i="65" s="1"/>
  <c r="U125" i="33"/>
  <c r="V125" i="33" s="1"/>
  <c r="H125" i="33" s="1"/>
  <c r="I127" i="65" s="1"/>
  <c r="Q127" i="65" s="1"/>
  <c r="U108" i="33"/>
  <c r="V108" i="33" s="1"/>
  <c r="H108" i="33" s="1"/>
  <c r="I110" i="65" s="1"/>
  <c r="Q110" i="65" s="1"/>
  <c r="U124" i="33"/>
  <c r="V124" i="33" s="1"/>
  <c r="H124" i="33" s="1"/>
  <c r="I126" i="65" s="1"/>
  <c r="Q126" i="65" s="1"/>
  <c r="U34" i="33"/>
  <c r="V34" i="33" s="1"/>
  <c r="H34" i="33" s="1"/>
  <c r="I36" i="65" s="1"/>
  <c r="Q36" i="65" s="1"/>
  <c r="U91" i="33"/>
  <c r="V91" i="33" s="1"/>
  <c r="H91" i="33" s="1"/>
  <c r="I93" i="65" s="1"/>
  <c r="Q93" i="65" s="1"/>
  <c r="U14" i="33"/>
  <c r="V14" i="33" s="1"/>
  <c r="H14" i="33" s="1"/>
  <c r="I16" i="65" s="1"/>
  <c r="Q16" i="65" s="1"/>
  <c r="U134" i="33"/>
  <c r="V134" i="33" s="1"/>
  <c r="H134" i="33" s="1"/>
  <c r="I136" i="65" s="1"/>
  <c r="Q136" i="65" s="1"/>
  <c r="U73" i="33"/>
  <c r="V73" i="33" s="1"/>
  <c r="H73" i="33" s="1"/>
  <c r="I75" i="65" s="1"/>
  <c r="Q75" i="65" s="1"/>
  <c r="U34" i="43"/>
  <c r="V34" i="43" s="1"/>
  <c r="H34" i="43" s="1"/>
  <c r="K36" i="65" s="1"/>
  <c r="R36" i="65" s="1"/>
  <c r="U28" i="43"/>
  <c r="V28" i="43" s="1"/>
  <c r="H28" i="43" s="1"/>
  <c r="K30" i="65" s="1"/>
  <c r="R30" i="65" s="1"/>
  <c r="U70" i="43"/>
  <c r="V70" i="43" s="1"/>
  <c r="H70" i="43" s="1"/>
  <c r="K72" i="65" s="1"/>
  <c r="R72" i="65" s="1"/>
  <c r="U15" i="43"/>
  <c r="V15" i="43" s="1"/>
  <c r="H15" i="43" s="1"/>
  <c r="K17" i="65" s="1"/>
  <c r="R17" i="65" s="1"/>
  <c r="U56" i="43"/>
  <c r="V56" i="43" s="1"/>
  <c r="H56" i="43" s="1"/>
  <c r="K58" i="65" s="1"/>
  <c r="R58" i="65" s="1"/>
  <c r="U116" i="43"/>
  <c r="V116" i="43" s="1"/>
  <c r="H116" i="43" s="1"/>
  <c r="K118" i="65" s="1"/>
  <c r="R118" i="65" s="1"/>
  <c r="U105" i="43"/>
  <c r="V105" i="43" s="1"/>
  <c r="H105" i="43" s="1"/>
  <c r="K107" i="65" s="1"/>
  <c r="R107" i="65" s="1"/>
  <c r="U45" i="43"/>
  <c r="V45" i="43" s="1"/>
  <c r="H45" i="43" s="1"/>
  <c r="K47" i="65" s="1"/>
  <c r="R47" i="65" s="1"/>
  <c r="U123" i="43"/>
  <c r="V123" i="43" s="1"/>
  <c r="H123" i="43" s="1"/>
  <c r="K125" i="65" s="1"/>
  <c r="R125" i="65" s="1"/>
  <c r="U96" i="43"/>
  <c r="V96" i="43" s="1"/>
  <c r="H96" i="43" s="1"/>
  <c r="K98" i="65" s="1"/>
  <c r="R98" i="65" s="1"/>
  <c r="U64" i="43"/>
  <c r="V64" i="43" s="1"/>
  <c r="H64" i="43" s="1"/>
  <c r="K66" i="65" s="1"/>
  <c r="R66" i="65" s="1"/>
  <c r="U78" i="43"/>
  <c r="V78" i="43" s="1"/>
  <c r="H78" i="43" s="1"/>
  <c r="K80" i="65" s="1"/>
  <c r="R80" i="65" s="1"/>
  <c r="U122" i="43"/>
  <c r="V122" i="43" s="1"/>
  <c r="H122" i="43" s="1"/>
  <c r="K124" i="65" s="1"/>
  <c r="R124" i="65" s="1"/>
  <c r="U129" i="43"/>
  <c r="V129" i="43" s="1"/>
  <c r="H129" i="43" s="1"/>
  <c r="K131" i="65" s="1"/>
  <c r="R131" i="65" s="1"/>
  <c r="U118" i="43"/>
  <c r="V118" i="43" s="1"/>
  <c r="H118" i="43" s="1"/>
  <c r="K120" i="65" s="1"/>
  <c r="R120" i="65" s="1"/>
  <c r="U44" i="43"/>
  <c r="V44" i="43" s="1"/>
  <c r="H44" i="43" s="1"/>
  <c r="K46" i="65" s="1"/>
  <c r="R46" i="65" s="1"/>
  <c r="U37" i="43"/>
  <c r="V37" i="43" s="1"/>
  <c r="H37" i="43" s="1"/>
  <c r="K39" i="65" s="1"/>
  <c r="R39" i="65" s="1"/>
  <c r="U22" i="43"/>
  <c r="V22" i="43" s="1"/>
  <c r="H22" i="43" s="1"/>
  <c r="K24" i="65" s="1"/>
  <c r="R24" i="65" s="1"/>
  <c r="U24" i="43"/>
  <c r="V24" i="43" s="1"/>
  <c r="H24" i="43" s="1"/>
  <c r="K26" i="65" s="1"/>
  <c r="R26" i="65" s="1"/>
  <c r="U65" i="43"/>
  <c r="V65" i="43" s="1"/>
  <c r="H65" i="43" s="1"/>
  <c r="K67" i="65" s="1"/>
  <c r="R67" i="65" s="1"/>
  <c r="U49" i="43"/>
  <c r="V49" i="43" s="1"/>
  <c r="H49" i="43" s="1"/>
  <c r="K51" i="65" s="1"/>
  <c r="R51" i="65" s="1"/>
  <c r="U50" i="43"/>
  <c r="V50" i="43" s="1"/>
  <c r="H50" i="43" s="1"/>
  <c r="K52" i="65" s="1"/>
  <c r="R52" i="65" s="1"/>
  <c r="U63" i="43"/>
  <c r="V63" i="43" s="1"/>
  <c r="H63" i="43" s="1"/>
  <c r="K65" i="65" s="1"/>
  <c r="R65" i="65" s="1"/>
  <c r="U132" i="43"/>
  <c r="V132" i="43" s="1"/>
  <c r="H132" i="43" s="1"/>
  <c r="K134" i="65" s="1"/>
  <c r="R134" i="65" s="1"/>
  <c r="U104" i="43"/>
  <c r="V104" i="43" s="1"/>
  <c r="H104" i="43" s="1"/>
  <c r="K106" i="65" s="1"/>
  <c r="R106" i="65" s="1"/>
  <c r="U73" i="43"/>
  <c r="V73" i="43" s="1"/>
  <c r="H73" i="43" s="1"/>
  <c r="K75" i="65" s="1"/>
  <c r="R75" i="65" s="1"/>
  <c r="U86" i="43"/>
  <c r="V86" i="43" s="1"/>
  <c r="H86" i="43" s="1"/>
  <c r="K88" i="65" s="1"/>
  <c r="R88" i="65" s="1"/>
  <c r="U134" i="43"/>
  <c r="V134" i="43" s="1"/>
  <c r="H134" i="43" s="1"/>
  <c r="K136" i="65" s="1"/>
  <c r="R136" i="65" s="1"/>
  <c r="U121" i="43"/>
  <c r="V121" i="43" s="1"/>
  <c r="H121" i="43" s="1"/>
  <c r="K123" i="65" s="1"/>
  <c r="R123" i="65" s="1"/>
  <c r="U130" i="43"/>
  <c r="V130" i="43" s="1"/>
  <c r="H130" i="43" s="1"/>
  <c r="K132" i="65" s="1"/>
  <c r="R132" i="65" s="1"/>
  <c r="U53" i="43"/>
  <c r="V53" i="43" s="1"/>
  <c r="H53" i="43" s="1"/>
  <c r="K55" i="65" s="1"/>
  <c r="R55" i="65" s="1"/>
  <c r="U16" i="43"/>
  <c r="V16" i="43" s="1"/>
  <c r="H16" i="43" s="1"/>
  <c r="K18" i="65" s="1"/>
  <c r="R18" i="65" s="1"/>
  <c r="U30" i="43"/>
  <c r="V30" i="43" s="1"/>
  <c r="H30" i="43" s="1"/>
  <c r="K32" i="65" s="1"/>
  <c r="R32" i="65" s="1"/>
  <c r="U32" i="43"/>
  <c r="V32" i="43" s="1"/>
  <c r="H32" i="43" s="1"/>
  <c r="K34" i="65" s="1"/>
  <c r="R34" i="65" s="1"/>
  <c r="U62" i="43"/>
  <c r="V62" i="43" s="1"/>
  <c r="H62" i="43" s="1"/>
  <c r="K64" i="65" s="1"/>
  <c r="R64" i="65" s="1"/>
  <c r="U54" i="43"/>
  <c r="V54" i="43" s="1"/>
  <c r="H54" i="43" s="1"/>
  <c r="K56" i="65" s="1"/>
  <c r="R56" i="65" s="1"/>
  <c r="U58" i="43"/>
  <c r="V58" i="43" s="1"/>
  <c r="H58" i="43" s="1"/>
  <c r="K60" i="65" s="1"/>
  <c r="R60" i="65" s="1"/>
  <c r="U74" i="43"/>
  <c r="V74" i="43" s="1"/>
  <c r="H74" i="43" s="1"/>
  <c r="K76" i="65" s="1"/>
  <c r="R76" i="65" s="1"/>
  <c r="U46" i="43"/>
  <c r="V46" i="43" s="1"/>
  <c r="H46" i="43" s="1"/>
  <c r="K48" i="65" s="1"/>
  <c r="R48" i="65" s="1"/>
  <c r="U112" i="43"/>
  <c r="V112" i="43" s="1"/>
  <c r="H112" i="43" s="1"/>
  <c r="K114" i="65" s="1"/>
  <c r="R114" i="65" s="1"/>
  <c r="U81" i="43"/>
  <c r="V81" i="43" s="1"/>
  <c r="H81" i="43" s="1"/>
  <c r="K83" i="65" s="1"/>
  <c r="R83" i="65" s="1"/>
  <c r="U95" i="43"/>
  <c r="V95" i="43" s="1"/>
  <c r="H95" i="43" s="1"/>
  <c r="K97" i="65" s="1"/>
  <c r="U126" i="43"/>
  <c r="V126" i="43" s="1"/>
  <c r="H126" i="43" s="1"/>
  <c r="K128" i="65" s="1"/>
  <c r="R128" i="65" s="1"/>
  <c r="U133" i="43"/>
  <c r="V133" i="43" s="1"/>
  <c r="H133" i="43" s="1"/>
  <c r="K135" i="65" s="1"/>
  <c r="R135" i="65" s="1"/>
  <c r="U12" i="43"/>
  <c r="V12" i="43" s="1"/>
  <c r="H12" i="43" s="1"/>
  <c r="K14" i="65" s="1"/>
  <c r="R14" i="65" s="1"/>
  <c r="U23" i="43"/>
  <c r="V23" i="43" s="1"/>
  <c r="H23" i="43" s="1"/>
  <c r="K25" i="65" s="1"/>
  <c r="R25" i="65" s="1"/>
  <c r="U33" i="43"/>
  <c r="V33" i="43" s="1"/>
  <c r="H33" i="43" s="1"/>
  <c r="K35" i="65" s="1"/>
  <c r="R35" i="65" s="1"/>
  <c r="U48" i="43"/>
  <c r="V48" i="43" s="1"/>
  <c r="H48" i="43" s="1"/>
  <c r="K50" i="65" s="1"/>
  <c r="R50" i="65" s="1"/>
  <c r="U20" i="43"/>
  <c r="V20" i="43" s="1"/>
  <c r="H20" i="43" s="1"/>
  <c r="K22" i="65" s="1"/>
  <c r="R22" i="65" s="1"/>
  <c r="U83" i="43"/>
  <c r="V83" i="43" s="1"/>
  <c r="H83" i="43" s="1"/>
  <c r="K85" i="65" s="1"/>
  <c r="R85" i="65" s="1"/>
  <c r="U72" i="43"/>
  <c r="V72" i="43" s="1"/>
  <c r="H72" i="43" s="1"/>
  <c r="K74" i="65" s="1"/>
  <c r="R74" i="65" s="1"/>
  <c r="U85" i="43"/>
  <c r="V85" i="43" s="1"/>
  <c r="H85" i="43" s="1"/>
  <c r="K87" i="65" s="1"/>
  <c r="R87" i="65" s="1"/>
  <c r="U91" i="43"/>
  <c r="V91" i="43" s="1"/>
  <c r="H91" i="43" s="1"/>
  <c r="K93" i="65" s="1"/>
  <c r="R93" i="65" s="1"/>
  <c r="U68" i="43"/>
  <c r="V68" i="43" s="1"/>
  <c r="H68" i="43" s="1"/>
  <c r="K70" i="65" s="1"/>
  <c r="R70" i="65" s="1"/>
  <c r="U26" i="43"/>
  <c r="V26" i="43" s="1"/>
  <c r="H26" i="43" s="1"/>
  <c r="K28" i="65" s="1"/>
  <c r="R28" i="65" s="1"/>
  <c r="U19" i="43"/>
  <c r="V19" i="43" s="1"/>
  <c r="H19" i="43" s="1"/>
  <c r="K21" i="65" s="1"/>
  <c r="R21" i="65" s="1"/>
  <c r="U60" i="43"/>
  <c r="V60" i="43" s="1"/>
  <c r="H60" i="43" s="1"/>
  <c r="K62" i="65" s="1"/>
  <c r="R62" i="65" s="1"/>
  <c r="U35" i="43"/>
  <c r="V35" i="43" s="1"/>
  <c r="H35" i="43" s="1"/>
  <c r="K37" i="65" s="1"/>
  <c r="R37" i="65" s="1"/>
  <c r="U47" i="43"/>
  <c r="V47" i="43" s="1"/>
  <c r="H47" i="43" s="1"/>
  <c r="K49" i="65" s="1"/>
  <c r="R49" i="65" s="1"/>
  <c r="U108" i="43"/>
  <c r="V108" i="43" s="1"/>
  <c r="H108" i="43" s="1"/>
  <c r="K110" i="65" s="1"/>
  <c r="R110" i="65" s="1"/>
  <c r="U97" i="43"/>
  <c r="V97" i="43" s="1"/>
  <c r="H97" i="43" s="1"/>
  <c r="K99" i="65" s="1"/>
  <c r="R99" i="65" s="1"/>
  <c r="U110" i="43"/>
  <c r="V110" i="43" s="1"/>
  <c r="H110" i="43" s="1"/>
  <c r="K112" i="65" s="1"/>
  <c r="R112" i="65" s="1"/>
  <c r="U115" i="43"/>
  <c r="V115" i="43" s="1"/>
  <c r="H115" i="43" s="1"/>
  <c r="K117" i="65" s="1"/>
  <c r="R117" i="65" s="1"/>
  <c r="U87" i="43"/>
  <c r="V87" i="43" s="1"/>
  <c r="H87" i="43" s="1"/>
  <c r="K89" i="65" s="1"/>
  <c r="R89" i="65" s="1"/>
  <c r="U101" i="43"/>
  <c r="V101" i="43" s="1"/>
  <c r="H101" i="43" s="1"/>
  <c r="K103" i="65" s="1"/>
  <c r="R103" i="65" s="1"/>
  <c r="U69" i="43"/>
  <c r="V69" i="43" s="1"/>
  <c r="H69" i="43" s="1"/>
  <c r="K71" i="65" s="1"/>
  <c r="R71" i="65" s="1"/>
  <c r="U136" i="43"/>
  <c r="V136" i="43" s="1"/>
  <c r="H136" i="43" s="1"/>
  <c r="K138" i="65" s="1"/>
  <c r="R138" i="65" s="1"/>
  <c r="U117" i="43"/>
  <c r="V117" i="43" s="1"/>
  <c r="H117" i="43" s="1"/>
  <c r="K119" i="65" s="1"/>
  <c r="R119" i="65" s="1"/>
  <c r="U114" i="43"/>
  <c r="V114" i="43" s="1"/>
  <c r="H114" i="43" s="1"/>
  <c r="K116" i="65" s="1"/>
  <c r="R116" i="65" s="1"/>
  <c r="U52" i="43"/>
  <c r="V52" i="43" s="1"/>
  <c r="H52" i="43" s="1"/>
  <c r="K54" i="65" s="1"/>
  <c r="R54" i="65" s="1"/>
  <c r="U92" i="43"/>
  <c r="V92" i="43" s="1"/>
  <c r="H92" i="43" s="1"/>
  <c r="K94" i="65" s="1"/>
  <c r="R94" i="65" s="1"/>
  <c r="U82" i="43"/>
  <c r="V82" i="43" s="1"/>
  <c r="H82" i="43" s="1"/>
  <c r="K84" i="65" s="1"/>
  <c r="R84" i="65" s="1"/>
  <c r="U84" i="43"/>
  <c r="V84" i="43" s="1"/>
  <c r="H84" i="43" s="1"/>
  <c r="K86" i="65" s="1"/>
  <c r="R86" i="65" s="1"/>
  <c r="U119" i="43"/>
  <c r="V119" i="43" s="1"/>
  <c r="H119" i="43" s="1"/>
  <c r="K121" i="65" s="1"/>
  <c r="R121" i="65" s="1"/>
  <c r="U137" i="43"/>
  <c r="V137" i="43" s="1"/>
  <c r="H137" i="43" s="1"/>
  <c r="K139" i="65" s="1"/>
  <c r="R139" i="65" s="1"/>
  <c r="U77" i="43"/>
  <c r="V77" i="43" s="1"/>
  <c r="H77" i="43" s="1"/>
  <c r="K79" i="65" s="1"/>
  <c r="R79" i="65" s="1"/>
  <c r="U135" i="43"/>
  <c r="V135" i="43" s="1"/>
  <c r="H135" i="43" s="1"/>
  <c r="K137" i="65" s="1"/>
  <c r="R137" i="65" s="1"/>
  <c r="U39" i="43"/>
  <c r="V39" i="43" s="1"/>
  <c r="H39" i="43" s="1"/>
  <c r="K41" i="65" s="1"/>
  <c r="R41" i="65" s="1"/>
  <c r="U100" i="43"/>
  <c r="V100" i="43" s="1"/>
  <c r="H100" i="43" s="1"/>
  <c r="K102" i="65" s="1"/>
  <c r="R102" i="65" s="1"/>
  <c r="U99" i="43"/>
  <c r="V99" i="43" s="1"/>
  <c r="H99" i="43" s="1"/>
  <c r="K101" i="65" s="1"/>
  <c r="R101" i="65" s="1"/>
  <c r="U128" i="43"/>
  <c r="V128" i="43" s="1"/>
  <c r="H128" i="43" s="1"/>
  <c r="K130" i="65" s="1"/>
  <c r="R130" i="65" s="1"/>
  <c r="U109" i="43"/>
  <c r="V109" i="43" s="1"/>
  <c r="H109" i="43" s="1"/>
  <c r="K111" i="65" s="1"/>
  <c r="R111" i="65" s="1"/>
  <c r="U31" i="43"/>
  <c r="V31" i="43" s="1"/>
  <c r="H31" i="43" s="1"/>
  <c r="K33" i="65" s="1"/>
  <c r="R33" i="65" s="1"/>
  <c r="U79" i="43"/>
  <c r="V79" i="43" s="1"/>
  <c r="H79" i="43" s="1"/>
  <c r="K81" i="65" s="1"/>
  <c r="R81" i="65" s="1"/>
  <c r="U17" i="43"/>
  <c r="V17" i="43" s="1"/>
  <c r="H17" i="43" s="1"/>
  <c r="K19" i="65" s="1"/>
  <c r="R19" i="65" s="1"/>
  <c r="U18" i="43"/>
  <c r="V18" i="43" s="1"/>
  <c r="H18" i="43" s="1"/>
  <c r="K20" i="65" s="1"/>
  <c r="R20" i="65" s="1"/>
  <c r="U66" i="43"/>
  <c r="V66" i="43" s="1"/>
  <c r="H66" i="43" s="1"/>
  <c r="K68" i="65" s="1"/>
  <c r="R68" i="65" s="1"/>
  <c r="U107" i="43"/>
  <c r="V107" i="43" s="1"/>
  <c r="H107" i="43" s="1"/>
  <c r="K109" i="65" s="1"/>
  <c r="R109" i="65" s="1"/>
  <c r="U90" i="43"/>
  <c r="V90" i="43" s="1"/>
  <c r="H90" i="43" s="1"/>
  <c r="K92" i="65" s="1"/>
  <c r="R92" i="65" s="1"/>
  <c r="U120" i="43"/>
  <c r="V120" i="43" s="1"/>
  <c r="H120" i="43" s="1"/>
  <c r="K122" i="65" s="1"/>
  <c r="R122" i="65" s="1"/>
  <c r="U29" i="43"/>
  <c r="V29" i="43" s="1"/>
  <c r="H29" i="43" s="1"/>
  <c r="K31" i="65" s="1"/>
  <c r="R31" i="65" s="1"/>
  <c r="U25" i="43"/>
  <c r="V25" i="43" s="1"/>
  <c r="H25" i="43" s="1"/>
  <c r="K27" i="65" s="1"/>
  <c r="R27" i="65" s="1"/>
  <c r="U14" i="43"/>
  <c r="V14" i="43" s="1"/>
  <c r="H14" i="43" s="1"/>
  <c r="K16" i="65" s="1"/>
  <c r="R16" i="65" s="1"/>
  <c r="U27" i="43"/>
  <c r="V27" i="43" s="1"/>
  <c r="H27" i="43" s="1"/>
  <c r="K29" i="65" s="1"/>
  <c r="R29" i="65" s="1"/>
  <c r="U80" i="43"/>
  <c r="V80" i="43" s="1"/>
  <c r="H80" i="43" s="1"/>
  <c r="K82" i="65" s="1"/>
  <c r="R82" i="65" s="1"/>
  <c r="U55" i="43"/>
  <c r="V55" i="43" s="1"/>
  <c r="H55" i="43" s="1"/>
  <c r="K57" i="65" s="1"/>
  <c r="R57" i="65" s="1"/>
  <c r="U98" i="43"/>
  <c r="V98" i="43" s="1"/>
  <c r="H98" i="43" s="1"/>
  <c r="K100" i="65" s="1"/>
  <c r="R100" i="65" s="1"/>
  <c r="U131" i="43"/>
  <c r="V131" i="43" s="1"/>
  <c r="H131" i="43" s="1"/>
  <c r="K133" i="65" s="1"/>
  <c r="R133" i="65" s="1"/>
  <c r="U106" i="43"/>
  <c r="V106" i="43" s="1"/>
  <c r="H106" i="43" s="1"/>
  <c r="K108" i="65" s="1"/>
  <c r="R108" i="65" s="1"/>
  <c r="U42" i="43"/>
  <c r="V42" i="43" s="1"/>
  <c r="H42" i="43" s="1"/>
  <c r="K44" i="65" s="1"/>
  <c r="R44" i="65" s="1"/>
  <c r="U89" i="43"/>
  <c r="V89" i="43" s="1"/>
  <c r="H89" i="43" s="1"/>
  <c r="K91" i="65" s="1"/>
  <c r="R91" i="65" s="1"/>
  <c r="U71" i="43"/>
  <c r="V71" i="43" s="1"/>
  <c r="H71" i="43" s="1"/>
  <c r="K73" i="65" s="1"/>
  <c r="R73" i="65" s="1"/>
  <c r="U124" i="43"/>
  <c r="V124" i="43" s="1"/>
  <c r="H124" i="43" s="1"/>
  <c r="K126" i="65" s="1"/>
  <c r="R126" i="65" s="1"/>
  <c r="U40" i="43"/>
  <c r="V40" i="43" s="1"/>
  <c r="H40" i="43" s="1"/>
  <c r="K42" i="65" s="1"/>
  <c r="R42" i="65" s="1"/>
  <c r="U57" i="43"/>
  <c r="V57" i="43" s="1"/>
  <c r="H57" i="43" s="1"/>
  <c r="K59" i="65" s="1"/>
  <c r="R59" i="65" s="1"/>
  <c r="U102" i="43"/>
  <c r="V102" i="43" s="1"/>
  <c r="H102" i="43" s="1"/>
  <c r="K104" i="65" s="1"/>
  <c r="R104" i="65" s="1"/>
  <c r="U59" i="43"/>
  <c r="V59" i="43" s="1"/>
  <c r="H59" i="43" s="1"/>
  <c r="K61" i="65" s="1"/>
  <c r="R61" i="65" s="1"/>
  <c r="U76" i="43"/>
  <c r="V76" i="43" s="1"/>
  <c r="H76" i="43" s="1"/>
  <c r="K78" i="65" s="1"/>
  <c r="R78" i="65" s="1"/>
  <c r="U113" i="43"/>
  <c r="V113" i="43" s="1"/>
  <c r="H113" i="43" s="1"/>
  <c r="K115" i="65" s="1"/>
  <c r="R115" i="65" s="1"/>
  <c r="U43" i="43"/>
  <c r="V43" i="43" s="1"/>
  <c r="H43" i="43" s="1"/>
  <c r="K45" i="65" s="1"/>
  <c r="R45" i="65" s="1"/>
  <c r="U111" i="43"/>
  <c r="V111" i="43" s="1"/>
  <c r="H111" i="43" s="1"/>
  <c r="K113" i="65" s="1"/>
  <c r="R113" i="65" s="1"/>
  <c r="U38" i="43"/>
  <c r="V38" i="43" s="1"/>
  <c r="H38" i="43" s="1"/>
  <c r="K40" i="65" s="1"/>
  <c r="R40" i="65" s="1"/>
  <c r="U125" i="43"/>
  <c r="V125" i="43" s="1"/>
  <c r="H125" i="43" s="1"/>
  <c r="K127" i="65" s="1"/>
  <c r="R127" i="65" s="1"/>
  <c r="U94" i="43"/>
  <c r="V94" i="43" s="1"/>
  <c r="H94" i="43" s="1"/>
  <c r="K96" i="65" s="1"/>
  <c r="R96" i="65" s="1"/>
  <c r="U103" i="43"/>
  <c r="V103" i="43" s="1"/>
  <c r="H103" i="43" s="1"/>
  <c r="K105" i="65" s="1"/>
  <c r="R105" i="65" s="1"/>
  <c r="U75" i="43"/>
  <c r="V75" i="43" s="1"/>
  <c r="H75" i="43" s="1"/>
  <c r="K77" i="65" s="1"/>
  <c r="R77" i="65"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69" i="42"/>
  <c r="V69" i="42" s="1"/>
  <c r="U30" i="42"/>
  <c r="V30" i="42" s="1"/>
  <c r="J33" i="50" s="1"/>
  <c r="U133" i="42"/>
  <c r="V133" i="42" s="1"/>
  <c r="U102" i="42"/>
  <c r="V102" i="42" s="1"/>
  <c r="U53" i="42"/>
  <c r="V53" i="42" s="1"/>
  <c r="U25" i="42"/>
  <c r="V25" i="42" s="1"/>
  <c r="J28"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2" i="50" s="1"/>
  <c r="U132" i="42"/>
  <c r="V132" i="42" s="1"/>
  <c r="U101" i="42"/>
  <c r="V101" i="42" s="1"/>
  <c r="U62" i="42"/>
  <c r="V62" i="42" s="1"/>
  <c r="U24" i="42"/>
  <c r="V24" i="42" s="1"/>
  <c r="J27"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1"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6"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9" i="50" s="1"/>
  <c r="U90" i="42"/>
  <c r="V90" i="42" s="1"/>
  <c r="U59" i="42"/>
  <c r="V59" i="42" s="1"/>
  <c r="U49" i="42"/>
  <c r="V49" i="42" s="1"/>
  <c r="U31" i="42"/>
  <c r="V31" i="42" s="1"/>
  <c r="J34" i="50" s="1"/>
  <c r="U17" i="42"/>
  <c r="V17" i="42" s="1"/>
  <c r="U27" i="42"/>
  <c r="V27" i="42" s="1"/>
  <c r="J30"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O41" i="65" s="1"/>
  <c r="V41" i="65" s="1"/>
  <c r="U54" i="47"/>
  <c r="V54" i="47" s="1"/>
  <c r="H54" i="47" s="1"/>
  <c r="O56" i="65" s="1"/>
  <c r="V56" i="65" s="1"/>
  <c r="U50" i="47"/>
  <c r="V50" i="47" s="1"/>
  <c r="H50" i="47" s="1"/>
  <c r="O52" i="65" s="1"/>
  <c r="V52" i="65" s="1"/>
  <c r="U56" i="47"/>
  <c r="V56" i="47" s="1"/>
  <c r="H56" i="47" s="1"/>
  <c r="O58" i="65" s="1"/>
  <c r="V58" i="65" s="1"/>
  <c r="U62" i="47"/>
  <c r="V62" i="47" s="1"/>
  <c r="H62" i="47" s="1"/>
  <c r="O64" i="65" s="1"/>
  <c r="V64" i="65" s="1"/>
  <c r="U58" i="47"/>
  <c r="V58" i="47" s="1"/>
  <c r="H58" i="47" s="1"/>
  <c r="O60" i="65" s="1"/>
  <c r="V60" i="65" s="1"/>
  <c r="U64" i="47"/>
  <c r="V64" i="47" s="1"/>
  <c r="H64" i="47" s="1"/>
  <c r="O66" i="65" s="1"/>
  <c r="V66" i="65" s="1"/>
  <c r="U70" i="47"/>
  <c r="V70" i="47" s="1"/>
  <c r="H70" i="47" s="1"/>
  <c r="O72" i="65" s="1"/>
  <c r="V72" i="65" s="1"/>
  <c r="U81" i="47"/>
  <c r="V81" i="47" s="1"/>
  <c r="H81" i="47" s="1"/>
  <c r="O83" i="65" s="1"/>
  <c r="V83" i="65" s="1"/>
  <c r="U95" i="47"/>
  <c r="V95" i="47" s="1"/>
  <c r="H95" i="47" s="1"/>
  <c r="O97" i="65" s="1"/>
  <c r="U92" i="47"/>
  <c r="V92" i="47" s="1"/>
  <c r="H92" i="47" s="1"/>
  <c r="O94" i="65" s="1"/>
  <c r="V94" i="65" s="1"/>
  <c r="U105" i="47"/>
  <c r="V105" i="47" s="1"/>
  <c r="H105" i="47" s="1"/>
  <c r="O107" i="65" s="1"/>
  <c r="V107" i="65" s="1"/>
  <c r="U118" i="47"/>
  <c r="V118" i="47" s="1"/>
  <c r="H118" i="47" s="1"/>
  <c r="O120" i="65" s="1"/>
  <c r="V120" i="65" s="1"/>
  <c r="U115" i="47"/>
  <c r="V115" i="47" s="1"/>
  <c r="H115" i="47" s="1"/>
  <c r="O117" i="65" s="1"/>
  <c r="V117" i="65" s="1"/>
  <c r="U129" i="47"/>
  <c r="V129" i="47" s="1"/>
  <c r="H129" i="47" s="1"/>
  <c r="O131" i="65" s="1"/>
  <c r="V131" i="65" s="1"/>
  <c r="U14" i="47"/>
  <c r="V14" i="47" s="1"/>
  <c r="H14" i="47" s="1"/>
  <c r="O16" i="65" s="1"/>
  <c r="V16" i="65" s="1"/>
  <c r="U106" i="47"/>
  <c r="V106" i="47" s="1"/>
  <c r="H106" i="47" s="1"/>
  <c r="O108" i="65" s="1"/>
  <c r="V108" i="65" s="1"/>
  <c r="U116" i="47"/>
  <c r="V116" i="47" s="1"/>
  <c r="H116" i="47" s="1"/>
  <c r="O118" i="65" s="1"/>
  <c r="V118" i="65" s="1"/>
  <c r="U87" i="47"/>
  <c r="V87" i="47" s="1"/>
  <c r="H87" i="47" s="1"/>
  <c r="O89" i="65" s="1"/>
  <c r="V89" i="65" s="1"/>
  <c r="U20" i="47"/>
  <c r="V20" i="47" s="1"/>
  <c r="H20" i="47" s="1"/>
  <c r="O22" i="65" s="1"/>
  <c r="V22" i="65" s="1"/>
  <c r="U23" i="47"/>
  <c r="V23" i="47" s="1"/>
  <c r="H23" i="47" s="1"/>
  <c r="O25" i="65" s="1"/>
  <c r="V25" i="65" s="1"/>
  <c r="U33" i="47"/>
  <c r="V33" i="47" s="1"/>
  <c r="H33" i="47" s="1"/>
  <c r="O35" i="65" s="1"/>
  <c r="V35" i="65" s="1"/>
  <c r="U85" i="47"/>
  <c r="V85" i="47" s="1"/>
  <c r="H85" i="47" s="1"/>
  <c r="O87" i="65" s="1"/>
  <c r="V87" i="65" s="1"/>
  <c r="U27" i="47"/>
  <c r="V27" i="47" s="1"/>
  <c r="H27" i="47" s="1"/>
  <c r="O29" i="65" s="1"/>
  <c r="V29" i="65" s="1"/>
  <c r="U31" i="47"/>
  <c r="V31" i="47" s="1"/>
  <c r="H31" i="47" s="1"/>
  <c r="O33" i="65" s="1"/>
  <c r="V33" i="65" s="1"/>
  <c r="U117" i="47"/>
  <c r="V117" i="47" s="1"/>
  <c r="H117" i="47" s="1"/>
  <c r="O119" i="65" s="1"/>
  <c r="V119" i="65" s="1"/>
  <c r="U104" i="47"/>
  <c r="V104" i="47" s="1"/>
  <c r="H104" i="47" s="1"/>
  <c r="O106" i="65" s="1"/>
  <c r="V106" i="65" s="1"/>
  <c r="U48" i="47"/>
  <c r="V48" i="47" s="1"/>
  <c r="H48" i="47" s="1"/>
  <c r="O50" i="65" s="1"/>
  <c r="V50" i="65" s="1"/>
  <c r="U63" i="47"/>
  <c r="V63" i="47" s="1"/>
  <c r="H63" i="47" s="1"/>
  <c r="O65" i="65" s="1"/>
  <c r="V65" i="65" s="1"/>
  <c r="U59" i="47"/>
  <c r="V59" i="47" s="1"/>
  <c r="H59" i="47" s="1"/>
  <c r="O61" i="65" s="1"/>
  <c r="V61" i="65" s="1"/>
  <c r="U65" i="47"/>
  <c r="V65" i="47" s="1"/>
  <c r="H65" i="47" s="1"/>
  <c r="O67" i="65" s="1"/>
  <c r="V67" i="65" s="1"/>
  <c r="U71" i="47"/>
  <c r="V71" i="47" s="1"/>
  <c r="H71" i="47" s="1"/>
  <c r="O73" i="65" s="1"/>
  <c r="V73" i="65" s="1"/>
  <c r="U68" i="47"/>
  <c r="V68" i="47" s="1"/>
  <c r="H68" i="47" s="1"/>
  <c r="O70" i="65" s="1"/>
  <c r="V70" i="65" s="1"/>
  <c r="U73" i="47"/>
  <c r="V73" i="47" s="1"/>
  <c r="H73" i="47" s="1"/>
  <c r="O75" i="65" s="1"/>
  <c r="V75" i="65" s="1"/>
  <c r="U84" i="47"/>
  <c r="V84" i="47" s="1"/>
  <c r="H84" i="47" s="1"/>
  <c r="O86" i="65" s="1"/>
  <c r="V86" i="65" s="1"/>
  <c r="U90" i="47"/>
  <c r="V90" i="47" s="1"/>
  <c r="H90" i="47" s="1"/>
  <c r="O92" i="65" s="1"/>
  <c r="V92" i="65" s="1"/>
  <c r="U103" i="47"/>
  <c r="V103" i="47" s="1"/>
  <c r="H103" i="47" s="1"/>
  <c r="O105" i="65" s="1"/>
  <c r="V105" i="65" s="1"/>
  <c r="U100" i="47"/>
  <c r="V100" i="47" s="1"/>
  <c r="H100" i="47" s="1"/>
  <c r="O102" i="65" s="1"/>
  <c r="V102" i="65" s="1"/>
  <c r="U113" i="47"/>
  <c r="V113" i="47" s="1"/>
  <c r="H113" i="47" s="1"/>
  <c r="O115" i="65" s="1"/>
  <c r="V115" i="65" s="1"/>
  <c r="U126" i="47"/>
  <c r="V126" i="47" s="1"/>
  <c r="H126" i="47" s="1"/>
  <c r="O128" i="65" s="1"/>
  <c r="V128" i="65" s="1"/>
  <c r="U123" i="47"/>
  <c r="V123" i="47" s="1"/>
  <c r="H123" i="47" s="1"/>
  <c r="O125" i="65" s="1"/>
  <c r="V125" i="65" s="1"/>
  <c r="U137" i="47"/>
  <c r="V137" i="47" s="1"/>
  <c r="H137" i="47" s="1"/>
  <c r="O139" i="65" s="1"/>
  <c r="V139" i="65" s="1"/>
  <c r="U57" i="47"/>
  <c r="V57" i="47" s="1"/>
  <c r="H57" i="47" s="1"/>
  <c r="O59" i="65" s="1"/>
  <c r="V59" i="65" s="1"/>
  <c r="U69" i="47"/>
  <c r="V69" i="47" s="1"/>
  <c r="H69" i="47" s="1"/>
  <c r="O71" i="65" s="1"/>
  <c r="V71" i="65" s="1"/>
  <c r="U74" i="47"/>
  <c r="V74" i="47" s="1"/>
  <c r="H74" i="47" s="1"/>
  <c r="O76" i="65" s="1"/>
  <c r="V76" i="65" s="1"/>
  <c r="U79" i="47"/>
  <c r="V79" i="47" s="1"/>
  <c r="H79" i="47" s="1"/>
  <c r="O81" i="65" s="1"/>
  <c r="V81" i="65" s="1"/>
  <c r="U16" i="47"/>
  <c r="V16" i="47" s="1"/>
  <c r="H16" i="47" s="1"/>
  <c r="O18" i="65" s="1"/>
  <c r="V18" i="65" s="1"/>
  <c r="U98" i="47"/>
  <c r="V98" i="47" s="1"/>
  <c r="H98" i="47" s="1"/>
  <c r="O100" i="65" s="1"/>
  <c r="V100" i="65" s="1"/>
  <c r="U108" i="47"/>
  <c r="V108" i="47" s="1"/>
  <c r="H108" i="47" s="1"/>
  <c r="O110" i="65" s="1"/>
  <c r="V110" i="65" s="1"/>
  <c r="U121" i="47"/>
  <c r="V121" i="47" s="1"/>
  <c r="H121" i="47" s="1"/>
  <c r="O123" i="65" s="1"/>
  <c r="V123" i="65" s="1"/>
  <c r="U135" i="47"/>
  <c r="V135" i="47" s="1"/>
  <c r="H135" i="47" s="1"/>
  <c r="O137" i="65" s="1"/>
  <c r="V137" i="65" s="1"/>
  <c r="U132" i="47"/>
  <c r="V132" i="47" s="1"/>
  <c r="H132" i="47" s="1"/>
  <c r="O134" i="65" s="1"/>
  <c r="V134" i="65" s="1"/>
  <c r="U80" i="47"/>
  <c r="V80" i="47" s="1"/>
  <c r="H80" i="47" s="1"/>
  <c r="O82" i="65" s="1"/>
  <c r="V82" i="65" s="1"/>
  <c r="U19" i="47"/>
  <c r="V19" i="47" s="1"/>
  <c r="H19" i="47" s="1"/>
  <c r="O21" i="65" s="1"/>
  <c r="V21" i="65" s="1"/>
  <c r="U130" i="47"/>
  <c r="V130" i="47" s="1"/>
  <c r="H130" i="47" s="1"/>
  <c r="O132" i="65" s="1"/>
  <c r="V132" i="65" s="1"/>
  <c r="U26" i="47"/>
  <c r="V26" i="47" s="1"/>
  <c r="H26" i="47" s="1"/>
  <c r="O28" i="65" s="1"/>
  <c r="V28" i="65" s="1"/>
  <c r="U109" i="47"/>
  <c r="V109" i="47" s="1"/>
  <c r="H109" i="47" s="1"/>
  <c r="O111" i="65" s="1"/>
  <c r="V111" i="65" s="1"/>
  <c r="U96" i="47"/>
  <c r="V96" i="47" s="1"/>
  <c r="H96" i="47" s="1"/>
  <c r="O98" i="65" s="1"/>
  <c r="V98" i="65" s="1"/>
  <c r="U24" i="47"/>
  <c r="V24" i="47" s="1"/>
  <c r="H24" i="47" s="1"/>
  <c r="O26" i="65" s="1"/>
  <c r="V26" i="65" s="1"/>
  <c r="U133" i="47"/>
  <c r="V133" i="47" s="1"/>
  <c r="H133" i="47" s="1"/>
  <c r="O135" i="65" s="1"/>
  <c r="V135" i="65" s="1"/>
  <c r="U72" i="47"/>
  <c r="V72" i="47" s="1"/>
  <c r="H72" i="47" s="1"/>
  <c r="O74" i="65" s="1"/>
  <c r="V74" i="65" s="1"/>
  <c r="U76" i="47"/>
  <c r="V76" i="47" s="1"/>
  <c r="H76" i="47" s="1"/>
  <c r="O78" i="65" s="1"/>
  <c r="V78" i="65" s="1"/>
  <c r="U111" i="47"/>
  <c r="V111" i="47" s="1"/>
  <c r="H111" i="47" s="1"/>
  <c r="O113" i="65" s="1"/>
  <c r="V113" i="65" s="1"/>
  <c r="U12" i="47"/>
  <c r="V12" i="47" s="1"/>
  <c r="H12" i="47" s="1"/>
  <c r="O14" i="65" s="1"/>
  <c r="V14" i="65" s="1"/>
  <c r="U17" i="47"/>
  <c r="V17" i="47" s="1"/>
  <c r="H17" i="47" s="1"/>
  <c r="O19" i="65" s="1"/>
  <c r="V19" i="65" s="1"/>
  <c r="U25" i="47"/>
  <c r="V25" i="47" s="1"/>
  <c r="H25" i="47" s="1"/>
  <c r="O27" i="65" s="1"/>
  <c r="V27" i="65" s="1"/>
  <c r="U119" i="47"/>
  <c r="V119" i="47" s="1"/>
  <c r="H119" i="47" s="1"/>
  <c r="O121" i="65" s="1"/>
  <c r="V121" i="65" s="1"/>
  <c r="U75" i="47"/>
  <c r="V75" i="47" s="1"/>
  <c r="H75" i="47" s="1"/>
  <c r="O77" i="65" s="1"/>
  <c r="V77" i="65" s="1"/>
  <c r="U15" i="47"/>
  <c r="V15" i="47" s="1"/>
  <c r="H15" i="47" s="1"/>
  <c r="O17" i="65" s="1"/>
  <c r="V17" i="65" s="1"/>
  <c r="U28" i="47"/>
  <c r="V28" i="47" s="1"/>
  <c r="H28" i="47" s="1"/>
  <c r="O30" i="65" s="1"/>
  <c r="V30" i="65" s="1"/>
  <c r="U114" i="47"/>
  <c r="V114" i="47" s="1"/>
  <c r="H114" i="47" s="1"/>
  <c r="O116" i="65" s="1"/>
  <c r="V116" i="65" s="1"/>
  <c r="U82" i="47"/>
  <c r="V82" i="47" s="1"/>
  <c r="H82" i="47" s="1"/>
  <c r="O84" i="65" s="1"/>
  <c r="V84" i="65" s="1"/>
  <c r="U34" i="47"/>
  <c r="V34" i="47" s="1"/>
  <c r="H34" i="47" s="1"/>
  <c r="O36" i="65" s="1"/>
  <c r="V36" i="65" s="1"/>
  <c r="U43" i="47"/>
  <c r="V43" i="47" s="1"/>
  <c r="H43" i="47" s="1"/>
  <c r="O45" i="65" s="1"/>
  <c r="V45" i="65" s="1"/>
  <c r="U94" i="47"/>
  <c r="V94" i="47" s="1"/>
  <c r="H94" i="47" s="1"/>
  <c r="O96" i="65" s="1"/>
  <c r="V96" i="65" s="1"/>
  <c r="U66" i="47"/>
  <c r="V66" i="47" s="1"/>
  <c r="H66" i="47" s="1"/>
  <c r="O68" i="65" s="1"/>
  <c r="V68" i="65" s="1"/>
  <c r="U77" i="47"/>
  <c r="V77" i="47" s="1"/>
  <c r="H77" i="47" s="1"/>
  <c r="O79" i="65" s="1"/>
  <c r="V79" i="65" s="1"/>
  <c r="U101" i="47"/>
  <c r="V101" i="47" s="1"/>
  <c r="H101" i="47" s="1"/>
  <c r="O103" i="65" s="1"/>
  <c r="V103" i="65" s="1"/>
  <c r="U18" i="47"/>
  <c r="V18" i="47" s="1"/>
  <c r="H18" i="47" s="1"/>
  <c r="O20" i="65" s="1"/>
  <c r="V20" i="65" s="1"/>
  <c r="U128" i="47"/>
  <c r="V128" i="47" s="1"/>
  <c r="H128" i="47" s="1"/>
  <c r="O130" i="65" s="1"/>
  <c r="V130" i="65" s="1"/>
  <c r="U136" i="47"/>
  <c r="V136" i="47" s="1"/>
  <c r="H136" i="47" s="1"/>
  <c r="O138" i="65" s="1"/>
  <c r="V138" i="65" s="1"/>
  <c r="U124" i="47"/>
  <c r="V124" i="47" s="1"/>
  <c r="H124" i="47" s="1"/>
  <c r="O126" i="65" s="1"/>
  <c r="V126" i="65" s="1"/>
  <c r="U37" i="47"/>
  <c r="V37" i="47" s="1"/>
  <c r="H37" i="47" s="1"/>
  <c r="O39" i="65" s="1"/>
  <c r="V39" i="65" s="1"/>
  <c r="U91" i="47"/>
  <c r="V91" i="47" s="1"/>
  <c r="H91" i="47" s="1"/>
  <c r="O93" i="65" s="1"/>
  <c r="V93" i="65" s="1"/>
  <c r="U29" i="47"/>
  <c r="V29" i="47" s="1"/>
  <c r="H29" i="47" s="1"/>
  <c r="O31" i="65" s="1"/>
  <c r="V31" i="65" s="1"/>
  <c r="U122" i="47"/>
  <c r="V122" i="47" s="1"/>
  <c r="H122" i="47" s="1"/>
  <c r="O124" i="65" s="1"/>
  <c r="V124" i="65" s="1"/>
  <c r="U35" i="47"/>
  <c r="V35" i="47" s="1"/>
  <c r="H35" i="47" s="1"/>
  <c r="O37" i="65" s="1"/>
  <c r="V37" i="65" s="1"/>
  <c r="U40" i="47"/>
  <c r="V40" i="47" s="1"/>
  <c r="H40" i="47" s="1"/>
  <c r="O42" i="65" s="1"/>
  <c r="V42" i="65" s="1"/>
  <c r="U131" i="47"/>
  <c r="V131" i="47" s="1"/>
  <c r="H131" i="47" s="1"/>
  <c r="O133" i="65" s="1"/>
  <c r="V133" i="65" s="1"/>
  <c r="U99" i="47"/>
  <c r="V99" i="47" s="1"/>
  <c r="H99" i="47" s="1"/>
  <c r="O101" i="65" s="1"/>
  <c r="V101" i="65" s="1"/>
  <c r="U83" i="47"/>
  <c r="V83" i="47" s="1"/>
  <c r="H83" i="47" s="1"/>
  <c r="O85" i="65" s="1"/>
  <c r="V85" i="65" s="1"/>
  <c r="U44" i="47"/>
  <c r="V44" i="47" s="1"/>
  <c r="H44" i="47" s="1"/>
  <c r="O46" i="65" s="1"/>
  <c r="V46" i="65" s="1"/>
  <c r="U45" i="47"/>
  <c r="V45" i="47" s="1"/>
  <c r="H45" i="47" s="1"/>
  <c r="O47" i="65" s="1"/>
  <c r="V47" i="65" s="1"/>
  <c r="U49" i="47"/>
  <c r="V49" i="47" s="1"/>
  <c r="H49" i="47" s="1"/>
  <c r="O51" i="65" s="1"/>
  <c r="V51" i="65" s="1"/>
  <c r="U86" i="47"/>
  <c r="V86" i="47" s="1"/>
  <c r="H86" i="47" s="1"/>
  <c r="O88" i="65" s="1"/>
  <c r="V88" i="65" s="1"/>
  <c r="U107" i="47"/>
  <c r="V107" i="47" s="1"/>
  <c r="H107" i="47" s="1"/>
  <c r="O109" i="65" s="1"/>
  <c r="V109" i="65" s="1"/>
  <c r="U55" i="47"/>
  <c r="V55" i="47" s="1"/>
  <c r="H55" i="47" s="1"/>
  <c r="O57" i="65" s="1"/>
  <c r="V57" i="65" s="1"/>
  <c r="U120" i="47"/>
  <c r="V120" i="47" s="1"/>
  <c r="H120" i="47" s="1"/>
  <c r="O122" i="65" s="1"/>
  <c r="V122" i="65" s="1"/>
  <c r="U60" i="47"/>
  <c r="V60" i="47" s="1"/>
  <c r="H60" i="47" s="1"/>
  <c r="O62" i="65" s="1"/>
  <c r="V62" i="65" s="1"/>
  <c r="U32" i="47"/>
  <c r="V32" i="47" s="1"/>
  <c r="H32" i="47" s="1"/>
  <c r="O34" i="65" s="1"/>
  <c r="V34" i="65" s="1"/>
  <c r="U46" i="47"/>
  <c r="V46" i="47" s="1"/>
  <c r="H46" i="47" s="1"/>
  <c r="O48" i="65" s="1"/>
  <c r="V48" i="65" s="1"/>
  <c r="U78" i="47"/>
  <c r="V78" i="47" s="1"/>
  <c r="H78" i="47" s="1"/>
  <c r="O80" i="65" s="1"/>
  <c r="V80" i="65" s="1"/>
  <c r="U112" i="47"/>
  <c r="V112" i="47" s="1"/>
  <c r="H112" i="47" s="1"/>
  <c r="O114" i="65" s="1"/>
  <c r="V114" i="65" s="1"/>
  <c r="U47" i="47"/>
  <c r="V47" i="47" s="1"/>
  <c r="H47" i="47" s="1"/>
  <c r="O49" i="65" s="1"/>
  <c r="V49" i="65" s="1"/>
  <c r="U102" i="47"/>
  <c r="V102" i="47" s="1"/>
  <c r="H102" i="47" s="1"/>
  <c r="O104" i="65" s="1"/>
  <c r="V104" i="65" s="1"/>
  <c r="U38" i="47"/>
  <c r="V38" i="47" s="1"/>
  <c r="H38" i="47" s="1"/>
  <c r="O40" i="65" s="1"/>
  <c r="V40" i="65" s="1"/>
  <c r="U52" i="47"/>
  <c r="V52" i="47" s="1"/>
  <c r="H52" i="47" s="1"/>
  <c r="O54" i="65" s="1"/>
  <c r="V54" i="65" s="1"/>
  <c r="U89" i="47"/>
  <c r="V89" i="47" s="1"/>
  <c r="H89" i="47" s="1"/>
  <c r="O91" i="65" s="1"/>
  <c r="V91" i="65" s="1"/>
  <c r="U97" i="47"/>
  <c r="V97" i="47" s="1"/>
  <c r="H97" i="47" s="1"/>
  <c r="O99" i="65" s="1"/>
  <c r="V99" i="65" s="1"/>
  <c r="U22" i="47"/>
  <c r="V22" i="47" s="1"/>
  <c r="H22" i="47" s="1"/>
  <c r="O24" i="65" s="1"/>
  <c r="V24" i="65" s="1"/>
  <c r="U30" i="47"/>
  <c r="V30" i="47" s="1"/>
  <c r="H30" i="47" s="1"/>
  <c r="O32" i="65" s="1"/>
  <c r="V32" i="65" s="1"/>
  <c r="U53" i="47"/>
  <c r="V53" i="47" s="1"/>
  <c r="H53" i="47" s="1"/>
  <c r="O55" i="65" s="1"/>
  <c r="V55" i="65" s="1"/>
  <c r="U134" i="47"/>
  <c r="V134" i="47" s="1"/>
  <c r="H134" i="47" s="1"/>
  <c r="O136" i="65" s="1"/>
  <c r="V136" i="65" s="1"/>
  <c r="U110" i="47"/>
  <c r="V110" i="47" s="1"/>
  <c r="H110" i="47" s="1"/>
  <c r="O112" i="65" s="1"/>
  <c r="V112" i="65" s="1"/>
  <c r="U42" i="47"/>
  <c r="V42" i="47" s="1"/>
  <c r="H42" i="47" s="1"/>
  <c r="O44" i="65" s="1"/>
  <c r="V44" i="65" s="1"/>
  <c r="U125" i="47"/>
  <c r="V125" i="47" s="1"/>
  <c r="H125" i="47" s="1"/>
  <c r="O127" i="65" s="1"/>
  <c r="V127" i="65"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Q5" i="72" l="1"/>
  <c r="Q5" i="73"/>
  <c r="M77" i="65"/>
  <c r="T77" i="65" s="1"/>
  <c r="Z66" i="34"/>
  <c r="D69" i="70" s="1"/>
  <c r="M106" i="65"/>
  <c r="T106" i="65" s="1"/>
  <c r="Z95" i="34"/>
  <c r="D25" i="70" s="1"/>
  <c r="M76" i="65"/>
  <c r="T76" i="65" s="1"/>
  <c r="Z65" i="34"/>
  <c r="D68" i="70" s="1"/>
  <c r="AG3" i="34"/>
  <c r="K45" i="70" s="1"/>
  <c r="M99" i="65"/>
  <c r="T99" i="65" s="1"/>
  <c r="Z88" i="34"/>
  <c r="D32" i="70" s="1"/>
  <c r="M132" i="65"/>
  <c r="T132" i="65" s="1"/>
  <c r="Z121" i="34"/>
  <c r="D14" i="70" s="1"/>
  <c r="M109" i="65"/>
  <c r="T109" i="65" s="1"/>
  <c r="Z98" i="34"/>
  <c r="D30" i="70" s="1"/>
  <c r="M21" i="65"/>
  <c r="T21" i="65" s="1"/>
  <c r="Z10" i="34"/>
  <c r="D73" i="70" s="1"/>
  <c r="M101" i="65"/>
  <c r="T101" i="65" s="1"/>
  <c r="Z90" i="34"/>
  <c r="D16" i="70" s="1"/>
  <c r="M34" i="65"/>
  <c r="T34" i="65" s="1"/>
  <c r="Z23" i="34"/>
  <c r="D6" i="70" s="1"/>
  <c r="M93" i="65"/>
  <c r="T93" i="65" s="1"/>
  <c r="Z82" i="34"/>
  <c r="D4" i="70" s="1"/>
  <c r="M26" i="65"/>
  <c r="T26" i="65" s="1"/>
  <c r="Z15" i="34"/>
  <c r="D75" i="70" s="1"/>
  <c r="M54" i="65"/>
  <c r="T54" i="65" s="1"/>
  <c r="Z43" i="34"/>
  <c r="D117" i="70" s="1"/>
  <c r="M61" i="65"/>
  <c r="T61" i="65" s="1"/>
  <c r="Z50" i="34"/>
  <c r="D53" i="70" s="1"/>
  <c r="M49" i="65"/>
  <c r="T49" i="65" s="1"/>
  <c r="Z38" i="34"/>
  <c r="D28" i="70" s="1"/>
  <c r="M37" i="65"/>
  <c r="T37" i="65" s="1"/>
  <c r="Z26" i="34"/>
  <c r="D78" i="70" s="1"/>
  <c r="M121" i="65"/>
  <c r="T121" i="65" s="1"/>
  <c r="Z110" i="34"/>
  <c r="D111" i="70" s="1"/>
  <c r="M48" i="65"/>
  <c r="T48" i="65" s="1"/>
  <c r="Z37" i="34"/>
  <c r="D11" i="70" s="1"/>
  <c r="M119" i="65"/>
  <c r="T119" i="65" s="1"/>
  <c r="Z108" i="34"/>
  <c r="D99" i="70" s="1"/>
  <c r="M94" i="65"/>
  <c r="T94" i="65" s="1"/>
  <c r="Z83" i="34"/>
  <c r="D116" i="70" s="1"/>
  <c r="M110" i="65"/>
  <c r="T110" i="65" s="1"/>
  <c r="Z99" i="34"/>
  <c r="D109" i="70" s="1"/>
  <c r="M91" i="65"/>
  <c r="T91" i="65" s="1"/>
  <c r="Z80" i="34"/>
  <c r="D94" i="70" s="1"/>
  <c r="M84" i="65"/>
  <c r="T84" i="65" s="1"/>
  <c r="Z73" i="34"/>
  <c r="D91" i="70" s="1"/>
  <c r="M87" i="65"/>
  <c r="T87" i="65" s="1"/>
  <c r="Z76" i="34"/>
  <c r="D63" i="70" s="1"/>
  <c r="M89" i="65"/>
  <c r="T89" i="65" s="1"/>
  <c r="Z78" i="34"/>
  <c r="D64" i="70" s="1"/>
  <c r="M68" i="65"/>
  <c r="T68" i="65" s="1"/>
  <c r="Z57" i="34"/>
  <c r="D87" i="70" s="1"/>
  <c r="M30" i="65"/>
  <c r="T30" i="65" s="1"/>
  <c r="Z19" i="34"/>
  <c r="D49" i="70" s="1"/>
  <c r="M57" i="65"/>
  <c r="T57" i="65" s="1"/>
  <c r="Z46" i="34"/>
  <c r="D84" i="70" s="1"/>
  <c r="M20" i="65"/>
  <c r="T20" i="65" s="1"/>
  <c r="Z9" i="34"/>
  <c r="D31" i="70" s="1"/>
  <c r="M52" i="65"/>
  <c r="T52" i="65" s="1"/>
  <c r="Z41" i="34"/>
  <c r="D82" i="70" s="1"/>
  <c r="M123" i="65"/>
  <c r="T123" i="65" s="1"/>
  <c r="Z112" i="34"/>
  <c r="D102" i="70" s="1"/>
  <c r="M18" i="65"/>
  <c r="T18" i="65" s="1"/>
  <c r="Z7" i="34"/>
  <c r="D51" i="70" s="1"/>
  <c r="M70" i="65"/>
  <c r="T70" i="65" s="1"/>
  <c r="Z59" i="34"/>
  <c r="D41" i="70" s="1"/>
  <c r="M32" i="65"/>
  <c r="T32" i="65" s="1"/>
  <c r="Z21" i="34"/>
  <c r="D56" i="70" s="1"/>
  <c r="M82" i="65"/>
  <c r="T82" i="65" s="1"/>
  <c r="Z71" i="34"/>
  <c r="D90" i="70" s="1"/>
  <c r="M41" i="65"/>
  <c r="T41" i="65" s="1"/>
  <c r="Z30" i="34"/>
  <c r="D3" i="70" s="1"/>
  <c r="M85" i="65"/>
  <c r="T85" i="65" s="1"/>
  <c r="Z74" i="34"/>
  <c r="D92" i="70" s="1"/>
  <c r="M88" i="65"/>
  <c r="T88" i="65" s="1"/>
  <c r="Z77" i="34"/>
  <c r="D107" i="70" s="1"/>
  <c r="M74" i="65"/>
  <c r="T74" i="65" s="1"/>
  <c r="Z63" i="34"/>
  <c r="D65" i="70" s="1"/>
  <c r="M127" i="65"/>
  <c r="T127" i="65" s="1"/>
  <c r="Z116" i="34"/>
  <c r="D108" i="70" s="1"/>
  <c r="M135" i="65"/>
  <c r="T135" i="65" s="1"/>
  <c r="Z124" i="34"/>
  <c r="D43" i="70" s="1"/>
  <c r="M46" i="65"/>
  <c r="T46" i="65" s="1"/>
  <c r="Z35" i="34"/>
  <c r="D80" i="70" s="1"/>
  <c r="M25" i="65"/>
  <c r="T25" i="65" s="1"/>
  <c r="Z14" i="34"/>
  <c r="D57" i="70" s="1"/>
  <c r="M105" i="65"/>
  <c r="T105" i="65" s="1"/>
  <c r="Z94" i="34"/>
  <c r="D22" i="70" s="1"/>
  <c r="M59" i="65"/>
  <c r="T59" i="65" s="1"/>
  <c r="Z48" i="34"/>
  <c r="D10" i="70" s="1"/>
  <c r="M92" i="65"/>
  <c r="T92" i="65" s="1"/>
  <c r="Z81" i="34"/>
  <c r="D110" i="70" s="1"/>
  <c r="M97" i="65"/>
  <c r="T97" i="65" s="1"/>
  <c r="Z86" i="34"/>
  <c r="D58" i="70" s="1"/>
  <c r="M111" i="65"/>
  <c r="T111" i="65" s="1"/>
  <c r="Z100" i="34"/>
  <c r="D52" i="70" s="1"/>
  <c r="M125" i="65"/>
  <c r="T125" i="65" s="1"/>
  <c r="Z114" i="34"/>
  <c r="D42" i="70" s="1"/>
  <c r="M19" i="65"/>
  <c r="T19" i="65" s="1"/>
  <c r="Z8" i="34"/>
  <c r="D8" i="70" s="1"/>
  <c r="M22" i="65"/>
  <c r="T22" i="65" s="1"/>
  <c r="Z11" i="34"/>
  <c r="D74" i="70" s="1"/>
  <c r="M73" i="65"/>
  <c r="T73" i="65" s="1"/>
  <c r="Z62" i="34"/>
  <c r="D59" i="70" s="1"/>
  <c r="M112" i="65"/>
  <c r="T112" i="65" s="1"/>
  <c r="Z101" i="34"/>
  <c r="D44" i="70" s="1"/>
  <c r="M130" i="65"/>
  <c r="T130" i="65" s="1"/>
  <c r="Z119" i="34"/>
  <c r="D2" i="70" s="1"/>
  <c r="M40" i="65"/>
  <c r="T40" i="65" s="1"/>
  <c r="Z29" i="34"/>
  <c r="D15" i="70" s="1"/>
  <c r="M67" i="65"/>
  <c r="T67" i="65" s="1"/>
  <c r="Z56" i="34"/>
  <c r="D86" i="70" s="1"/>
  <c r="M100" i="65"/>
  <c r="T100" i="65" s="1"/>
  <c r="Z89" i="34"/>
  <c r="D33" i="70" s="1"/>
  <c r="M96" i="65"/>
  <c r="T96" i="65" s="1"/>
  <c r="Z85" i="34"/>
  <c r="D50" i="70" s="1"/>
  <c r="M137" i="65"/>
  <c r="T137" i="65" s="1"/>
  <c r="Z126" i="34"/>
  <c r="D106" i="70" s="1"/>
  <c r="M72" i="65"/>
  <c r="T72" i="65" s="1"/>
  <c r="Z61" i="34"/>
  <c r="D60" i="70" s="1"/>
  <c r="M107" i="65"/>
  <c r="T107" i="65" s="1"/>
  <c r="Z96" i="34"/>
  <c r="D26" i="70" s="1"/>
  <c r="M102" i="65"/>
  <c r="T102" i="65" s="1"/>
  <c r="Z91" i="34"/>
  <c r="D17" i="70" s="1"/>
  <c r="M71" i="65"/>
  <c r="T71" i="65" s="1"/>
  <c r="Z60" i="34"/>
  <c r="D47" i="70" s="1"/>
  <c r="M66" i="65"/>
  <c r="T66" i="65" s="1"/>
  <c r="Z55" i="34"/>
  <c r="D40" i="70" s="1"/>
  <c r="M118" i="65"/>
  <c r="T118" i="65" s="1"/>
  <c r="Z107" i="34"/>
  <c r="D98" i="70" s="1"/>
  <c r="M115" i="65"/>
  <c r="T115" i="65" s="1"/>
  <c r="Z104" i="34"/>
  <c r="D96" i="70" s="1"/>
  <c r="M136" i="65"/>
  <c r="T136" i="65" s="1"/>
  <c r="Z125" i="34"/>
  <c r="D39" i="70" s="1"/>
  <c r="M42" i="65"/>
  <c r="T42" i="65" s="1"/>
  <c r="Z31" i="34"/>
  <c r="D79" i="70" s="1"/>
  <c r="M45" i="65"/>
  <c r="T45" i="65" s="1"/>
  <c r="Z34" i="34"/>
  <c r="D21" i="70" s="1"/>
  <c r="M79" i="65"/>
  <c r="T79" i="65" s="1"/>
  <c r="Z68" i="34"/>
  <c r="D71" i="70" s="1"/>
  <c r="M78" i="65"/>
  <c r="T78" i="65" s="1"/>
  <c r="Z67" i="34"/>
  <c r="D70" i="70" s="1"/>
  <c r="M81" i="65"/>
  <c r="T81" i="65" s="1"/>
  <c r="Z70" i="34"/>
  <c r="D89" i="70" s="1"/>
  <c r="M51" i="65"/>
  <c r="T51" i="65" s="1"/>
  <c r="Z40" i="34"/>
  <c r="D23" i="70" s="1"/>
  <c r="M65" i="65"/>
  <c r="T65" i="65" s="1"/>
  <c r="Z54" i="34"/>
  <c r="D13" i="70" s="1"/>
  <c r="M50" i="65"/>
  <c r="T50" i="65" s="1"/>
  <c r="Z39" i="34"/>
  <c r="D29" i="70" s="1"/>
  <c r="M29" i="65"/>
  <c r="T29" i="65" s="1"/>
  <c r="Z18" i="34"/>
  <c r="D76" i="70" s="1"/>
  <c r="M35" i="65"/>
  <c r="T35" i="65" s="1"/>
  <c r="Z24" i="34"/>
  <c r="D9" i="70" s="1"/>
  <c r="M138" i="65"/>
  <c r="T138" i="65" s="1"/>
  <c r="Z127" i="34"/>
  <c r="D113" i="70" s="1"/>
  <c r="M33" i="65"/>
  <c r="T33" i="65" s="1"/>
  <c r="Z22" i="34"/>
  <c r="D7" i="70" s="1"/>
  <c r="M108" i="65"/>
  <c r="T108" i="65" s="1"/>
  <c r="Z97" i="34"/>
  <c r="D95" i="70" s="1"/>
  <c r="M60" i="65"/>
  <c r="T60" i="65" s="1"/>
  <c r="Z49" i="34"/>
  <c r="D5" i="70" s="1"/>
  <c r="M98" i="65"/>
  <c r="T98" i="65" s="1"/>
  <c r="Z87" i="34"/>
  <c r="D55" i="70" s="1"/>
  <c r="M31" i="65"/>
  <c r="T31" i="65" s="1"/>
  <c r="Z20" i="34"/>
  <c r="D61" i="70" s="1"/>
  <c r="M117" i="65"/>
  <c r="T117" i="65" s="1"/>
  <c r="Z106" i="34"/>
  <c r="D62" i="70" s="1"/>
  <c r="M17" i="65"/>
  <c r="T17" i="65" s="1"/>
  <c r="Z6" i="34"/>
  <c r="D18" i="70" s="1"/>
  <c r="M124" i="65"/>
  <c r="T124" i="65" s="1"/>
  <c r="Z113" i="34"/>
  <c r="D37" i="70" s="1"/>
  <c r="M16" i="65"/>
  <c r="T16" i="65" s="1"/>
  <c r="Z5" i="34"/>
  <c r="D72" i="70" s="1"/>
  <c r="M139" i="65"/>
  <c r="T139" i="65" s="1"/>
  <c r="Z128" i="34"/>
  <c r="D114" i="70" s="1"/>
  <c r="M83" i="65"/>
  <c r="T83" i="65" s="1"/>
  <c r="Z72" i="34"/>
  <c r="D36" i="70" s="1"/>
  <c r="M133" i="65"/>
  <c r="T133" i="65" s="1"/>
  <c r="Z122" i="34"/>
  <c r="D12" i="70" s="1"/>
  <c r="M75" i="65"/>
  <c r="T75" i="65" s="1"/>
  <c r="Z64" i="34"/>
  <c r="D66" i="70" s="1"/>
  <c r="M116" i="65"/>
  <c r="T116" i="65" s="1"/>
  <c r="Z105" i="34"/>
  <c r="D97" i="70" s="1"/>
  <c r="M64" i="65"/>
  <c r="T64" i="65" s="1"/>
  <c r="Z53" i="34"/>
  <c r="D27" i="70" s="1"/>
  <c r="M39" i="65"/>
  <c r="T39" i="65" s="1"/>
  <c r="Z28" i="34"/>
  <c r="D24" i="70" s="1"/>
  <c r="M80" i="65"/>
  <c r="T80" i="65" s="1"/>
  <c r="Z69" i="34"/>
  <c r="D88" i="70" s="1"/>
  <c r="M126" i="65"/>
  <c r="T126" i="65" s="1"/>
  <c r="Z115" i="34"/>
  <c r="D103" i="70" s="1"/>
  <c r="M47" i="65"/>
  <c r="T47" i="65" s="1"/>
  <c r="Z36" i="34"/>
  <c r="D81" i="70" s="1"/>
  <c r="M27" i="65"/>
  <c r="T27" i="65" s="1"/>
  <c r="Z16" i="34"/>
  <c r="D54" i="70" s="1"/>
  <c r="M56" i="65"/>
  <c r="T56" i="65" s="1"/>
  <c r="Z45" i="34"/>
  <c r="D83" i="70" s="1"/>
  <c r="M44" i="65"/>
  <c r="T44" i="65" s="1"/>
  <c r="Z33" i="34"/>
  <c r="AG33" i="34" s="1"/>
  <c r="M86" i="65"/>
  <c r="T86" i="65" s="1"/>
  <c r="Z75" i="34"/>
  <c r="D93" i="70" s="1"/>
  <c r="M128" i="65"/>
  <c r="T128" i="65" s="1"/>
  <c r="Z117" i="34"/>
  <c r="D104" i="70" s="1"/>
  <c r="M134" i="65"/>
  <c r="T134" i="65" s="1"/>
  <c r="Z123" i="34"/>
  <c r="D35" i="70" s="1"/>
  <c r="M113" i="65"/>
  <c r="T113" i="65" s="1"/>
  <c r="Z102" i="34"/>
  <c r="D115" i="70" s="1"/>
  <c r="M62" i="65"/>
  <c r="T62" i="65" s="1"/>
  <c r="Z51" i="34"/>
  <c r="D67" i="70" s="1"/>
  <c r="M104" i="65"/>
  <c r="T104" i="65" s="1"/>
  <c r="Z93" i="34"/>
  <c r="D20" i="70" s="1"/>
  <c r="M24" i="65"/>
  <c r="T24" i="65" s="1"/>
  <c r="Z13" i="34"/>
  <c r="D46" i="70" s="1"/>
  <c r="M131" i="65"/>
  <c r="T131" i="65" s="1"/>
  <c r="Z120" i="34"/>
  <c r="D34" i="70" s="1"/>
  <c r="M120" i="65"/>
  <c r="T120" i="65" s="1"/>
  <c r="Z109" i="34"/>
  <c r="D100" i="70" s="1"/>
  <c r="M122" i="65"/>
  <c r="T122" i="65" s="1"/>
  <c r="Z111" i="34"/>
  <c r="D101" i="70" s="1"/>
  <c r="M36" i="65"/>
  <c r="T36" i="65" s="1"/>
  <c r="Z25" i="34"/>
  <c r="D77" i="70" s="1"/>
  <c r="M114" i="65"/>
  <c r="T114" i="65" s="1"/>
  <c r="Z103" i="34"/>
  <c r="D112" i="70" s="1"/>
  <c r="M28" i="65"/>
  <c r="T28" i="65" s="1"/>
  <c r="Z17" i="34"/>
  <c r="D48" i="70" s="1"/>
  <c r="M103" i="65"/>
  <c r="T103" i="65" s="1"/>
  <c r="Z92" i="34"/>
  <c r="D19" i="70" s="1"/>
  <c r="M58" i="65"/>
  <c r="T58" i="65" s="1"/>
  <c r="Z47" i="34"/>
  <c r="D85" i="70" s="1"/>
  <c r="M55" i="65"/>
  <c r="T55" i="65" s="1"/>
  <c r="Z44" i="34"/>
  <c r="D38" i="70" s="1"/>
  <c r="M14" i="65"/>
  <c r="T14" i="65" s="1"/>
  <c r="R97" i="65"/>
  <c r="K144" i="65"/>
  <c r="K143" i="65"/>
  <c r="V97" i="65"/>
  <c r="O143" i="65"/>
  <c r="O144" i="65"/>
  <c r="N5" i="56"/>
  <c r="R90" i="50"/>
  <c r="R26" i="50"/>
  <c r="R97" i="50"/>
  <c r="R33" i="50"/>
  <c r="R80" i="50"/>
  <c r="R87" i="50"/>
  <c r="R23" i="50"/>
  <c r="R86" i="50"/>
  <c r="R22" i="50"/>
  <c r="R85" i="50"/>
  <c r="R21" i="50"/>
  <c r="R60" i="50"/>
  <c r="R131" i="50"/>
  <c r="R67" i="50"/>
  <c r="R132" i="50"/>
  <c r="R82" i="50"/>
  <c r="R18" i="50"/>
  <c r="R89" i="50"/>
  <c r="R25" i="50"/>
  <c r="G9" i="63" s="1"/>
  <c r="R72" i="50"/>
  <c r="W9" i="63" s="1"/>
  <c r="R128" i="50"/>
  <c r="R79" i="50"/>
  <c r="R136" i="50"/>
  <c r="R78" i="50"/>
  <c r="R15" i="50"/>
  <c r="R77" i="50"/>
  <c r="R116" i="50"/>
  <c r="R52" i="50"/>
  <c r="R123" i="50"/>
  <c r="R59" i="50"/>
  <c r="R138" i="50"/>
  <c r="R74" i="50"/>
  <c r="R81" i="50"/>
  <c r="R17" i="50"/>
  <c r="R135" i="50"/>
  <c r="R71" i="50"/>
  <c r="R134" i="50"/>
  <c r="R133" i="50"/>
  <c r="R69" i="50"/>
  <c r="R108" i="50"/>
  <c r="R115" i="50"/>
  <c r="R51" i="50"/>
  <c r="R66" i="50"/>
  <c r="R137" i="50"/>
  <c r="R73" i="50"/>
  <c r="R120" i="50"/>
  <c r="R56" i="50"/>
  <c r="R127" i="50"/>
  <c r="R63" i="50"/>
  <c r="R126" i="50"/>
  <c r="R62" i="50"/>
  <c r="R125" i="50"/>
  <c r="R61" i="50"/>
  <c r="R100" i="50"/>
  <c r="R36" i="50"/>
  <c r="R107" i="50"/>
  <c r="R43" i="50"/>
  <c r="R122" i="50"/>
  <c r="R58" i="50"/>
  <c r="R129" i="50"/>
  <c r="R65" i="50"/>
  <c r="R112" i="50"/>
  <c r="R48" i="50"/>
  <c r="R119" i="50"/>
  <c r="R55" i="50"/>
  <c r="R118" i="50"/>
  <c r="R117" i="50"/>
  <c r="R53" i="50"/>
  <c r="R92" i="50"/>
  <c r="R28" i="50"/>
  <c r="R99" i="50"/>
  <c r="AE9" i="63" s="1"/>
  <c r="R35" i="50"/>
  <c r="R114" i="50"/>
  <c r="R50" i="50"/>
  <c r="R121" i="50"/>
  <c r="R57" i="50"/>
  <c r="R104" i="50"/>
  <c r="R40" i="50"/>
  <c r="R111" i="50"/>
  <c r="R47" i="50"/>
  <c r="R110" i="50"/>
  <c r="R46" i="50"/>
  <c r="R109" i="50"/>
  <c r="R45" i="50"/>
  <c r="R84" i="50"/>
  <c r="R20" i="50"/>
  <c r="R27" i="50"/>
  <c r="R106" i="50"/>
  <c r="R42" i="50"/>
  <c r="R113" i="50"/>
  <c r="R49" i="50"/>
  <c r="R32" i="50"/>
  <c r="R103" i="50"/>
  <c r="R102" i="50"/>
  <c r="R38" i="50"/>
  <c r="R101" i="50"/>
  <c r="R37" i="50"/>
  <c r="R76" i="50"/>
  <c r="R124" i="50"/>
  <c r="R83" i="50"/>
  <c r="R19" i="50"/>
  <c r="R98" i="50"/>
  <c r="AB7" i="56" s="1"/>
  <c r="R34" i="50"/>
  <c r="R105" i="50"/>
  <c r="R41" i="50"/>
  <c r="R88" i="50"/>
  <c r="R95" i="50"/>
  <c r="R31" i="50"/>
  <c r="R94" i="50"/>
  <c r="R30" i="50"/>
  <c r="R93" i="50"/>
  <c r="R29" i="50"/>
  <c r="R68" i="50"/>
  <c r="R139" i="50"/>
  <c r="R75" i="50"/>
  <c r="AJ34" i="50"/>
  <c r="AL34" i="50"/>
  <c r="AJ72" i="50"/>
  <c r="AL72" i="50"/>
  <c r="W12" i="63" s="1"/>
  <c r="Y12" i="63" s="1"/>
  <c r="Z12" i="63" s="1"/>
  <c r="AJ95" i="50"/>
  <c r="AL95" i="50"/>
  <c r="AJ42" i="50"/>
  <c r="AL42" i="50"/>
  <c r="AJ33" i="50"/>
  <c r="AL33" i="50"/>
  <c r="AJ115" i="50"/>
  <c r="AL115" i="50"/>
  <c r="AJ89" i="50"/>
  <c r="AL89" i="50"/>
  <c r="AJ38" i="50"/>
  <c r="AL38" i="50"/>
  <c r="AJ21" i="50"/>
  <c r="AL21" i="50"/>
  <c r="AJ117" i="50"/>
  <c r="AL117" i="50"/>
  <c r="AJ114" i="50"/>
  <c r="AL114" i="50"/>
  <c r="AJ133" i="50"/>
  <c r="AL133" i="50"/>
  <c r="AJ129" i="50"/>
  <c r="AL129" i="50"/>
  <c r="AJ74" i="50"/>
  <c r="AL74" i="50"/>
  <c r="AJ30" i="50"/>
  <c r="AL30" i="50"/>
  <c r="AJ17" i="50"/>
  <c r="AL17" i="50"/>
  <c r="AJ73" i="50"/>
  <c r="AL73" i="50"/>
  <c r="AJ45" i="50"/>
  <c r="AL45" i="50"/>
  <c r="AJ63" i="50"/>
  <c r="AL63" i="50"/>
  <c r="AJ40" i="50"/>
  <c r="AL40" i="50"/>
  <c r="AJ122" i="50"/>
  <c r="AL122" i="50"/>
  <c r="AJ138" i="50"/>
  <c r="AL138" i="50"/>
  <c r="AJ51" i="50"/>
  <c r="AL51" i="50"/>
  <c r="AJ59" i="50"/>
  <c r="AL59" i="50"/>
  <c r="AJ41" i="50"/>
  <c r="AL41" i="50"/>
  <c r="AJ127" i="50"/>
  <c r="AL127" i="50"/>
  <c r="AJ87" i="50"/>
  <c r="AL87" i="50"/>
  <c r="AJ105" i="50"/>
  <c r="AL105" i="50"/>
  <c r="AJ134" i="50"/>
  <c r="AL134" i="50"/>
  <c r="AJ37" i="50"/>
  <c r="AL37" i="50"/>
  <c r="AJ112" i="50"/>
  <c r="AL112" i="50"/>
  <c r="AJ140" i="50"/>
  <c r="AL140" i="50"/>
  <c r="AJ120" i="50"/>
  <c r="AL120" i="50"/>
  <c r="AJ57" i="50"/>
  <c r="AL57" i="50"/>
  <c r="AJ50" i="50"/>
  <c r="AL50" i="50"/>
  <c r="AJ43" i="50"/>
  <c r="AL43" i="50"/>
  <c r="AJ15" i="50"/>
  <c r="AL15" i="50"/>
  <c r="AJ101" i="50"/>
  <c r="AL101" i="50"/>
  <c r="AJ71" i="50"/>
  <c r="AL71" i="50"/>
  <c r="AJ84" i="50"/>
  <c r="AL84" i="50"/>
  <c r="AJ81" i="50"/>
  <c r="AL81" i="50"/>
  <c r="AJ52" i="50"/>
  <c r="AL52" i="50"/>
  <c r="AJ125" i="50"/>
  <c r="AL125" i="50"/>
  <c r="AJ104" i="50"/>
  <c r="AL104" i="50"/>
  <c r="AJ31" i="50"/>
  <c r="AL31" i="50"/>
  <c r="AJ79" i="50"/>
  <c r="AL79" i="50"/>
  <c r="AJ22" i="50"/>
  <c r="AL22" i="50"/>
  <c r="AJ19" i="50"/>
  <c r="AL19" i="50"/>
  <c r="AJ116" i="50"/>
  <c r="AL116" i="50"/>
  <c r="AJ68" i="50"/>
  <c r="AL68" i="50"/>
  <c r="AJ88" i="50"/>
  <c r="AL88" i="50"/>
  <c r="AJ132" i="50"/>
  <c r="AL132" i="50"/>
  <c r="AJ67" i="50"/>
  <c r="AL67" i="50"/>
  <c r="AJ55" i="50"/>
  <c r="AL55" i="50"/>
  <c r="AJ86" i="50"/>
  <c r="AL86" i="50"/>
  <c r="AJ97" i="50"/>
  <c r="AL97" i="50"/>
  <c r="AJ27" i="50"/>
  <c r="AL27" i="50"/>
  <c r="AJ93" i="50"/>
  <c r="AL93" i="50"/>
  <c r="AJ23" i="50"/>
  <c r="AL23" i="50"/>
  <c r="AJ108" i="50"/>
  <c r="AL108" i="50"/>
  <c r="AJ113" i="50"/>
  <c r="AL113" i="50"/>
  <c r="AJ123" i="50"/>
  <c r="AL123" i="50"/>
  <c r="AJ102" i="50"/>
  <c r="AL102" i="50"/>
  <c r="AJ46" i="50"/>
  <c r="AL46" i="50"/>
  <c r="AJ28" i="50"/>
  <c r="AL28" i="50"/>
  <c r="AJ99" i="50"/>
  <c r="AL99" i="50"/>
  <c r="AE12" i="63" s="1"/>
  <c r="AG12" i="63" s="1"/>
  <c r="AH12" i="63" s="1"/>
  <c r="AJ124" i="50"/>
  <c r="AL124" i="50"/>
  <c r="AJ60" i="50"/>
  <c r="AL60" i="50"/>
  <c r="AJ90" i="50"/>
  <c r="AL90" i="50"/>
  <c r="AJ137" i="50"/>
  <c r="AL137" i="50"/>
  <c r="AJ58" i="50"/>
  <c r="AL58" i="50"/>
  <c r="AJ139" i="50"/>
  <c r="AL139" i="50"/>
  <c r="AJ20" i="50"/>
  <c r="AL20" i="50"/>
  <c r="AM12" i="63" s="1"/>
  <c r="AO12" i="63" s="1"/>
  <c r="AP12" i="63" s="1"/>
  <c r="AJ111" i="50"/>
  <c r="AL111" i="50"/>
  <c r="AJ76" i="50"/>
  <c r="AL76" i="50"/>
  <c r="AJ119" i="50"/>
  <c r="AL119" i="50"/>
  <c r="AJ98" i="50"/>
  <c r="AL98" i="50"/>
  <c r="AB12" i="56" s="1"/>
  <c r="AD12" i="56" s="1"/>
  <c r="AJ56" i="50"/>
  <c r="AL56" i="50"/>
  <c r="AJ110" i="50"/>
  <c r="AL110" i="50"/>
  <c r="AJ131" i="50"/>
  <c r="AL131" i="50"/>
  <c r="AJ29" i="50"/>
  <c r="AL29" i="50"/>
  <c r="AJ126" i="50"/>
  <c r="AL126" i="50"/>
  <c r="AJ109" i="50"/>
  <c r="AL109" i="50"/>
  <c r="AJ100" i="50"/>
  <c r="AL100" i="50"/>
  <c r="AJ49" i="50"/>
  <c r="AL49" i="50"/>
  <c r="AJ48" i="50"/>
  <c r="AL48" i="50"/>
  <c r="AJ32" i="50"/>
  <c r="AL32" i="50"/>
  <c r="AJ80" i="50"/>
  <c r="AL80" i="50"/>
  <c r="AJ18" i="50"/>
  <c r="AL18" i="50"/>
  <c r="AJ75" i="50"/>
  <c r="AL75" i="50"/>
  <c r="AJ83" i="50"/>
  <c r="AL83" i="50"/>
  <c r="AJ82" i="50"/>
  <c r="AL82" i="50"/>
  <c r="AJ103" i="50"/>
  <c r="AL103" i="50"/>
  <c r="AJ62" i="50"/>
  <c r="AL62" i="50"/>
  <c r="AJ36" i="50"/>
  <c r="AL36" i="50"/>
  <c r="AJ118" i="50"/>
  <c r="AL118" i="50"/>
  <c r="AJ61" i="50"/>
  <c r="AL61" i="50"/>
  <c r="AJ107" i="50"/>
  <c r="AL107" i="50"/>
  <c r="AJ53" i="50"/>
  <c r="AL53" i="50"/>
  <c r="AJ85" i="50"/>
  <c r="AL85" i="50"/>
  <c r="AJ128" i="50"/>
  <c r="AL128" i="50"/>
  <c r="AJ92" i="50"/>
  <c r="AL92" i="50"/>
  <c r="AJ35" i="50"/>
  <c r="AL35" i="50"/>
  <c r="AJ47" i="50"/>
  <c r="AL47" i="50"/>
  <c r="AJ94" i="50"/>
  <c r="AL94" i="50"/>
  <c r="AJ69" i="50"/>
  <c r="AL69" i="50"/>
  <c r="AJ78" i="50"/>
  <c r="AL78" i="50"/>
  <c r="AJ136" i="50"/>
  <c r="AL136" i="50"/>
  <c r="AJ135" i="50"/>
  <c r="AL135" i="50"/>
  <c r="AJ77" i="50"/>
  <c r="AL77" i="50"/>
  <c r="AJ106" i="50"/>
  <c r="AL106" i="50"/>
  <c r="AJ66" i="50"/>
  <c r="AL66" i="50"/>
  <c r="AJ26" i="50"/>
  <c r="AL26" i="50"/>
  <c r="Q12" i="63" s="1"/>
  <c r="R12" i="63" s="1"/>
  <c r="AJ121" i="50"/>
  <c r="AL121" i="50"/>
  <c r="AJ65" i="50"/>
  <c r="AL65" i="50"/>
  <c r="AF78" i="50"/>
  <c r="AH78" i="50"/>
  <c r="AF133" i="50"/>
  <c r="AH133" i="50"/>
  <c r="AF29" i="50"/>
  <c r="AH29" i="50"/>
  <c r="AF122" i="50"/>
  <c r="AH122" i="50"/>
  <c r="AF92" i="50"/>
  <c r="AH92" i="50"/>
  <c r="AF62" i="50"/>
  <c r="AH62" i="50"/>
  <c r="AF129" i="50"/>
  <c r="AH129" i="50"/>
  <c r="AF135" i="50"/>
  <c r="AH135" i="50"/>
  <c r="AF114" i="50"/>
  <c r="AH114" i="50"/>
  <c r="AF63" i="50"/>
  <c r="AH63" i="50"/>
  <c r="AF105" i="50"/>
  <c r="AH105" i="50"/>
  <c r="AF132" i="50"/>
  <c r="AH132" i="50"/>
  <c r="AF17" i="50"/>
  <c r="AH17" i="50"/>
  <c r="AF140" i="50"/>
  <c r="AH140" i="50"/>
  <c r="AF84" i="50"/>
  <c r="AH84" i="50"/>
  <c r="AF134" i="50"/>
  <c r="AH134" i="50"/>
  <c r="AF76" i="50"/>
  <c r="AH76" i="50"/>
  <c r="AF117" i="50"/>
  <c r="AH117" i="50"/>
  <c r="AF65" i="50"/>
  <c r="AH65" i="50"/>
  <c r="AF40" i="50"/>
  <c r="AH40" i="50"/>
  <c r="AF107" i="50"/>
  <c r="AH107" i="50"/>
  <c r="AF121" i="50"/>
  <c r="AH121" i="50"/>
  <c r="AF104" i="50"/>
  <c r="AH104" i="50"/>
  <c r="AF102" i="50"/>
  <c r="AH102" i="50"/>
  <c r="AF124" i="50"/>
  <c r="AH124" i="50"/>
  <c r="AF19" i="50"/>
  <c r="AH19" i="50"/>
  <c r="AF71" i="50"/>
  <c r="AH71" i="50"/>
  <c r="AF33" i="50"/>
  <c r="AH33" i="50"/>
  <c r="AF83" i="50"/>
  <c r="AH83" i="50"/>
  <c r="AF42" i="50"/>
  <c r="AH42" i="50"/>
  <c r="AF86" i="50"/>
  <c r="AH86" i="50"/>
  <c r="AF85" i="50"/>
  <c r="AH85" i="50"/>
  <c r="AF88" i="50"/>
  <c r="AH88" i="50"/>
  <c r="AF90" i="50"/>
  <c r="AH90" i="50"/>
  <c r="AF69" i="50"/>
  <c r="AH69" i="50"/>
  <c r="AF31" i="50"/>
  <c r="AH31" i="50"/>
  <c r="AF58" i="50"/>
  <c r="AH58" i="50"/>
  <c r="AF21" i="50"/>
  <c r="AH21" i="50"/>
  <c r="AF53" i="50"/>
  <c r="AH53" i="50"/>
  <c r="AF77" i="50"/>
  <c r="AH77" i="50"/>
  <c r="AF123" i="50"/>
  <c r="AH123" i="50"/>
  <c r="AF59" i="50"/>
  <c r="AH59" i="50"/>
  <c r="AF49" i="50"/>
  <c r="AH49" i="50"/>
  <c r="AF35" i="50"/>
  <c r="AH35" i="50"/>
  <c r="AF138" i="50"/>
  <c r="AH138" i="50"/>
  <c r="AF81" i="50"/>
  <c r="AH81" i="50"/>
  <c r="AF93" i="50"/>
  <c r="AH93" i="50"/>
  <c r="AF98" i="50"/>
  <c r="AH98" i="50"/>
  <c r="AF112" i="50"/>
  <c r="AH112" i="50"/>
  <c r="AF126" i="50"/>
  <c r="AH126" i="50"/>
  <c r="AF89" i="50"/>
  <c r="AH89" i="50"/>
  <c r="AF128" i="50"/>
  <c r="AH128" i="50"/>
  <c r="AF136" i="50"/>
  <c r="AH136" i="50"/>
  <c r="AF47" i="50"/>
  <c r="AH47" i="50"/>
  <c r="AF26" i="50"/>
  <c r="AH26" i="50"/>
  <c r="AF106" i="50"/>
  <c r="AH106" i="50"/>
  <c r="AF60" i="50"/>
  <c r="AH60" i="50"/>
  <c r="AF15" i="50"/>
  <c r="AH15" i="50"/>
  <c r="AF110" i="50"/>
  <c r="AH110" i="50"/>
  <c r="AF115" i="50"/>
  <c r="AH115" i="50"/>
  <c r="AF56" i="50"/>
  <c r="AH56" i="50"/>
  <c r="AF38" i="50"/>
  <c r="AH38" i="50"/>
  <c r="AF120" i="50"/>
  <c r="AH120" i="50"/>
  <c r="AF111" i="50"/>
  <c r="AH111" i="50"/>
  <c r="AF22" i="50"/>
  <c r="AH22" i="50"/>
  <c r="AF94" i="50"/>
  <c r="AH94" i="50"/>
  <c r="AF55" i="50"/>
  <c r="AH55" i="50"/>
  <c r="AF50" i="50"/>
  <c r="AH50" i="50"/>
  <c r="AF127" i="50"/>
  <c r="AH127" i="50"/>
  <c r="AF73" i="50"/>
  <c r="AH73" i="50"/>
  <c r="AF48" i="50"/>
  <c r="AH48" i="50"/>
  <c r="AF139" i="50"/>
  <c r="AH139" i="50"/>
  <c r="AF108" i="50"/>
  <c r="AH108" i="50"/>
  <c r="AF20" i="50"/>
  <c r="AH20" i="50"/>
  <c r="AF23" i="50"/>
  <c r="AH23" i="50"/>
  <c r="AF74" i="50"/>
  <c r="AH74" i="50"/>
  <c r="AF113" i="50"/>
  <c r="AH113" i="50"/>
  <c r="AF131" i="50"/>
  <c r="AH131" i="50"/>
  <c r="AF41" i="50"/>
  <c r="AH41" i="50"/>
  <c r="AF68" i="50"/>
  <c r="AH68" i="50"/>
  <c r="AF67" i="50"/>
  <c r="AH67" i="50"/>
  <c r="AF119" i="50"/>
  <c r="AH119" i="50"/>
  <c r="AF116" i="50"/>
  <c r="AH116" i="50"/>
  <c r="AF137" i="50"/>
  <c r="AH137" i="50"/>
  <c r="AF43" i="50"/>
  <c r="AH43" i="50"/>
  <c r="AF46" i="50"/>
  <c r="AH46" i="50"/>
  <c r="AF34" i="50"/>
  <c r="AH34" i="50"/>
  <c r="AF97" i="50"/>
  <c r="AH97" i="50"/>
  <c r="AF57" i="50"/>
  <c r="AH57" i="50"/>
  <c r="AF103" i="50"/>
  <c r="AH103" i="50"/>
  <c r="AF109" i="50"/>
  <c r="AH109" i="50"/>
  <c r="AF45" i="50"/>
  <c r="AH45" i="50"/>
  <c r="AF72" i="50"/>
  <c r="AH72" i="50"/>
  <c r="AF87" i="50"/>
  <c r="AH87" i="50"/>
  <c r="AF100" i="50"/>
  <c r="AH100" i="50"/>
  <c r="AF37" i="50"/>
  <c r="AH37" i="50"/>
  <c r="AF95" i="50"/>
  <c r="AH95" i="50"/>
  <c r="AF27" i="50"/>
  <c r="AH27" i="50"/>
  <c r="AF61" i="50"/>
  <c r="AH61" i="50"/>
  <c r="AF99" i="50"/>
  <c r="AH99" i="50"/>
  <c r="AF32" i="50"/>
  <c r="AH32" i="50"/>
  <c r="AF118" i="50"/>
  <c r="AH118" i="50"/>
  <c r="AF18" i="50"/>
  <c r="AH18" i="50"/>
  <c r="AF125" i="50"/>
  <c r="AH125" i="50"/>
  <c r="AF80" i="50"/>
  <c r="AH80" i="50"/>
  <c r="AF79" i="50"/>
  <c r="AH79" i="50"/>
  <c r="AF82" i="50"/>
  <c r="AH82" i="50"/>
  <c r="AF52" i="50"/>
  <c r="AH52" i="50"/>
  <c r="AF66" i="50"/>
  <c r="AH66" i="50"/>
  <c r="AF51" i="50"/>
  <c r="AH51" i="50"/>
  <c r="AF30" i="50"/>
  <c r="AH30" i="50"/>
  <c r="AF36" i="50"/>
  <c r="AH36" i="50"/>
  <c r="AB101" i="50"/>
  <c r="AD101" i="50"/>
  <c r="K101" i="49" s="1"/>
  <c r="AB86" i="50"/>
  <c r="AD86" i="50"/>
  <c r="K86" i="49" s="1"/>
  <c r="AB31" i="50"/>
  <c r="AD31" i="50"/>
  <c r="K31" i="49" s="1"/>
  <c r="AB97" i="50"/>
  <c r="AD97" i="50"/>
  <c r="K97" i="49" s="1"/>
  <c r="AB105" i="50"/>
  <c r="AD105" i="50"/>
  <c r="K105" i="49" s="1"/>
  <c r="AB134" i="50"/>
  <c r="AD134" i="50"/>
  <c r="K134" i="49" s="1"/>
  <c r="L123" i="49"/>
  <c r="AD123" i="50"/>
  <c r="K123" i="49" s="1"/>
  <c r="AB112" i="50"/>
  <c r="AD112" i="50"/>
  <c r="K112" i="49" s="1"/>
  <c r="AB140" i="50"/>
  <c r="AD140" i="50"/>
  <c r="K140" i="49" s="1"/>
  <c r="AB139" i="50"/>
  <c r="AD139" i="50"/>
  <c r="K139" i="49" s="1"/>
  <c r="AB50" i="50"/>
  <c r="AD50" i="50"/>
  <c r="K50" i="49" s="1"/>
  <c r="AB75" i="50"/>
  <c r="AD75" i="50"/>
  <c r="K75" i="49" s="1"/>
  <c r="AB129" i="50"/>
  <c r="AD129" i="50"/>
  <c r="K129" i="49" s="1"/>
  <c r="AB65" i="50"/>
  <c r="AD65" i="50"/>
  <c r="K65" i="49" s="1"/>
  <c r="AB89" i="50"/>
  <c r="AD89" i="50"/>
  <c r="K89" i="49" s="1"/>
  <c r="AB27" i="50"/>
  <c r="AD27" i="50"/>
  <c r="K27" i="49" s="1"/>
  <c r="AB67" i="50"/>
  <c r="AD67" i="50"/>
  <c r="K67" i="49" s="1"/>
  <c r="AB73" i="50"/>
  <c r="AD73" i="50"/>
  <c r="K73" i="49" s="1"/>
  <c r="AB41" i="50"/>
  <c r="AD41" i="50"/>
  <c r="K41" i="49" s="1"/>
  <c r="AB43" i="50"/>
  <c r="AD43" i="50"/>
  <c r="K43" i="49" s="1"/>
  <c r="AB58" i="50"/>
  <c r="AD58" i="50"/>
  <c r="K58" i="49" s="1"/>
  <c r="L110" i="49"/>
  <c r="AD110" i="50"/>
  <c r="K110" i="49" s="1"/>
  <c r="AB87" i="50"/>
  <c r="AD87" i="50"/>
  <c r="K87" i="49" s="1"/>
  <c r="AB104" i="50"/>
  <c r="AD104" i="50"/>
  <c r="K104" i="49" s="1"/>
  <c r="AB63" i="50"/>
  <c r="AD63" i="50"/>
  <c r="K63" i="49" s="1"/>
  <c r="AB23" i="50"/>
  <c r="AD23" i="50"/>
  <c r="K23" i="49" s="1"/>
  <c r="AB84" i="50"/>
  <c r="AD84" i="50"/>
  <c r="K84" i="49" s="1"/>
  <c r="AB33" i="50"/>
  <c r="AD33" i="50"/>
  <c r="K33" i="49" s="1"/>
  <c r="AB107" i="50"/>
  <c r="AD107" i="50"/>
  <c r="K107" i="49" s="1"/>
  <c r="AB40" i="50"/>
  <c r="AD40" i="50"/>
  <c r="K40" i="49" s="1"/>
  <c r="AB126" i="50"/>
  <c r="AD126" i="50"/>
  <c r="K126" i="49" s="1"/>
  <c r="AB37" i="50"/>
  <c r="AD37" i="50"/>
  <c r="K37" i="49" s="1"/>
  <c r="AB131" i="50"/>
  <c r="AD131" i="50"/>
  <c r="K131" i="49" s="1"/>
  <c r="AB35" i="50"/>
  <c r="AD35" i="50"/>
  <c r="K35" i="49" s="1"/>
  <c r="AB114" i="50"/>
  <c r="AD114" i="50"/>
  <c r="K114" i="49" s="1"/>
  <c r="AB127" i="50"/>
  <c r="AD127" i="50"/>
  <c r="K127" i="49" s="1"/>
  <c r="L83" i="49"/>
  <c r="AD83" i="50"/>
  <c r="K83" i="49" s="1"/>
  <c r="AB69" i="50"/>
  <c r="AD69" i="50"/>
  <c r="K69" i="49" s="1"/>
  <c r="AB102" i="50"/>
  <c r="AD102" i="50"/>
  <c r="K102" i="49" s="1"/>
  <c r="AB85" i="50"/>
  <c r="AD85" i="50"/>
  <c r="K85" i="49" s="1"/>
  <c r="AB90" i="50"/>
  <c r="AD90" i="50"/>
  <c r="K90" i="49" s="1"/>
  <c r="AB22" i="50"/>
  <c r="AD22" i="50"/>
  <c r="K22" i="49" s="1"/>
  <c r="AB51" i="50"/>
  <c r="AD51" i="50"/>
  <c r="K51" i="49" s="1"/>
  <c r="AB115" i="50"/>
  <c r="AD115" i="50"/>
  <c r="K115" i="49" s="1"/>
  <c r="AB19" i="50"/>
  <c r="AD19" i="50"/>
  <c r="K19" i="49" s="1"/>
  <c r="AB135" i="50"/>
  <c r="AD135" i="50"/>
  <c r="K135" i="49" s="1"/>
  <c r="AB47" i="50"/>
  <c r="AD47" i="50"/>
  <c r="K47" i="49" s="1"/>
  <c r="AB48" i="50"/>
  <c r="AD48" i="50"/>
  <c r="K48" i="49" s="1"/>
  <c r="AB93" i="50"/>
  <c r="AD93" i="50"/>
  <c r="K93" i="49" s="1"/>
  <c r="AB98" i="50"/>
  <c r="AD98" i="50"/>
  <c r="AB46" i="50"/>
  <c r="AD46" i="50"/>
  <c r="K46" i="49" s="1"/>
  <c r="AB74" i="50"/>
  <c r="AD74" i="50"/>
  <c r="K74" i="49" s="1"/>
  <c r="AB30" i="50"/>
  <c r="AD30" i="50"/>
  <c r="K30" i="49" s="1"/>
  <c r="AB21" i="50"/>
  <c r="AD21" i="50"/>
  <c r="K21" i="49" s="1"/>
  <c r="AB103" i="50"/>
  <c r="AD103" i="50"/>
  <c r="K103" i="49" s="1"/>
  <c r="AB95" i="50"/>
  <c r="AD95" i="50"/>
  <c r="K95" i="49" s="1"/>
  <c r="AB118" i="50"/>
  <c r="AD118" i="50"/>
  <c r="K118" i="49" s="1"/>
  <c r="AB29" i="50"/>
  <c r="AD29" i="50"/>
  <c r="K29" i="49" s="1"/>
  <c r="AB36" i="50"/>
  <c r="AD36" i="50"/>
  <c r="K36" i="49" s="1"/>
  <c r="AB49" i="50"/>
  <c r="AD49" i="50"/>
  <c r="K49" i="49" s="1"/>
  <c r="AB56" i="50"/>
  <c r="AD56" i="50"/>
  <c r="K56" i="49" s="1"/>
  <c r="AB66" i="50"/>
  <c r="AD66" i="50"/>
  <c r="K66" i="49" s="1"/>
  <c r="AB121" i="50"/>
  <c r="AD121" i="50"/>
  <c r="K121" i="49" s="1"/>
  <c r="AB108" i="50"/>
  <c r="AD108" i="50"/>
  <c r="K108" i="49" s="1"/>
  <c r="AB60" i="50"/>
  <c r="AD60" i="50"/>
  <c r="K60" i="49" s="1"/>
  <c r="AB38" i="50"/>
  <c r="AD38" i="50"/>
  <c r="K38" i="49" s="1"/>
  <c r="L116" i="49"/>
  <c r="AD116" i="50"/>
  <c r="K116" i="49" s="1"/>
  <c r="AB92" i="50"/>
  <c r="AD92" i="50"/>
  <c r="K92" i="49" s="1"/>
  <c r="AB17" i="50"/>
  <c r="AD17" i="50"/>
  <c r="K17" i="49" s="1"/>
  <c r="AB20" i="50"/>
  <c r="AD20" i="50"/>
  <c r="AB42" i="50"/>
  <c r="AD42" i="50"/>
  <c r="K42" i="49" s="1"/>
  <c r="AB55" i="50"/>
  <c r="AD55" i="50"/>
  <c r="K55" i="49" s="1"/>
  <c r="AB113" i="50"/>
  <c r="AD113" i="50"/>
  <c r="K113" i="49" s="1"/>
  <c r="AB71" i="50"/>
  <c r="AD71" i="50"/>
  <c r="K71" i="49" s="1"/>
  <c r="AB26" i="50"/>
  <c r="AD26" i="50"/>
  <c r="K26" i="49" s="1"/>
  <c r="AB77" i="50"/>
  <c r="AD77" i="50"/>
  <c r="K77" i="49" s="1"/>
  <c r="AB133" i="50"/>
  <c r="AD133" i="50"/>
  <c r="K133" i="49" s="1"/>
  <c r="AB53" i="50"/>
  <c r="AD53" i="50"/>
  <c r="K53" i="49" s="1"/>
  <c r="AB132" i="50"/>
  <c r="AD132" i="50"/>
  <c r="K132" i="49" s="1"/>
  <c r="AB119" i="50"/>
  <c r="AD119" i="50"/>
  <c r="K119" i="49" s="1"/>
  <c r="AB128" i="50"/>
  <c r="AD128" i="50"/>
  <c r="K128" i="49" s="1"/>
  <c r="AB72" i="50"/>
  <c r="AD72" i="50"/>
  <c r="K72" i="49" s="1"/>
  <c r="AB99" i="50"/>
  <c r="AD99" i="50"/>
  <c r="AB78" i="50"/>
  <c r="AD78" i="50"/>
  <c r="K78" i="49" s="1"/>
  <c r="AB79" i="50"/>
  <c r="AD79" i="50"/>
  <c r="K79" i="49" s="1"/>
  <c r="L45" i="49"/>
  <c r="AD45" i="50"/>
  <c r="K45" i="49" s="1"/>
  <c r="AB28" i="50"/>
  <c r="AD28" i="50"/>
  <c r="K28" i="49" s="1"/>
  <c r="AB82" i="50"/>
  <c r="AD82" i="50"/>
  <c r="K82" i="49" s="1"/>
  <c r="AB138" i="50"/>
  <c r="AD138" i="50"/>
  <c r="K138" i="49" s="1"/>
  <c r="AB117" i="50"/>
  <c r="AD117" i="50"/>
  <c r="K117" i="49" s="1"/>
  <c r="AB100" i="50"/>
  <c r="AD100" i="50"/>
  <c r="K100" i="49" s="1"/>
  <c r="AB94" i="50"/>
  <c r="AD94" i="50"/>
  <c r="K94" i="49" s="1"/>
  <c r="AB15" i="50"/>
  <c r="AD15" i="50"/>
  <c r="K15" i="49" s="1"/>
  <c r="AB61" i="50"/>
  <c r="AD61" i="50"/>
  <c r="K61" i="49" s="1"/>
  <c r="AB124" i="50"/>
  <c r="AD124" i="50"/>
  <c r="K124" i="49" s="1"/>
  <c r="AB52" i="50"/>
  <c r="AD52" i="50"/>
  <c r="K52" i="49" s="1"/>
  <c r="AB125" i="50"/>
  <c r="AD125" i="50"/>
  <c r="K125" i="49" s="1"/>
  <c r="L59" i="49"/>
  <c r="AD59" i="50"/>
  <c r="K59" i="49" s="1"/>
  <c r="AB122" i="50"/>
  <c r="AD122" i="50"/>
  <c r="K122" i="49" s="1"/>
  <c r="AB76" i="50"/>
  <c r="AD76" i="50"/>
  <c r="K76" i="49" s="1"/>
  <c r="AB106" i="50"/>
  <c r="AD106" i="50"/>
  <c r="K106" i="49" s="1"/>
  <c r="AB62" i="50"/>
  <c r="AD62" i="50"/>
  <c r="K62" i="49" s="1"/>
  <c r="AB109" i="50"/>
  <c r="AD109" i="50"/>
  <c r="K109" i="49" s="1"/>
  <c r="AB32" i="50"/>
  <c r="AD32" i="50"/>
  <c r="K32" i="49" s="1"/>
  <c r="L34" i="49"/>
  <c r="AD34" i="50"/>
  <c r="K34" i="49" s="1"/>
  <c r="L80" i="49"/>
  <c r="AD80" i="50"/>
  <c r="K80" i="49" s="1"/>
  <c r="AB120" i="50"/>
  <c r="AD120" i="50"/>
  <c r="K120" i="49" s="1"/>
  <c r="AB111" i="50"/>
  <c r="AD111" i="50"/>
  <c r="K111" i="49" s="1"/>
  <c r="AB88" i="50"/>
  <c r="AD88" i="50"/>
  <c r="K88" i="49" s="1"/>
  <c r="AB136" i="50"/>
  <c r="AD136" i="50"/>
  <c r="K136" i="49" s="1"/>
  <c r="AB57" i="50"/>
  <c r="AD57" i="50"/>
  <c r="K57" i="49" s="1"/>
  <c r="AB137" i="50"/>
  <c r="AD137" i="50"/>
  <c r="K137" i="49" s="1"/>
  <c r="AB68" i="50"/>
  <c r="AD68" i="50"/>
  <c r="K68" i="49" s="1"/>
  <c r="AB81" i="50"/>
  <c r="AD81" i="50"/>
  <c r="K81" i="49" s="1"/>
  <c r="AB18" i="50"/>
  <c r="AD18" i="50"/>
  <c r="K18" i="49" s="1"/>
  <c r="I111" i="49"/>
  <c r="T111" i="49" s="1"/>
  <c r="Z111" i="50"/>
  <c r="I32" i="49"/>
  <c r="T32" i="49" s="1"/>
  <c r="Z32" i="50"/>
  <c r="I31" i="49"/>
  <c r="T31" i="49" s="1"/>
  <c r="Z31" i="50"/>
  <c r="I127" i="49"/>
  <c r="T127" i="49" s="1"/>
  <c r="Z127" i="50"/>
  <c r="I87" i="49"/>
  <c r="T87" i="49" s="1"/>
  <c r="Z87" i="50"/>
  <c r="I80" i="49"/>
  <c r="T80" i="49" s="1"/>
  <c r="Z80" i="50"/>
  <c r="Z83" i="50"/>
  <c r="Z138" i="50"/>
  <c r="I59" i="49"/>
  <c r="T59" i="49" s="1"/>
  <c r="Z59" i="50"/>
  <c r="I43" i="49"/>
  <c r="T43" i="49" s="1"/>
  <c r="Z43" i="50"/>
  <c r="Z88" i="50"/>
  <c r="I45" i="49"/>
  <c r="T45" i="49" s="1"/>
  <c r="Z45" i="50"/>
  <c r="Z75" i="50"/>
  <c r="I42" i="49"/>
  <c r="T42" i="49" s="1"/>
  <c r="Z42" i="50"/>
  <c r="I95" i="49"/>
  <c r="T95" i="49" s="1"/>
  <c r="Z95" i="50"/>
  <c r="I22" i="49"/>
  <c r="T22" i="49" s="1"/>
  <c r="Z22" i="50"/>
  <c r="I81" i="49"/>
  <c r="T81" i="49" s="1"/>
  <c r="Z81" i="50"/>
  <c r="I128" i="49"/>
  <c r="T128" i="49" s="1"/>
  <c r="Z128" i="50"/>
  <c r="I107" i="49"/>
  <c r="T107" i="49" s="1"/>
  <c r="Z107" i="50"/>
  <c r="I100" i="49"/>
  <c r="T100" i="49" s="1"/>
  <c r="Z100" i="50"/>
  <c r="I34" i="49"/>
  <c r="T34" i="49" s="1"/>
  <c r="Z34" i="50"/>
  <c r="I136" i="49"/>
  <c r="T136" i="49" s="1"/>
  <c r="Z136" i="50"/>
  <c r="I116" i="49"/>
  <c r="T116" i="49" s="1"/>
  <c r="Z116" i="50"/>
  <c r="I48" i="49"/>
  <c r="T48" i="49" s="1"/>
  <c r="Z48" i="50"/>
  <c r="Z119" i="50"/>
  <c r="I49" i="49"/>
  <c r="T49" i="49" s="1"/>
  <c r="Z49" i="50"/>
  <c r="I98" i="49"/>
  <c r="T98" i="49" s="1"/>
  <c r="Z98" i="50"/>
  <c r="AB9" i="56" s="1"/>
  <c r="AD9" i="56" s="1"/>
  <c r="Z126" i="50"/>
  <c r="Z101" i="50"/>
  <c r="Z132" i="50"/>
  <c r="Z104" i="50"/>
  <c r="I56" i="49"/>
  <c r="T56" i="49" s="1"/>
  <c r="Z56" i="50"/>
  <c r="I103" i="49"/>
  <c r="T103" i="49" s="1"/>
  <c r="Z103" i="50"/>
  <c r="I76" i="49"/>
  <c r="T76" i="49" s="1"/>
  <c r="Z76" i="50"/>
  <c r="I53" i="49"/>
  <c r="T53" i="49" s="1"/>
  <c r="Z53" i="50"/>
  <c r="I108" i="49"/>
  <c r="T108" i="49" s="1"/>
  <c r="Z108" i="50"/>
  <c r="I63" i="49"/>
  <c r="T63" i="49" s="1"/>
  <c r="Z63" i="50"/>
  <c r="I51" i="49"/>
  <c r="T51" i="49" s="1"/>
  <c r="Z51" i="50"/>
  <c r="Z117" i="50"/>
  <c r="I15" i="49"/>
  <c r="T15" i="49" s="1"/>
  <c r="Z15" i="50"/>
  <c r="I36" i="49"/>
  <c r="T36" i="49" s="1"/>
  <c r="Z36" i="50"/>
  <c r="I114" i="49"/>
  <c r="T114" i="49" s="1"/>
  <c r="Z114" i="50"/>
  <c r="Z134" i="50"/>
  <c r="Z109" i="50"/>
  <c r="I140" i="49"/>
  <c r="T140" i="49" s="1"/>
  <c r="Z140" i="50"/>
  <c r="Z112" i="50"/>
  <c r="I65" i="49"/>
  <c r="T65" i="49" s="1"/>
  <c r="Z65" i="50"/>
  <c r="I52" i="49"/>
  <c r="T52" i="49" s="1"/>
  <c r="Z52" i="50"/>
  <c r="I110" i="49"/>
  <c r="T110" i="49" s="1"/>
  <c r="Z110" i="50"/>
  <c r="I93" i="49"/>
  <c r="T93" i="49" s="1"/>
  <c r="Z93" i="50"/>
  <c r="I137" i="49"/>
  <c r="T137" i="49" s="1"/>
  <c r="Z137" i="50"/>
  <c r="I131" i="49"/>
  <c r="T131" i="49" s="1"/>
  <c r="Z131" i="50"/>
  <c r="I106" i="49"/>
  <c r="T106" i="49" s="1"/>
  <c r="Z106" i="50"/>
  <c r="I60" i="49"/>
  <c r="T60" i="49" s="1"/>
  <c r="Z60" i="50"/>
  <c r="I105" i="49"/>
  <c r="T105" i="49" s="1"/>
  <c r="Z105" i="50"/>
  <c r="I26" i="49"/>
  <c r="T26" i="49" s="1"/>
  <c r="Z26" i="50"/>
  <c r="N9" i="56" s="1"/>
  <c r="Z78" i="50"/>
  <c r="Z135" i="50"/>
  <c r="I55" i="49"/>
  <c r="T55" i="49" s="1"/>
  <c r="Z55" i="50"/>
  <c r="Z139" i="50"/>
  <c r="I120" i="49"/>
  <c r="T120" i="49" s="1"/>
  <c r="Z120" i="50"/>
  <c r="I74" i="49"/>
  <c r="T74" i="49" s="1"/>
  <c r="Z74" i="50"/>
  <c r="I61" i="49"/>
  <c r="T61" i="49" s="1"/>
  <c r="Z61" i="50"/>
  <c r="I68" i="49"/>
  <c r="T68" i="49" s="1"/>
  <c r="Z68" i="50"/>
  <c r="I41" i="49"/>
  <c r="T41" i="49" s="1"/>
  <c r="Z41" i="50"/>
  <c r="I35" i="49"/>
  <c r="T35" i="49" s="1"/>
  <c r="Z35" i="50"/>
  <c r="I92" i="49"/>
  <c r="T92" i="49" s="1"/>
  <c r="Z92" i="50"/>
  <c r="I121" i="49"/>
  <c r="T121" i="49" s="1"/>
  <c r="Z121" i="50"/>
  <c r="I17" i="49"/>
  <c r="T17" i="49" s="1"/>
  <c r="Z17" i="50"/>
  <c r="I23" i="49"/>
  <c r="T23" i="49" s="1"/>
  <c r="Z23" i="50"/>
  <c r="I79" i="49"/>
  <c r="T79" i="49" s="1"/>
  <c r="Z79" i="50"/>
  <c r="I30" i="49"/>
  <c r="T30" i="49" s="1"/>
  <c r="Z30" i="50"/>
  <c r="I129" i="49"/>
  <c r="T129" i="49" s="1"/>
  <c r="Z129" i="50"/>
  <c r="I28" i="49"/>
  <c r="T28" i="49" s="1"/>
  <c r="Z28" i="50"/>
  <c r="I73" i="49"/>
  <c r="T73" i="49" s="1"/>
  <c r="Z73" i="50"/>
  <c r="Z133" i="50"/>
  <c r="I47" i="49"/>
  <c r="T47" i="49" s="1"/>
  <c r="Z47" i="50"/>
  <c r="I82" i="49"/>
  <c r="T82" i="49" s="1"/>
  <c r="Z82" i="50"/>
  <c r="I58" i="49"/>
  <c r="T58" i="49" s="1"/>
  <c r="Z58" i="50"/>
  <c r="I77" i="49"/>
  <c r="T77" i="49" s="1"/>
  <c r="Z77" i="50"/>
  <c r="I50" i="49"/>
  <c r="T50" i="49" s="1"/>
  <c r="Z50" i="50"/>
  <c r="Z124" i="50"/>
  <c r="I57" i="49"/>
  <c r="T57" i="49" s="1"/>
  <c r="Z57" i="50"/>
  <c r="I90" i="49"/>
  <c r="T90" i="49" s="1"/>
  <c r="Z90" i="50"/>
  <c r="I21" i="49"/>
  <c r="T21" i="49" s="1"/>
  <c r="Z21" i="50"/>
  <c r="Z94" i="50"/>
  <c r="I97" i="49"/>
  <c r="T97" i="49" s="1"/>
  <c r="Z97" i="50"/>
  <c r="I38" i="49"/>
  <c r="T38" i="49" s="1"/>
  <c r="Z38" i="50"/>
  <c r="Z67" i="50"/>
  <c r="I69" i="49"/>
  <c r="T69" i="49" s="1"/>
  <c r="Z69" i="50"/>
  <c r="I125" i="49"/>
  <c r="T125" i="49" s="1"/>
  <c r="Z125" i="50"/>
  <c r="I84" i="49"/>
  <c r="T84" i="49" s="1"/>
  <c r="Z84" i="50"/>
  <c r="Z99" i="50"/>
  <c r="I71" i="49"/>
  <c r="T71" i="49" s="1"/>
  <c r="Z71" i="50"/>
  <c r="I85" i="49"/>
  <c r="T85" i="49" s="1"/>
  <c r="Z85" i="50"/>
  <c r="I29" i="49"/>
  <c r="T29" i="49" s="1"/>
  <c r="Z29" i="50"/>
  <c r="I62" i="49"/>
  <c r="T62" i="49" s="1"/>
  <c r="Z62" i="50"/>
  <c r="I18" i="49"/>
  <c r="T18" i="49" s="1"/>
  <c r="Z18" i="50"/>
  <c r="I46" i="49"/>
  <c r="T46" i="49" s="1"/>
  <c r="Z46" i="50"/>
  <c r="Z113" i="50"/>
  <c r="I89" i="49"/>
  <c r="T89" i="49" s="1"/>
  <c r="Z89" i="50"/>
  <c r="I37" i="49"/>
  <c r="T37" i="49" s="1"/>
  <c r="Z37" i="50"/>
  <c r="Z122" i="50"/>
  <c r="I40" i="49"/>
  <c r="T40" i="49" s="1"/>
  <c r="Z40" i="50"/>
  <c r="Z118" i="50"/>
  <c r="I115" i="49"/>
  <c r="T115" i="49" s="1"/>
  <c r="Z115" i="50"/>
  <c r="I123" i="49"/>
  <c r="T123" i="49" s="1"/>
  <c r="Z123" i="50"/>
  <c r="I102" i="49"/>
  <c r="T102" i="49" s="1"/>
  <c r="Z102" i="50"/>
  <c r="I20" i="49"/>
  <c r="T20" i="49" s="1"/>
  <c r="Z20" i="50"/>
  <c r="Z72" i="50"/>
  <c r="U9" i="56" s="1"/>
  <c r="I27" i="49"/>
  <c r="T27" i="49" s="1"/>
  <c r="Z27" i="50"/>
  <c r="Z66" i="50"/>
  <c r="I33" i="49"/>
  <c r="T33" i="49" s="1"/>
  <c r="Z33" i="50"/>
  <c r="I86" i="49"/>
  <c r="T86" i="49" s="1"/>
  <c r="Z86" i="50"/>
  <c r="I19" i="49"/>
  <c r="T19" i="49" s="1"/>
  <c r="Z19" i="50"/>
  <c r="V115" i="50"/>
  <c r="V104" i="50"/>
  <c r="V76" i="50"/>
  <c r="V40" i="50"/>
  <c r="V125" i="50"/>
  <c r="V113" i="50"/>
  <c r="V62" i="50"/>
  <c r="V63" i="50"/>
  <c r="V31" i="50"/>
  <c r="V140" i="50"/>
  <c r="V112" i="50"/>
  <c r="V41" i="50"/>
  <c r="V56" i="50"/>
  <c r="V21" i="50"/>
  <c r="V35" i="50"/>
  <c r="V131" i="50"/>
  <c r="V120" i="50"/>
  <c r="V111" i="50"/>
  <c r="V87" i="50"/>
  <c r="V128" i="50"/>
  <c r="V18" i="50"/>
  <c r="V129" i="50"/>
  <c r="V135" i="50"/>
  <c r="V106" i="50"/>
  <c r="V110" i="50"/>
  <c r="V15" i="50"/>
  <c r="V27" i="50"/>
  <c r="V81" i="50"/>
  <c r="V127" i="50"/>
  <c r="V117" i="50"/>
  <c r="V85" i="50"/>
  <c r="V95" i="50"/>
  <c r="V61" i="50"/>
  <c r="V136" i="50"/>
  <c r="V108" i="50"/>
  <c r="V121" i="50"/>
  <c r="V89" i="50"/>
  <c r="V103" i="50"/>
  <c r="V71" i="50"/>
  <c r="V116" i="50"/>
  <c r="V37" i="50"/>
  <c r="V66" i="50"/>
  <c r="V102" i="50"/>
  <c r="V134" i="50"/>
  <c r="V119" i="50"/>
  <c r="V138" i="50"/>
  <c r="V80" i="50"/>
  <c r="V83" i="50"/>
  <c r="V93" i="50"/>
  <c r="V124" i="50"/>
  <c r="V101" i="50"/>
  <c r="V68" i="50"/>
  <c r="V78" i="50"/>
  <c r="V43" i="50"/>
  <c r="V123" i="50"/>
  <c r="V92" i="50"/>
  <c r="V105" i="50"/>
  <c r="V73" i="50"/>
  <c r="V86" i="50"/>
  <c r="V52" i="50"/>
  <c r="V30" i="50"/>
  <c r="V118" i="50"/>
  <c r="V133" i="50"/>
  <c r="V22" i="50"/>
  <c r="V46" i="50"/>
  <c r="V99" i="50"/>
  <c r="AE10" i="63" s="1"/>
  <c r="V84" i="50"/>
  <c r="V50" i="50"/>
  <c r="V60" i="50"/>
  <c r="V26" i="50"/>
  <c r="V107" i="50"/>
  <c r="V75" i="50"/>
  <c r="V88" i="50"/>
  <c r="V55" i="50"/>
  <c r="V69" i="50"/>
  <c r="V34" i="50"/>
  <c r="V122" i="50"/>
  <c r="V132" i="50"/>
  <c r="V47" i="50"/>
  <c r="V79" i="50"/>
  <c r="V29" i="50"/>
  <c r="V97" i="50"/>
  <c r="V94" i="50"/>
  <c r="V98" i="50"/>
  <c r="AB8" i="56" s="1"/>
  <c r="V126" i="50"/>
  <c r="V58" i="50"/>
  <c r="V67" i="50"/>
  <c r="V32" i="50"/>
  <c r="V42" i="50"/>
  <c r="V77" i="50"/>
  <c r="V90" i="50"/>
  <c r="V57" i="50"/>
  <c r="V72" i="50"/>
  <c r="W10" i="63" s="1"/>
  <c r="V36" i="50"/>
  <c r="V51" i="50"/>
  <c r="V17" i="50"/>
  <c r="V65" i="50"/>
  <c r="V23" i="50"/>
  <c r="V100" i="50"/>
  <c r="V20" i="50"/>
  <c r="V48" i="50"/>
  <c r="V82" i="50"/>
  <c r="V45" i="50"/>
  <c r="V28" i="50"/>
  <c r="V137" i="50"/>
  <c r="V109" i="50"/>
  <c r="V114" i="50"/>
  <c r="V49" i="50"/>
  <c r="V139" i="50"/>
  <c r="V59" i="50"/>
  <c r="V74" i="50"/>
  <c r="V38" i="50"/>
  <c r="V53" i="50"/>
  <c r="V19" i="50"/>
  <c r="V33" i="50"/>
  <c r="J52" i="50"/>
  <c r="J76" i="50"/>
  <c r="J136" i="50"/>
  <c r="J62" i="50"/>
  <c r="J138" i="50"/>
  <c r="J129" i="50"/>
  <c r="J116" i="50"/>
  <c r="J113" i="50"/>
  <c r="J80" i="50"/>
  <c r="J132" i="50"/>
  <c r="J63" i="50"/>
  <c r="J74" i="50"/>
  <c r="J108" i="50"/>
  <c r="J94" i="50"/>
  <c r="J135" i="50"/>
  <c r="J18" i="50"/>
  <c r="J43" i="50"/>
  <c r="J105" i="50"/>
  <c r="J125" i="50"/>
  <c r="J40" i="50"/>
  <c r="J114" i="50"/>
  <c r="J73" i="50"/>
  <c r="J36" i="50"/>
  <c r="J106" i="50"/>
  <c r="J93" i="50"/>
  <c r="J84" i="50"/>
  <c r="J78" i="50"/>
  <c r="J92" i="50"/>
  <c r="J133" i="50"/>
  <c r="J49" i="50"/>
  <c r="J75" i="50"/>
  <c r="J77" i="50"/>
  <c r="J95" i="50"/>
  <c r="J115" i="50"/>
  <c r="J50" i="50"/>
  <c r="J72" i="50"/>
  <c r="J68" i="50"/>
  <c r="J60" i="50"/>
  <c r="J46" i="50"/>
  <c r="J55" i="50"/>
  <c r="J110" i="50"/>
  <c r="J112" i="50"/>
  <c r="J111" i="50"/>
  <c r="J120" i="50"/>
  <c r="J23" i="50"/>
  <c r="J53" i="50"/>
  <c r="J69" i="50"/>
  <c r="J81" i="50"/>
  <c r="J99" i="50"/>
  <c r="J119" i="50"/>
  <c r="J21" i="50"/>
  <c r="J37" i="50"/>
  <c r="J82" i="50"/>
  <c r="J61" i="50"/>
  <c r="J98" i="50"/>
  <c r="AB5" i="56" s="1"/>
  <c r="J87" i="50"/>
  <c r="J88" i="50"/>
  <c r="J97" i="50"/>
  <c r="J15" i="50"/>
  <c r="J41" i="50"/>
  <c r="J122" i="50"/>
  <c r="J38" i="50"/>
  <c r="J47" i="50"/>
  <c r="J85" i="50"/>
  <c r="J103" i="50"/>
  <c r="J123" i="50"/>
  <c r="J139" i="50"/>
  <c r="J45" i="50"/>
  <c r="J66" i="50"/>
  <c r="J124" i="50"/>
  <c r="J140" i="50"/>
  <c r="J107" i="50"/>
  <c r="J19" i="50"/>
  <c r="J22" i="50"/>
  <c r="J118" i="50"/>
  <c r="J109" i="50"/>
  <c r="J126" i="50"/>
  <c r="J48" i="50"/>
  <c r="J57" i="50"/>
  <c r="J67" i="50"/>
  <c r="J79" i="50"/>
  <c r="J127" i="50"/>
  <c r="J134" i="50"/>
  <c r="J42" i="50"/>
  <c r="J65" i="50"/>
  <c r="J86" i="50"/>
  <c r="J100" i="50"/>
  <c r="J51" i="50"/>
  <c r="J137" i="50"/>
  <c r="J102" i="50"/>
  <c r="J71" i="50"/>
  <c r="J117" i="50"/>
  <c r="J20" i="50"/>
  <c r="J58" i="50"/>
  <c r="J89" i="50"/>
  <c r="J101" i="50"/>
  <c r="J121" i="50"/>
  <c r="J17" i="50"/>
  <c r="J35" i="50"/>
  <c r="J59" i="50"/>
  <c r="J90" i="50"/>
  <c r="J104" i="50"/>
  <c r="J128" i="50"/>
  <c r="J131" i="50"/>
  <c r="J56" i="50"/>
  <c r="J83" i="50"/>
  <c r="N85" i="50"/>
  <c r="N18" i="50"/>
  <c r="N136" i="50"/>
  <c r="N126" i="50"/>
  <c r="N118" i="50"/>
  <c r="N50" i="50"/>
  <c r="N34" i="50"/>
  <c r="N125" i="50"/>
  <c r="N138" i="50"/>
  <c r="N89" i="50"/>
  <c r="N128" i="50"/>
  <c r="N133" i="50"/>
  <c r="N48" i="50"/>
  <c r="N63" i="50"/>
  <c r="N95" i="50"/>
  <c r="N140" i="50"/>
  <c r="N83" i="50"/>
  <c r="N68" i="50"/>
  <c r="N55" i="50"/>
  <c r="N56" i="50"/>
  <c r="N92" i="50"/>
  <c r="N76" i="50"/>
  <c r="N80" i="50"/>
  <c r="N113" i="50"/>
  <c r="N53" i="50"/>
  <c r="N77" i="50"/>
  <c r="N134" i="50"/>
  <c r="N42" i="50"/>
  <c r="N52" i="50"/>
  <c r="N103" i="50"/>
  <c r="N99" i="50"/>
  <c r="AE6" i="63" s="1"/>
  <c r="N65" i="50"/>
  <c r="N79" i="50"/>
  <c r="N23" i="50"/>
  <c r="N37" i="50"/>
  <c r="N59" i="50"/>
  <c r="N72" i="50"/>
  <c r="N122" i="50"/>
  <c r="N117" i="50"/>
  <c r="N105" i="50"/>
  <c r="N60" i="50"/>
  <c r="N108" i="50"/>
  <c r="N31" i="50"/>
  <c r="N27" i="50"/>
  <c r="N111" i="50"/>
  <c r="N107" i="50"/>
  <c r="N58" i="50"/>
  <c r="N87" i="50"/>
  <c r="N135" i="50"/>
  <c r="N33" i="50"/>
  <c r="N101" i="50"/>
  <c r="N97" i="50"/>
  <c r="N137" i="50"/>
  <c r="N67" i="50"/>
  <c r="N38" i="50"/>
  <c r="N35" i="50"/>
  <c r="N119" i="50"/>
  <c r="N115" i="50"/>
  <c r="N47" i="50"/>
  <c r="N69" i="50"/>
  <c r="N94" i="50"/>
  <c r="N19" i="50"/>
  <c r="N82" i="50"/>
  <c r="N121" i="50"/>
  <c r="N40" i="50"/>
  <c r="N81" i="50"/>
  <c r="N30" i="50"/>
  <c r="N29" i="50"/>
  <c r="N21" i="50"/>
  <c r="N45" i="50"/>
  <c r="N84" i="50"/>
  <c r="N123" i="50"/>
  <c r="N41" i="50"/>
  <c r="N62" i="50"/>
  <c r="N102" i="50"/>
  <c r="N139" i="50"/>
  <c r="N90" i="50"/>
  <c r="N129" i="50"/>
  <c r="N36" i="50"/>
  <c r="N49" i="50"/>
  <c r="N116" i="50"/>
  <c r="N109" i="50"/>
  <c r="N120" i="50"/>
  <c r="N100" i="50"/>
  <c r="N114" i="50"/>
  <c r="N61" i="50"/>
  <c r="N88" i="50"/>
  <c r="N15" i="50"/>
  <c r="N51" i="50"/>
  <c r="N110" i="50"/>
  <c r="N57" i="50"/>
  <c r="N78" i="50"/>
  <c r="N22" i="50"/>
  <c r="N43" i="50"/>
  <c r="N124" i="50"/>
  <c r="N104" i="50"/>
  <c r="N132" i="50"/>
  <c r="N26" i="50"/>
  <c r="N17" i="50"/>
  <c r="N127" i="50"/>
  <c r="N20" i="50"/>
  <c r="AM6" i="63" s="1"/>
  <c r="N75" i="50"/>
  <c r="N106" i="50"/>
  <c r="N46" i="50"/>
  <c r="N86" i="50"/>
  <c r="N93" i="50"/>
  <c r="N32" i="50"/>
  <c r="N73" i="50"/>
  <c r="N112" i="50"/>
  <c r="N131" i="50"/>
  <c r="N66" i="50"/>
  <c r="AF75" i="50"/>
  <c r="AH75" i="50"/>
  <c r="AF28" i="50"/>
  <c r="AH28" i="50"/>
  <c r="N28" i="49" s="1"/>
  <c r="AF101" i="50"/>
  <c r="AH101" i="50"/>
  <c r="N71" i="50"/>
  <c r="N28" i="50"/>
  <c r="N98" i="50"/>
  <c r="AB6" i="56" s="1"/>
  <c r="N74" i="50"/>
  <c r="AL25" i="50"/>
  <c r="G12" i="63" s="1"/>
  <c r="I12" i="63" s="1"/>
  <c r="J12" i="63" s="1"/>
  <c r="J25" i="50"/>
  <c r="AH25" i="50"/>
  <c r="N25" i="50"/>
  <c r="AD25" i="50"/>
  <c r="K25" i="49" s="1"/>
  <c r="Z25" i="50"/>
  <c r="I25" i="49"/>
  <c r="T25" i="49" s="1"/>
  <c r="V25" i="50"/>
  <c r="G10" i="63" s="1"/>
  <c r="W5" i="73" l="1"/>
  <c r="Y5" i="73" s="1"/>
  <c r="W5" i="72"/>
  <c r="Y5" i="72" s="1"/>
  <c r="P14" i="73"/>
  <c r="Q14" i="73" s="1"/>
  <c r="M14" i="73" s="1"/>
  <c r="R5" i="73"/>
  <c r="G5" i="73"/>
  <c r="I5" i="73" s="1"/>
  <c r="J5" i="73" s="1"/>
  <c r="G5" i="72"/>
  <c r="I5" i="72" s="1"/>
  <c r="J5" i="72" s="1"/>
  <c r="AM5" i="63"/>
  <c r="AM5" i="72"/>
  <c r="AO5" i="72" s="1"/>
  <c r="AM14" i="72" s="1"/>
  <c r="AO14" i="72" s="1"/>
  <c r="AK14" i="72" s="1"/>
  <c r="AM5" i="73"/>
  <c r="AO5" i="73" s="1"/>
  <c r="AM14" i="73" s="1"/>
  <c r="AO14" i="73" s="1"/>
  <c r="AK14" i="73" s="1"/>
  <c r="AE5" i="63"/>
  <c r="AE5" i="73"/>
  <c r="AG5" i="73" s="1"/>
  <c r="AE5" i="72"/>
  <c r="AG5" i="72" s="1"/>
  <c r="R5" i="72"/>
  <c r="P14" i="72"/>
  <c r="Q14" i="72" s="1"/>
  <c r="M14" i="72" s="1"/>
  <c r="G6" i="73"/>
  <c r="I6" i="73" s="1"/>
  <c r="G6" i="72"/>
  <c r="I6" i="72" s="1"/>
  <c r="N51" i="49"/>
  <c r="N79" i="49"/>
  <c r="N27" i="49"/>
  <c r="N131" i="49"/>
  <c r="N73" i="49"/>
  <c r="N38" i="49"/>
  <c r="N15" i="49"/>
  <c r="N81" i="49"/>
  <c r="N90" i="49"/>
  <c r="N19" i="49"/>
  <c r="N140" i="49"/>
  <c r="N62" i="49"/>
  <c r="N30" i="49"/>
  <c r="N82" i="49"/>
  <c r="N18" i="49"/>
  <c r="N61" i="49"/>
  <c r="N100" i="49"/>
  <c r="N34" i="49"/>
  <c r="N116" i="49"/>
  <c r="N41" i="49"/>
  <c r="N23" i="49"/>
  <c r="N48" i="49"/>
  <c r="N55" i="49"/>
  <c r="N120" i="49"/>
  <c r="N110" i="49"/>
  <c r="N89" i="49"/>
  <c r="N93" i="49"/>
  <c r="N49" i="49"/>
  <c r="N53" i="49"/>
  <c r="N69" i="49"/>
  <c r="N86" i="49"/>
  <c r="N71" i="49"/>
  <c r="N84" i="49"/>
  <c r="N129" i="49"/>
  <c r="N29" i="49"/>
  <c r="N80" i="49"/>
  <c r="N32" i="49"/>
  <c r="N95" i="49"/>
  <c r="N43" i="49"/>
  <c r="N87" i="49"/>
  <c r="N103" i="49"/>
  <c r="N59" i="49"/>
  <c r="N42" i="49"/>
  <c r="N65" i="49"/>
  <c r="N105" i="49"/>
  <c r="N63" i="49"/>
  <c r="N66" i="49"/>
  <c r="N57" i="49"/>
  <c r="N108" i="49"/>
  <c r="N127" i="49"/>
  <c r="N22" i="49"/>
  <c r="N56" i="49"/>
  <c r="N60" i="49"/>
  <c r="N136" i="49"/>
  <c r="N123" i="49"/>
  <c r="N58" i="49"/>
  <c r="N107" i="49"/>
  <c r="N76" i="49"/>
  <c r="N17" i="49"/>
  <c r="N114" i="49"/>
  <c r="N92" i="49"/>
  <c r="N118" i="49"/>
  <c r="N47" i="49"/>
  <c r="N21" i="49"/>
  <c r="N121" i="49"/>
  <c r="N46" i="49"/>
  <c r="N36" i="49"/>
  <c r="N52" i="49"/>
  <c r="N125" i="49"/>
  <c r="N37" i="49"/>
  <c r="N45" i="49"/>
  <c r="N97" i="49"/>
  <c r="N137" i="49"/>
  <c r="N68" i="49"/>
  <c r="N74" i="49"/>
  <c r="N50" i="49"/>
  <c r="N111" i="49"/>
  <c r="N115" i="49"/>
  <c r="N106" i="49"/>
  <c r="N128" i="49"/>
  <c r="N35" i="49"/>
  <c r="N77" i="49"/>
  <c r="N31" i="49"/>
  <c r="N85" i="49"/>
  <c r="N33" i="49"/>
  <c r="N102" i="49"/>
  <c r="N40" i="49"/>
  <c r="AE7" i="63"/>
  <c r="AG7" i="63" s="1"/>
  <c r="AH7" i="63" s="1"/>
  <c r="K99" i="49"/>
  <c r="Q11" i="63"/>
  <c r="R11" i="63" s="1"/>
  <c r="N26" i="49"/>
  <c r="U116" i="49"/>
  <c r="Q116" i="49"/>
  <c r="U123" i="49"/>
  <c r="Q123" i="49"/>
  <c r="AB10" i="56"/>
  <c r="AD10" i="56" s="1"/>
  <c r="K98" i="49"/>
  <c r="AM11" i="63"/>
  <c r="AO11" i="63" s="1"/>
  <c r="AP11" i="63" s="1"/>
  <c r="N20" i="49"/>
  <c r="AM7" i="63"/>
  <c r="AO7" i="63" s="1"/>
  <c r="AP7" i="63" s="1"/>
  <c r="K20" i="49"/>
  <c r="G11" i="63"/>
  <c r="I11" i="63" s="1"/>
  <c r="J11" i="63" s="1"/>
  <c r="N25" i="49"/>
  <c r="U80" i="49"/>
  <c r="Q80" i="49"/>
  <c r="U59" i="49"/>
  <c r="Q59" i="49"/>
  <c r="U45" i="49"/>
  <c r="Q45" i="49"/>
  <c r="U110" i="49"/>
  <c r="Q110" i="49"/>
  <c r="W11" i="63"/>
  <c r="Y11" i="63" s="1"/>
  <c r="Z11" i="63" s="1"/>
  <c r="U34" i="49"/>
  <c r="Q34" i="49"/>
  <c r="U83" i="49"/>
  <c r="Q83" i="49"/>
  <c r="AE11" i="63"/>
  <c r="AG11" i="63" s="1"/>
  <c r="AH11" i="63" s="1"/>
  <c r="AB11" i="56"/>
  <c r="AD11" i="56" s="1"/>
  <c r="N98" i="49"/>
  <c r="M143" i="65"/>
  <c r="AG44" i="34"/>
  <c r="K38" i="70" s="1"/>
  <c r="AG103" i="34"/>
  <c r="K112" i="70" s="1"/>
  <c r="AG120" i="34"/>
  <c r="K34" i="70" s="1"/>
  <c r="AG102" i="34"/>
  <c r="K115" i="70" s="1"/>
  <c r="AG115" i="34"/>
  <c r="K103" i="70" s="1"/>
  <c r="AG105" i="34"/>
  <c r="K97" i="70" s="1"/>
  <c r="AG128" i="34"/>
  <c r="K114" i="70" s="1"/>
  <c r="AG106" i="34"/>
  <c r="K62" i="70" s="1"/>
  <c r="AG97" i="34"/>
  <c r="K95" i="70" s="1"/>
  <c r="AG18" i="34"/>
  <c r="K76" i="70" s="1"/>
  <c r="AG70" i="34"/>
  <c r="K89" i="70" s="1"/>
  <c r="AG31" i="34"/>
  <c r="K79" i="70" s="1"/>
  <c r="AG55" i="34"/>
  <c r="K40" i="70" s="1"/>
  <c r="AG61" i="34"/>
  <c r="K60" i="70" s="1"/>
  <c r="AG56" i="34"/>
  <c r="K86" i="70" s="1"/>
  <c r="AG62" i="34"/>
  <c r="K59" i="70" s="1"/>
  <c r="AG100" i="34"/>
  <c r="K52" i="70" s="1"/>
  <c r="AG94" i="34"/>
  <c r="K22" i="70" s="1"/>
  <c r="AG116" i="34"/>
  <c r="K108" i="70" s="1"/>
  <c r="AG30" i="34"/>
  <c r="K3" i="70" s="1"/>
  <c r="AG7" i="34"/>
  <c r="K51" i="70" s="1"/>
  <c r="AG46" i="34"/>
  <c r="K84" i="70" s="1"/>
  <c r="AG76" i="34"/>
  <c r="K63" i="70" s="1"/>
  <c r="AG83" i="34"/>
  <c r="K116" i="70" s="1"/>
  <c r="AG26" i="34"/>
  <c r="K78" i="70" s="1"/>
  <c r="AG15" i="34"/>
  <c r="K75" i="70" s="1"/>
  <c r="AG10" i="34"/>
  <c r="K73" i="70" s="1"/>
  <c r="AG47" i="34"/>
  <c r="K85" i="70" s="1"/>
  <c r="AG25" i="34"/>
  <c r="K77" i="70" s="1"/>
  <c r="AG13" i="34"/>
  <c r="K46" i="70" s="1"/>
  <c r="AG123" i="34"/>
  <c r="K35" i="70" s="1"/>
  <c r="AG45" i="34"/>
  <c r="K83" i="70" s="1"/>
  <c r="AG69" i="34"/>
  <c r="K88" i="70" s="1"/>
  <c r="AG64" i="34"/>
  <c r="K66" i="70" s="1"/>
  <c r="AG5" i="34"/>
  <c r="K72" i="70" s="1"/>
  <c r="AG20" i="34"/>
  <c r="K61" i="70" s="1"/>
  <c r="AG22" i="34"/>
  <c r="K7" i="70" s="1"/>
  <c r="AG39" i="34"/>
  <c r="K29" i="70" s="1"/>
  <c r="AG67" i="34"/>
  <c r="K70" i="70" s="1"/>
  <c r="AG125" i="34"/>
  <c r="K39" i="70" s="1"/>
  <c r="AG60" i="34"/>
  <c r="K47" i="70" s="1"/>
  <c r="AG126" i="34"/>
  <c r="K106" i="70" s="1"/>
  <c r="AG29" i="34"/>
  <c r="K15" i="70" s="1"/>
  <c r="AG11" i="34"/>
  <c r="K74" i="70" s="1"/>
  <c r="AG86" i="34"/>
  <c r="K58" i="70" s="1"/>
  <c r="AG14" i="34"/>
  <c r="K57" i="70" s="1"/>
  <c r="AG63" i="34"/>
  <c r="K65" i="70" s="1"/>
  <c r="AG71" i="34"/>
  <c r="K90" i="70" s="1"/>
  <c r="AG112" i="34"/>
  <c r="K102" i="70" s="1"/>
  <c r="AG19" i="34"/>
  <c r="K49" i="70" s="1"/>
  <c r="AG73" i="34"/>
  <c r="K91" i="70" s="1"/>
  <c r="AG108" i="34"/>
  <c r="K99" i="70" s="1"/>
  <c r="AG38" i="34"/>
  <c r="K28" i="70" s="1"/>
  <c r="AG82" i="34"/>
  <c r="K4" i="70" s="1"/>
  <c r="AG98" i="34"/>
  <c r="K30" i="70" s="1"/>
  <c r="AG65" i="34"/>
  <c r="K68" i="70" s="1"/>
  <c r="AG85" i="34"/>
  <c r="K50" i="70" s="1"/>
  <c r="AG119" i="34"/>
  <c r="K2" i="70" s="1"/>
  <c r="AG8" i="34"/>
  <c r="K8" i="70" s="1"/>
  <c r="AG81" i="34"/>
  <c r="K110" i="70" s="1"/>
  <c r="AG35" i="34"/>
  <c r="K80" i="70" s="1"/>
  <c r="AG77" i="34"/>
  <c r="K107" i="70" s="1"/>
  <c r="AG21" i="34"/>
  <c r="K56" i="70" s="1"/>
  <c r="AG41" i="34"/>
  <c r="K82" i="70" s="1"/>
  <c r="AG57" i="34"/>
  <c r="K87" i="70" s="1"/>
  <c r="AG80" i="34"/>
  <c r="K94" i="70" s="1"/>
  <c r="AG37" i="34"/>
  <c r="K11" i="70" s="1"/>
  <c r="AG50" i="34"/>
  <c r="K53" i="70" s="1"/>
  <c r="AG23" i="34"/>
  <c r="K6" i="70" s="1"/>
  <c r="AG121" i="34"/>
  <c r="K14" i="70" s="1"/>
  <c r="AG95" i="34"/>
  <c r="K25" i="70" s="1"/>
  <c r="AG104" i="34"/>
  <c r="K96" i="70" s="1"/>
  <c r="M144" i="65"/>
  <c r="AG92" i="34"/>
  <c r="K19" i="70" s="1"/>
  <c r="AG111" i="34"/>
  <c r="K101" i="70" s="1"/>
  <c r="AG93" i="34"/>
  <c r="K20" i="70" s="1"/>
  <c r="AG117" i="34"/>
  <c r="K104" i="70" s="1"/>
  <c r="AG16" i="34"/>
  <c r="K54" i="70" s="1"/>
  <c r="AG28" i="34"/>
  <c r="K24" i="70" s="1"/>
  <c r="AG122" i="34"/>
  <c r="K12" i="70" s="1"/>
  <c r="AG113" i="34"/>
  <c r="K37" i="70" s="1"/>
  <c r="AG87" i="34"/>
  <c r="K55" i="70" s="1"/>
  <c r="AG127" i="34"/>
  <c r="K113" i="70" s="1"/>
  <c r="AG54" i="34"/>
  <c r="K13" i="70" s="1"/>
  <c r="AG91" i="34"/>
  <c r="K17" i="70" s="1"/>
  <c r="AG17" i="34"/>
  <c r="K48" i="70" s="1"/>
  <c r="AG109" i="34"/>
  <c r="K100" i="70" s="1"/>
  <c r="AG51" i="34"/>
  <c r="K67" i="70" s="1"/>
  <c r="AG75" i="34"/>
  <c r="K93" i="70" s="1"/>
  <c r="AG36" i="34"/>
  <c r="K81" i="70" s="1"/>
  <c r="AG53" i="34"/>
  <c r="K27" i="70" s="1"/>
  <c r="AG72" i="34"/>
  <c r="K36" i="70" s="1"/>
  <c r="AG6" i="34"/>
  <c r="K18" i="70" s="1"/>
  <c r="AG49" i="34"/>
  <c r="K5" i="70" s="1"/>
  <c r="AG24" i="34"/>
  <c r="K9" i="70" s="1"/>
  <c r="AG40" i="34"/>
  <c r="K23" i="70" s="1"/>
  <c r="AG34" i="34"/>
  <c r="K21" i="70" s="1"/>
  <c r="AG107" i="34"/>
  <c r="K98" i="70" s="1"/>
  <c r="AG96" i="34"/>
  <c r="K26" i="70" s="1"/>
  <c r="AG89" i="34"/>
  <c r="K33" i="70" s="1"/>
  <c r="AG101" i="34"/>
  <c r="K44" i="70" s="1"/>
  <c r="AG114" i="34"/>
  <c r="K42" i="70" s="1"/>
  <c r="AG48" i="34"/>
  <c r="K10" i="70" s="1"/>
  <c r="AG124" i="34"/>
  <c r="K43" i="70" s="1"/>
  <c r="AG74" i="34"/>
  <c r="K92" i="70" s="1"/>
  <c r="AG59" i="34"/>
  <c r="K41" i="70" s="1"/>
  <c r="AG9" i="34"/>
  <c r="K31" i="70" s="1"/>
  <c r="AG78" i="34"/>
  <c r="K64" i="70" s="1"/>
  <c r="AG99" i="34"/>
  <c r="K109" i="70" s="1"/>
  <c r="AG110" i="34"/>
  <c r="K111" i="70" s="1"/>
  <c r="AG43" i="34"/>
  <c r="K117" i="70" s="1"/>
  <c r="AG90" i="34"/>
  <c r="K16" i="70" s="1"/>
  <c r="AG88" i="34"/>
  <c r="K32" i="70" s="1"/>
  <c r="AG66" i="34"/>
  <c r="K69" i="70" s="1"/>
  <c r="AG68" i="34"/>
  <c r="K71" i="70" s="1"/>
  <c r="AM9" i="63"/>
  <c r="AM10" i="63"/>
  <c r="N10" i="56"/>
  <c r="U10" i="56"/>
  <c r="W10" i="56" s="1"/>
  <c r="W7" i="63"/>
  <c r="N8" i="56"/>
  <c r="U7" i="56"/>
  <c r="G7" i="56"/>
  <c r="G6" i="56"/>
  <c r="G6" i="63"/>
  <c r="N7" i="56"/>
  <c r="U5" i="56"/>
  <c r="W5" i="63"/>
  <c r="U6" i="56"/>
  <c r="W6" i="63"/>
  <c r="G5" i="56"/>
  <c r="G5" i="63"/>
  <c r="U11" i="56"/>
  <c r="W11" i="56" s="1"/>
  <c r="N12" i="56"/>
  <c r="P12" i="56" s="1"/>
  <c r="U12" i="56"/>
  <c r="W12" i="56" s="1"/>
  <c r="U8" i="56"/>
  <c r="N6" i="56"/>
  <c r="N11" i="56"/>
  <c r="P11" i="56" s="1"/>
  <c r="R84" i="49"/>
  <c r="Y84" i="49" s="1"/>
  <c r="R140" i="49"/>
  <c r="Y140" i="49" s="1"/>
  <c r="R34" i="49"/>
  <c r="Y34" i="49" s="1"/>
  <c r="R60" i="49"/>
  <c r="Y60" i="49" s="1"/>
  <c r="R97" i="49"/>
  <c r="Y97" i="49" s="1"/>
  <c r="R40" i="49"/>
  <c r="Y40" i="49" s="1"/>
  <c r="R105" i="49"/>
  <c r="Y105" i="49" s="1"/>
  <c r="R17" i="49"/>
  <c r="Y17" i="49" s="1"/>
  <c r="R108" i="49"/>
  <c r="Y108" i="49" s="1"/>
  <c r="R85" i="49"/>
  <c r="Y85" i="49" s="1"/>
  <c r="R131" i="49"/>
  <c r="Y131" i="49" s="1"/>
  <c r="R59" i="49"/>
  <c r="Y59" i="49" s="1"/>
  <c r="R119" i="49"/>
  <c r="Y119" i="49" s="1"/>
  <c r="R33" i="49"/>
  <c r="Y33" i="49" s="1"/>
  <c r="R139" i="49"/>
  <c r="Y139" i="49" s="1"/>
  <c r="R46" i="49"/>
  <c r="Y46" i="49" s="1"/>
  <c r="R100" i="49"/>
  <c r="Y100" i="49" s="1"/>
  <c r="R136" i="49"/>
  <c r="Y136" i="49" s="1"/>
  <c r="R21" i="49"/>
  <c r="Y21" i="49" s="1"/>
  <c r="R43" i="49"/>
  <c r="Y43" i="49" s="1"/>
  <c r="R132" i="49"/>
  <c r="Y132" i="49" s="1"/>
  <c r="R19" i="49"/>
  <c r="Y19" i="49" s="1"/>
  <c r="O78" i="49"/>
  <c r="W78" i="49" s="1"/>
  <c r="R118" i="49"/>
  <c r="Y118" i="49" s="1"/>
  <c r="O92" i="49"/>
  <c r="W92" i="49" s="1"/>
  <c r="R104" i="49"/>
  <c r="Y104" i="49" s="1"/>
  <c r="O58" i="49"/>
  <c r="W58" i="49" s="1"/>
  <c r="O140" i="49"/>
  <c r="W140" i="49" s="1"/>
  <c r="O126" i="49"/>
  <c r="W126" i="49" s="1"/>
  <c r="R90" i="49"/>
  <c r="Y90" i="49" s="1"/>
  <c r="R66" i="49"/>
  <c r="Y66" i="49" s="1"/>
  <c r="R29" i="49"/>
  <c r="Y29" i="49" s="1"/>
  <c r="O114" i="49"/>
  <c r="W114" i="49" s="1"/>
  <c r="R31" i="49"/>
  <c r="Y31" i="49" s="1"/>
  <c r="O121" i="49"/>
  <c r="W121" i="49" s="1"/>
  <c r="R27" i="49"/>
  <c r="Y27" i="49" s="1"/>
  <c r="O123" i="49"/>
  <c r="W123" i="49" s="1"/>
  <c r="AB80" i="50"/>
  <c r="R15" i="49"/>
  <c r="R20" i="49"/>
  <c r="Y20" i="49" s="1"/>
  <c r="O107" i="49"/>
  <c r="W107" i="49" s="1"/>
  <c r="R113" i="49"/>
  <c r="Y113" i="49" s="1"/>
  <c r="R49" i="49"/>
  <c r="Y49" i="49" s="1"/>
  <c r="R134" i="49"/>
  <c r="Y134" i="49" s="1"/>
  <c r="O76" i="49"/>
  <c r="W76" i="49" s="1"/>
  <c r="R73" i="49"/>
  <c r="Y73" i="49" s="1"/>
  <c r="O19" i="49"/>
  <c r="W19" i="49" s="1"/>
  <c r="O17" i="49"/>
  <c r="W17" i="49" s="1"/>
  <c r="O111" i="49"/>
  <c r="W111" i="49" s="1"/>
  <c r="O136" i="49"/>
  <c r="W136" i="49" s="1"/>
  <c r="R94" i="49"/>
  <c r="Y94" i="49" s="1"/>
  <c r="R28" i="49"/>
  <c r="Y28" i="49" s="1"/>
  <c r="O63" i="49"/>
  <c r="W63" i="49" s="1"/>
  <c r="R128" i="49"/>
  <c r="Y128" i="49" s="1"/>
  <c r="O106" i="49"/>
  <c r="W106" i="49" s="1"/>
  <c r="O88" i="49"/>
  <c r="W88" i="49" s="1"/>
  <c r="O128" i="49"/>
  <c r="W128" i="49" s="1"/>
  <c r="O124" i="49"/>
  <c r="W124" i="49" s="1"/>
  <c r="R82" i="49"/>
  <c r="Y82" i="49" s="1"/>
  <c r="R80" i="49"/>
  <c r="Y80" i="49" s="1"/>
  <c r="O112" i="49"/>
  <c r="W112" i="49" s="1"/>
  <c r="R47" i="49"/>
  <c r="Y47" i="49" s="1"/>
  <c r="O83" i="49"/>
  <c r="W83" i="49" s="1"/>
  <c r="O138" i="49"/>
  <c r="W138" i="49" s="1"/>
  <c r="O115" i="49"/>
  <c r="W115" i="49" s="1"/>
  <c r="R109" i="49"/>
  <c r="Y109" i="49" s="1"/>
  <c r="R58" i="49"/>
  <c r="Y58" i="49" s="1"/>
  <c r="R63" i="49"/>
  <c r="Y63" i="49" s="1"/>
  <c r="R78" i="49"/>
  <c r="Y78" i="49" s="1"/>
  <c r="R53" i="49"/>
  <c r="Y53" i="49" s="1"/>
  <c r="R87" i="49"/>
  <c r="Y87" i="49" s="1"/>
  <c r="R76" i="49"/>
  <c r="Y76" i="49" s="1"/>
  <c r="L31" i="49"/>
  <c r="R83" i="49"/>
  <c r="Y83" i="49" s="1"/>
  <c r="O31" i="49"/>
  <c r="W31" i="49" s="1"/>
  <c r="R129" i="49"/>
  <c r="Y129" i="49" s="1"/>
  <c r="R120" i="49"/>
  <c r="Y120" i="49" s="1"/>
  <c r="R26" i="49"/>
  <c r="Y26" i="49" s="1"/>
  <c r="R41" i="49"/>
  <c r="Y41" i="49" s="1"/>
  <c r="R72" i="49"/>
  <c r="Y72" i="49" s="1"/>
  <c r="R81" i="49"/>
  <c r="Y81" i="49" s="1"/>
  <c r="R117" i="49"/>
  <c r="Y117" i="49" s="1"/>
  <c r="R122" i="49"/>
  <c r="Y122" i="49" s="1"/>
  <c r="R67" i="49"/>
  <c r="Y67" i="49" s="1"/>
  <c r="L108" i="49"/>
  <c r="R115" i="49"/>
  <c r="Y115" i="49" s="1"/>
  <c r="O90" i="49"/>
  <c r="W90" i="49" s="1"/>
  <c r="R116" i="49"/>
  <c r="Y116" i="49" s="1"/>
  <c r="O42" i="49"/>
  <c r="W42" i="49" s="1"/>
  <c r="O22" i="49"/>
  <c r="W22" i="49" s="1"/>
  <c r="O133" i="49"/>
  <c r="W133" i="49" s="1"/>
  <c r="O33" i="49"/>
  <c r="W33" i="49" s="1"/>
  <c r="O117" i="49"/>
  <c r="W117" i="49" s="1"/>
  <c r="O81" i="49"/>
  <c r="W81" i="49" s="1"/>
  <c r="O21" i="49"/>
  <c r="W21" i="49" s="1"/>
  <c r="O59" i="49"/>
  <c r="W59" i="49" s="1"/>
  <c r="L61" i="49"/>
  <c r="O74" i="49"/>
  <c r="W74" i="49" s="1"/>
  <c r="O50" i="49"/>
  <c r="W50" i="49" s="1"/>
  <c r="O37" i="49"/>
  <c r="W37" i="49" s="1"/>
  <c r="O139" i="49"/>
  <c r="W139" i="49" s="1"/>
  <c r="O137" i="49"/>
  <c r="W137" i="49" s="1"/>
  <c r="O36" i="49"/>
  <c r="W36" i="49" s="1"/>
  <c r="L95" i="49"/>
  <c r="L135" i="49"/>
  <c r="L23" i="49"/>
  <c r="L140" i="49"/>
  <c r="L49" i="49"/>
  <c r="L101" i="49"/>
  <c r="L85" i="49"/>
  <c r="L98" i="49"/>
  <c r="Q98" i="49" s="1"/>
  <c r="O99" i="49"/>
  <c r="W99" i="49" s="1"/>
  <c r="R37" i="49"/>
  <c r="Y37" i="49" s="1"/>
  <c r="I134" i="49"/>
  <c r="T134" i="49" s="1"/>
  <c r="L127" i="49"/>
  <c r="O45" i="49"/>
  <c r="W45" i="49" s="1"/>
  <c r="R95" i="49"/>
  <c r="Y95" i="49" s="1"/>
  <c r="O68" i="49"/>
  <c r="W68" i="49" s="1"/>
  <c r="R56" i="49"/>
  <c r="Y56" i="49" s="1"/>
  <c r="L74" i="49"/>
  <c r="R89" i="49"/>
  <c r="Y89" i="49" s="1"/>
  <c r="L67" i="49"/>
  <c r="O80" i="49"/>
  <c r="W80" i="49" s="1"/>
  <c r="R123" i="49"/>
  <c r="Y123" i="49" s="1"/>
  <c r="R101" i="49"/>
  <c r="Y101" i="49" s="1"/>
  <c r="L53" i="49"/>
  <c r="O97" i="49"/>
  <c r="W97" i="49" s="1"/>
  <c r="L40" i="49"/>
  <c r="R48" i="49"/>
  <c r="Y48" i="49" s="1"/>
  <c r="R45" i="49"/>
  <c r="Y45" i="49" s="1"/>
  <c r="O86" i="49"/>
  <c r="W86" i="49" s="1"/>
  <c r="L136" i="49"/>
  <c r="I104" i="49"/>
  <c r="T104" i="49" s="1"/>
  <c r="L111" i="49"/>
  <c r="L29" i="49"/>
  <c r="O67" i="49"/>
  <c r="W67" i="49" s="1"/>
  <c r="L33" i="49"/>
  <c r="L35" i="49"/>
  <c r="L50" i="49"/>
  <c r="O57" i="49"/>
  <c r="W57" i="49" s="1"/>
  <c r="O113" i="49"/>
  <c r="W113" i="49" s="1"/>
  <c r="L21" i="49"/>
  <c r="L48" i="49"/>
  <c r="O95" i="49"/>
  <c r="W95" i="49" s="1"/>
  <c r="O56" i="49"/>
  <c r="W56" i="49" s="1"/>
  <c r="L38" i="49"/>
  <c r="L105" i="49"/>
  <c r="O109" i="49"/>
  <c r="W109" i="49" s="1"/>
  <c r="O108" i="49"/>
  <c r="W108" i="49" s="1"/>
  <c r="O60" i="49"/>
  <c r="W60" i="49" s="1"/>
  <c r="L115" i="49"/>
  <c r="I119" i="49"/>
  <c r="T119" i="49" s="1"/>
  <c r="L78" i="49"/>
  <c r="O66" i="49"/>
  <c r="W66" i="49" s="1"/>
  <c r="O43" i="49"/>
  <c r="W43" i="49" s="1"/>
  <c r="O127" i="49"/>
  <c r="W127" i="49" s="1"/>
  <c r="O72" i="49"/>
  <c r="W72" i="49" s="1"/>
  <c r="L66" i="49"/>
  <c r="L69" i="49"/>
  <c r="L37" i="49"/>
  <c r="I88" i="49"/>
  <c r="T88" i="49" s="1"/>
  <c r="O32" i="49"/>
  <c r="W32" i="49" s="1"/>
  <c r="L92" i="49"/>
  <c r="L22" i="49"/>
  <c r="I78" i="49"/>
  <c r="T78" i="49" s="1"/>
  <c r="I118" i="49"/>
  <c r="T118" i="49" s="1"/>
  <c r="L107" i="49"/>
  <c r="O105" i="49"/>
  <c r="W105" i="49" s="1"/>
  <c r="R75" i="49"/>
  <c r="Y75" i="49" s="1"/>
  <c r="O49" i="49"/>
  <c r="W49" i="49" s="1"/>
  <c r="R127" i="49"/>
  <c r="Y127" i="49" s="1"/>
  <c r="O65" i="49"/>
  <c r="W65" i="49" s="1"/>
  <c r="L129" i="49"/>
  <c r="I101" i="49"/>
  <c r="T101" i="49" s="1"/>
  <c r="L58" i="49"/>
  <c r="O15" i="49"/>
  <c r="R107" i="49"/>
  <c r="Y107" i="49" s="1"/>
  <c r="I99" i="49"/>
  <c r="T99" i="49" s="1"/>
  <c r="O73" i="49"/>
  <c r="W73" i="49" s="1"/>
  <c r="R68" i="49"/>
  <c r="Y68" i="49" s="1"/>
  <c r="O62" i="49"/>
  <c r="W62" i="49" s="1"/>
  <c r="O125" i="49"/>
  <c r="W125" i="49" s="1"/>
  <c r="I122" i="49"/>
  <c r="T122" i="49" s="1"/>
  <c r="L104" i="49"/>
  <c r="L76" i="49"/>
  <c r="I75" i="49"/>
  <c r="T75" i="49" s="1"/>
  <c r="I67" i="49"/>
  <c r="T67" i="49" s="1"/>
  <c r="L119" i="49"/>
  <c r="I83" i="49"/>
  <c r="T83" i="49" s="1"/>
  <c r="I66" i="49"/>
  <c r="T66" i="49" s="1"/>
  <c r="L71" i="49"/>
  <c r="AB123" i="50"/>
  <c r="I117" i="49"/>
  <c r="T117" i="49" s="1"/>
  <c r="L131" i="49"/>
  <c r="O52" i="49"/>
  <c r="W52" i="49" s="1"/>
  <c r="L94" i="49"/>
  <c r="L82" i="49"/>
  <c r="AB45" i="50"/>
  <c r="I112" i="49"/>
  <c r="T112" i="49" s="1"/>
  <c r="I72" i="49"/>
  <c r="T72" i="49" s="1"/>
  <c r="L137" i="49"/>
  <c r="L52" i="49"/>
  <c r="L132" i="49"/>
  <c r="I126" i="49"/>
  <c r="T126" i="49" s="1"/>
  <c r="L72" i="49"/>
  <c r="L81" i="49"/>
  <c r="L32" i="49"/>
  <c r="L77" i="49"/>
  <c r="L126" i="49"/>
  <c r="L79" i="49"/>
  <c r="L138" i="49"/>
  <c r="L55" i="49"/>
  <c r="L118" i="49"/>
  <c r="L15" i="49"/>
  <c r="Q15" i="49" s="1"/>
  <c r="L117" i="49"/>
  <c r="L89" i="49"/>
  <c r="L68" i="49"/>
  <c r="L88" i="49"/>
  <c r="L41" i="49"/>
  <c r="AB59" i="50"/>
  <c r="L19" i="49"/>
  <c r="L65" i="49"/>
  <c r="L20" i="49"/>
  <c r="AB83" i="50"/>
  <c r="L30" i="49"/>
  <c r="O79" i="49"/>
  <c r="W79" i="49" s="1"/>
  <c r="L62" i="49"/>
  <c r="L125" i="49"/>
  <c r="O93" i="49"/>
  <c r="W93" i="49" s="1"/>
  <c r="L56" i="49"/>
  <c r="O38" i="49"/>
  <c r="W38" i="49" s="1"/>
  <c r="R57" i="49"/>
  <c r="Y57" i="49" s="1"/>
  <c r="O104" i="49"/>
  <c r="W104" i="49" s="1"/>
  <c r="L93" i="49"/>
  <c r="L139" i="49"/>
  <c r="R92" i="49"/>
  <c r="Y92" i="49" s="1"/>
  <c r="R62" i="49"/>
  <c r="Y62" i="49" s="1"/>
  <c r="O119" i="49"/>
  <c r="W119" i="49" s="1"/>
  <c r="R77" i="49"/>
  <c r="Y77" i="49" s="1"/>
  <c r="O27" i="49"/>
  <c r="W27" i="49" s="1"/>
  <c r="L63" i="49"/>
  <c r="O29" i="49"/>
  <c r="W29" i="49" s="1"/>
  <c r="O103" i="49"/>
  <c r="W103" i="49" s="1"/>
  <c r="O129" i="49"/>
  <c r="W129" i="49" s="1"/>
  <c r="AB34" i="50"/>
  <c r="R74" i="49"/>
  <c r="Y74" i="49" s="1"/>
  <c r="O53" i="49"/>
  <c r="W53" i="49" s="1"/>
  <c r="O84" i="49"/>
  <c r="W84" i="49" s="1"/>
  <c r="O131" i="49"/>
  <c r="W131" i="49" s="1"/>
  <c r="L17" i="49"/>
  <c r="L113" i="49"/>
  <c r="AB110" i="50"/>
  <c r="O47" i="49"/>
  <c r="W47" i="49" s="1"/>
  <c r="O94" i="49"/>
  <c r="W94" i="49" s="1"/>
  <c r="L60" i="49"/>
  <c r="R99" i="49"/>
  <c r="Y99" i="49" s="1"/>
  <c r="O46" i="49"/>
  <c r="W46" i="49" s="1"/>
  <c r="L134" i="49"/>
  <c r="R93" i="49"/>
  <c r="Y93" i="49" s="1"/>
  <c r="R55" i="49"/>
  <c r="Y55" i="49" s="1"/>
  <c r="O118" i="49"/>
  <c r="W118" i="49" s="1"/>
  <c r="L106" i="49"/>
  <c r="R79" i="49"/>
  <c r="Y79" i="49" s="1"/>
  <c r="L73" i="49"/>
  <c r="L128" i="49"/>
  <c r="R121" i="49"/>
  <c r="Y121" i="49" s="1"/>
  <c r="I135" i="49"/>
  <c r="T135" i="49" s="1"/>
  <c r="R114" i="49"/>
  <c r="Y114" i="49" s="1"/>
  <c r="R126" i="49"/>
  <c r="Y126" i="49" s="1"/>
  <c r="I132" i="49"/>
  <c r="T132" i="49" s="1"/>
  <c r="R137" i="49"/>
  <c r="Y137" i="49" s="1"/>
  <c r="L86" i="49"/>
  <c r="R138" i="49"/>
  <c r="Y138" i="49" s="1"/>
  <c r="O51" i="49"/>
  <c r="W51" i="49" s="1"/>
  <c r="R69" i="49"/>
  <c r="Y69" i="49" s="1"/>
  <c r="O20" i="49"/>
  <c r="W20" i="49" s="1"/>
  <c r="L133" i="49"/>
  <c r="O87" i="49"/>
  <c r="W87" i="49" s="1"/>
  <c r="L90" i="49"/>
  <c r="R111" i="49"/>
  <c r="Y111" i="49" s="1"/>
  <c r="R52" i="49"/>
  <c r="Y52" i="49" s="1"/>
  <c r="I94" i="49"/>
  <c r="T94" i="49" s="1"/>
  <c r="O28" i="49"/>
  <c r="W28" i="49" s="1"/>
  <c r="O75" i="49"/>
  <c r="W75" i="49" s="1"/>
  <c r="O71" i="49"/>
  <c r="W71" i="49" s="1"/>
  <c r="O69" i="49"/>
  <c r="W69" i="49" s="1"/>
  <c r="R110" i="49"/>
  <c r="Y110" i="49" s="1"/>
  <c r="R36" i="49"/>
  <c r="Y36" i="49" s="1"/>
  <c r="R65" i="49"/>
  <c r="Y65" i="49" s="1"/>
  <c r="R50" i="49"/>
  <c r="Y50" i="49" s="1"/>
  <c r="R61" i="49"/>
  <c r="Y61" i="49" s="1"/>
  <c r="R32" i="49"/>
  <c r="Y32" i="49" s="1"/>
  <c r="R135" i="49"/>
  <c r="Y135" i="49" s="1"/>
  <c r="R88" i="49"/>
  <c r="Y88" i="49" s="1"/>
  <c r="R125" i="49"/>
  <c r="Y125" i="49" s="1"/>
  <c r="R133" i="49"/>
  <c r="Y133" i="49" s="1"/>
  <c r="R71" i="49"/>
  <c r="Y71" i="49" s="1"/>
  <c r="R112" i="49"/>
  <c r="Y112" i="49" s="1"/>
  <c r="R102" i="49"/>
  <c r="Y102" i="49" s="1"/>
  <c r="R30" i="49"/>
  <c r="Y30" i="49" s="1"/>
  <c r="R38" i="49"/>
  <c r="Y38" i="49" s="1"/>
  <c r="R42" i="49"/>
  <c r="Y42" i="49" s="1"/>
  <c r="R106" i="49"/>
  <c r="Y106" i="49" s="1"/>
  <c r="R98" i="49"/>
  <c r="R23" i="49"/>
  <c r="Y23" i="49" s="1"/>
  <c r="R103" i="49"/>
  <c r="Y103" i="49" s="1"/>
  <c r="R35" i="49"/>
  <c r="Y35" i="49" s="1"/>
  <c r="R124" i="49"/>
  <c r="Y124" i="49" s="1"/>
  <c r="R51" i="49"/>
  <c r="Y51" i="49" s="1"/>
  <c r="R86" i="49"/>
  <c r="Y86" i="49" s="1"/>
  <c r="R22" i="49"/>
  <c r="Y22" i="49" s="1"/>
  <c r="R18" i="49"/>
  <c r="Y18" i="49" s="1"/>
  <c r="O110" i="49"/>
  <c r="W110" i="49" s="1"/>
  <c r="O40" i="49"/>
  <c r="W40" i="49" s="1"/>
  <c r="O120" i="49"/>
  <c r="W120" i="49" s="1"/>
  <c r="O135" i="49"/>
  <c r="W135" i="49" s="1"/>
  <c r="O48" i="49"/>
  <c r="W48" i="49" s="1"/>
  <c r="O122" i="49"/>
  <c r="W122" i="49" s="1"/>
  <c r="O132" i="49"/>
  <c r="W132" i="49" s="1"/>
  <c r="O18" i="49"/>
  <c r="W18" i="49" s="1"/>
  <c r="O102" i="49"/>
  <c r="W102" i="49" s="1"/>
  <c r="O23" i="49"/>
  <c r="W23" i="49" s="1"/>
  <c r="O89" i="49"/>
  <c r="W89" i="49" s="1"/>
  <c r="O35" i="49"/>
  <c r="W35" i="49" s="1"/>
  <c r="O100" i="49"/>
  <c r="W100" i="49" s="1"/>
  <c r="O30" i="49"/>
  <c r="W30" i="49" s="1"/>
  <c r="O85" i="49"/>
  <c r="W85" i="49" s="1"/>
  <c r="O34" i="49"/>
  <c r="W34" i="49" s="1"/>
  <c r="O26" i="49"/>
  <c r="W26" i="49" s="1"/>
  <c r="O98" i="49"/>
  <c r="O116" i="49"/>
  <c r="W116" i="49" s="1"/>
  <c r="O77" i="49"/>
  <c r="W77" i="49" s="1"/>
  <c r="O134" i="49"/>
  <c r="W134" i="49" s="1"/>
  <c r="O82" i="49"/>
  <c r="W82" i="49" s="1"/>
  <c r="O61" i="49"/>
  <c r="W61" i="49" s="1"/>
  <c r="O55" i="49"/>
  <c r="W55" i="49" s="1"/>
  <c r="O41" i="49"/>
  <c r="W41" i="49" s="1"/>
  <c r="L36" i="49"/>
  <c r="L46" i="49"/>
  <c r="L114" i="49"/>
  <c r="L43" i="49"/>
  <c r="L42" i="49"/>
  <c r="L28" i="49"/>
  <c r="L84" i="49"/>
  <c r="L18" i="49"/>
  <c r="L99" i="49"/>
  <c r="L124" i="49"/>
  <c r="L112" i="49"/>
  <c r="L57" i="49"/>
  <c r="L51" i="49"/>
  <c r="L121" i="49"/>
  <c r="L103" i="49"/>
  <c r="L122" i="49"/>
  <c r="AB116" i="50"/>
  <c r="L102" i="49"/>
  <c r="L26" i="49"/>
  <c r="L47" i="49"/>
  <c r="L87" i="49"/>
  <c r="L100" i="49"/>
  <c r="L97" i="49"/>
  <c r="L120" i="49"/>
  <c r="L75" i="49"/>
  <c r="L109" i="49"/>
  <c r="L27" i="49"/>
  <c r="I139" i="49"/>
  <c r="T139" i="49" s="1"/>
  <c r="I109" i="49"/>
  <c r="T109" i="49" s="1"/>
  <c r="I113" i="49"/>
  <c r="T113" i="49" s="1"/>
  <c r="I138" i="49"/>
  <c r="T138" i="49" s="1"/>
  <c r="I133" i="49"/>
  <c r="T133" i="49" s="1"/>
  <c r="I124" i="49"/>
  <c r="T124" i="49" s="1"/>
  <c r="O101" i="49"/>
  <c r="W101" i="49" s="1"/>
  <c r="G8" i="56"/>
  <c r="G9" i="56"/>
  <c r="I9" i="56" s="1"/>
  <c r="G12" i="56"/>
  <c r="I12" i="56" s="1"/>
  <c r="G11" i="56"/>
  <c r="I11" i="56" s="1"/>
  <c r="G10" i="56"/>
  <c r="G7" i="63" s="1"/>
  <c r="I7" i="63" s="1"/>
  <c r="J7" i="63" s="1"/>
  <c r="AF25" i="50"/>
  <c r="O25" i="49"/>
  <c r="W25" i="49" s="1"/>
  <c r="AJ25" i="50"/>
  <c r="R25" i="49"/>
  <c r="Y25" i="49" s="1"/>
  <c r="AB25" i="50"/>
  <c r="L25" i="49"/>
  <c r="AH5" i="73" l="1"/>
  <c r="AE14" i="73"/>
  <c r="AG14" i="73" s="1"/>
  <c r="AC14" i="73" s="1"/>
  <c r="Z5" i="72"/>
  <c r="W14" i="72"/>
  <c r="Y14" i="72" s="1"/>
  <c r="U14" i="72" s="1"/>
  <c r="AH5" i="72"/>
  <c r="AE14" i="72"/>
  <c r="AG14" i="72" s="1"/>
  <c r="AC14" i="72" s="1"/>
  <c r="Z5" i="73"/>
  <c r="W14" i="73"/>
  <c r="Y14" i="73" s="1"/>
  <c r="U14" i="73" s="1"/>
  <c r="J6" i="72"/>
  <c r="H14" i="72"/>
  <c r="I14" i="72" s="1"/>
  <c r="E14" i="72" s="1"/>
  <c r="H14" i="73"/>
  <c r="I14" i="73" s="1"/>
  <c r="E14" i="73" s="1"/>
  <c r="J6" i="73"/>
  <c r="N122" i="49"/>
  <c r="N83" i="49"/>
  <c r="N104" i="49"/>
  <c r="N139" i="49"/>
  <c r="N72" i="49"/>
  <c r="N112" i="49"/>
  <c r="N67" i="49"/>
  <c r="N135" i="49"/>
  <c r="N78" i="49"/>
  <c r="N88" i="49"/>
  <c r="N117" i="49"/>
  <c r="N124" i="49"/>
  <c r="N132" i="49"/>
  <c r="N94" i="49"/>
  <c r="N126" i="49"/>
  <c r="N99" i="49"/>
  <c r="N75" i="49"/>
  <c r="N134" i="49"/>
  <c r="N119" i="49"/>
  <c r="N133" i="49"/>
  <c r="N138" i="49"/>
  <c r="N113" i="49"/>
  <c r="N101" i="49"/>
  <c r="N109" i="49"/>
  <c r="U73" i="49"/>
  <c r="Q73" i="49"/>
  <c r="U77" i="49"/>
  <c r="Q77" i="49"/>
  <c r="U100" i="49"/>
  <c r="Q100" i="49"/>
  <c r="U121" i="49"/>
  <c r="Q121" i="49"/>
  <c r="U28" i="49"/>
  <c r="Q28" i="49"/>
  <c r="U90" i="49"/>
  <c r="Q90" i="49"/>
  <c r="U60" i="49"/>
  <c r="Q60" i="49"/>
  <c r="U20" i="49"/>
  <c r="Q20" i="49"/>
  <c r="U117" i="49"/>
  <c r="Q117" i="49"/>
  <c r="U32" i="49"/>
  <c r="Q32" i="49"/>
  <c r="U71" i="49"/>
  <c r="Q71" i="49"/>
  <c r="U58" i="49"/>
  <c r="Q58" i="49"/>
  <c r="U107" i="49"/>
  <c r="Q107" i="49"/>
  <c r="U69" i="49"/>
  <c r="Q69" i="49"/>
  <c r="U115" i="49"/>
  <c r="Q115" i="49"/>
  <c r="U48" i="49"/>
  <c r="Q48" i="49"/>
  <c r="U29" i="49"/>
  <c r="Q29" i="49"/>
  <c r="U84" i="49"/>
  <c r="Q84" i="49"/>
  <c r="U21" i="49"/>
  <c r="Q21" i="49"/>
  <c r="U47" i="49"/>
  <c r="Q47" i="49"/>
  <c r="U57" i="49"/>
  <c r="Q57" i="49"/>
  <c r="U43" i="49"/>
  <c r="Q43" i="49"/>
  <c r="U133" i="49"/>
  <c r="Q133" i="49"/>
  <c r="U19" i="49"/>
  <c r="Q19" i="49"/>
  <c r="U118" i="49"/>
  <c r="Q118" i="49"/>
  <c r="U72" i="49"/>
  <c r="Q72" i="49"/>
  <c r="U82" i="49"/>
  <c r="Q82" i="49"/>
  <c r="U129" i="49"/>
  <c r="Q129" i="49"/>
  <c r="U101" i="49"/>
  <c r="Q101" i="49"/>
  <c r="U108" i="49"/>
  <c r="Q108" i="49"/>
  <c r="U103" i="49"/>
  <c r="Q103" i="49"/>
  <c r="U86" i="49"/>
  <c r="Q86" i="49"/>
  <c r="U104" i="49"/>
  <c r="Q104" i="49"/>
  <c r="U95" i="49"/>
  <c r="Q95" i="49"/>
  <c r="U42" i="49"/>
  <c r="Q42" i="49"/>
  <c r="U111" i="49"/>
  <c r="Q111" i="49"/>
  <c r="U85" i="49"/>
  <c r="Q85" i="49"/>
  <c r="U27" i="49"/>
  <c r="Q27" i="49"/>
  <c r="U26" i="49"/>
  <c r="Q26" i="49"/>
  <c r="U112" i="49"/>
  <c r="Q112" i="49"/>
  <c r="U114" i="49"/>
  <c r="Q114" i="49"/>
  <c r="U125" i="49"/>
  <c r="Q125" i="49"/>
  <c r="U55" i="49"/>
  <c r="Q55" i="49"/>
  <c r="U94" i="49"/>
  <c r="Q94" i="49"/>
  <c r="U119" i="49"/>
  <c r="Q119" i="49"/>
  <c r="U22" i="49"/>
  <c r="Q22" i="49"/>
  <c r="U136" i="49"/>
  <c r="Q136" i="49"/>
  <c r="U49" i="49"/>
  <c r="Q49" i="49"/>
  <c r="U74" i="49"/>
  <c r="Q74" i="49"/>
  <c r="U25" i="49"/>
  <c r="Q25" i="49"/>
  <c r="U51" i="49"/>
  <c r="Q51" i="49"/>
  <c r="U65" i="49"/>
  <c r="Q65" i="49"/>
  <c r="U81" i="49"/>
  <c r="Q81" i="49"/>
  <c r="U66" i="49"/>
  <c r="Q66" i="49"/>
  <c r="U109" i="49"/>
  <c r="Q109" i="49"/>
  <c r="U102" i="49"/>
  <c r="Q102" i="49"/>
  <c r="U124" i="49"/>
  <c r="Q124" i="49"/>
  <c r="U46" i="49"/>
  <c r="Q46" i="49"/>
  <c r="U113" i="49"/>
  <c r="Q113" i="49"/>
  <c r="U139" i="49"/>
  <c r="Q139" i="49"/>
  <c r="U62" i="49"/>
  <c r="Q62" i="49"/>
  <c r="U41" i="49"/>
  <c r="Q41" i="49"/>
  <c r="U138" i="49"/>
  <c r="Q138" i="49"/>
  <c r="U132" i="49"/>
  <c r="Q132" i="49"/>
  <c r="U92" i="49"/>
  <c r="Q92" i="49"/>
  <c r="U105" i="49"/>
  <c r="Q105" i="49"/>
  <c r="U50" i="49"/>
  <c r="Q50" i="49"/>
  <c r="U127" i="49"/>
  <c r="Q127" i="49"/>
  <c r="U140" i="49"/>
  <c r="Q140" i="49"/>
  <c r="U89" i="49"/>
  <c r="Q89" i="49"/>
  <c r="U37" i="49"/>
  <c r="Q37" i="49"/>
  <c r="U40" i="49"/>
  <c r="Q40" i="49"/>
  <c r="U87" i="49"/>
  <c r="Q87" i="49"/>
  <c r="U56" i="49"/>
  <c r="Q56" i="49"/>
  <c r="U75" i="49"/>
  <c r="Q75" i="49"/>
  <c r="U99" i="49"/>
  <c r="Q99" i="49"/>
  <c r="U36" i="49"/>
  <c r="Q36" i="49"/>
  <c r="U134" i="49"/>
  <c r="Q134" i="49"/>
  <c r="U17" i="49"/>
  <c r="Q17" i="49"/>
  <c r="U93" i="49"/>
  <c r="Q93" i="49"/>
  <c r="U88" i="49"/>
  <c r="Q88" i="49"/>
  <c r="U79" i="49"/>
  <c r="Q79" i="49"/>
  <c r="U52" i="49"/>
  <c r="Q52" i="49"/>
  <c r="U131" i="49"/>
  <c r="Q131" i="49"/>
  <c r="U38" i="49"/>
  <c r="Q38" i="49"/>
  <c r="U35" i="49"/>
  <c r="Q35" i="49"/>
  <c r="U67" i="49"/>
  <c r="Q67" i="49"/>
  <c r="U23" i="49"/>
  <c r="Q23" i="49"/>
  <c r="U97" i="49"/>
  <c r="Q97" i="49"/>
  <c r="U106" i="49"/>
  <c r="Q106" i="49"/>
  <c r="U53" i="49"/>
  <c r="Q53" i="49"/>
  <c r="U120" i="49"/>
  <c r="Q120" i="49"/>
  <c r="U122" i="49"/>
  <c r="Q122" i="49"/>
  <c r="U18" i="49"/>
  <c r="Q18" i="49"/>
  <c r="U128" i="49"/>
  <c r="Q128" i="49"/>
  <c r="U63" i="49"/>
  <c r="Q63" i="49"/>
  <c r="U30" i="49"/>
  <c r="Q30" i="49"/>
  <c r="U68" i="49"/>
  <c r="Q68" i="49"/>
  <c r="U126" i="49"/>
  <c r="Q126" i="49"/>
  <c r="U137" i="49"/>
  <c r="Q137" i="49"/>
  <c r="U76" i="49"/>
  <c r="Q76" i="49"/>
  <c r="U78" i="49"/>
  <c r="Q78" i="49"/>
  <c r="U33" i="49"/>
  <c r="Q33" i="49"/>
  <c r="U135" i="49"/>
  <c r="Q135" i="49"/>
  <c r="U61" i="49"/>
  <c r="Q61" i="49"/>
  <c r="U31" i="49"/>
  <c r="Q31" i="49"/>
  <c r="Q7" i="63"/>
  <c r="R7" i="63" s="1"/>
  <c r="Y7" i="63"/>
  <c r="Z7" i="63" s="1"/>
  <c r="U98" i="49"/>
  <c r="Y98" i="49"/>
  <c r="W98" i="49"/>
  <c r="U15" i="49"/>
  <c r="Y15" i="49"/>
  <c r="W15" i="49"/>
  <c r="I10" i="56"/>
  <c r="P9" i="56"/>
  <c r="P10" i="56"/>
  <c r="W9" i="56"/>
  <c r="L15" i="7"/>
  <c r="Q4" i="42" s="1"/>
  <c r="W7" i="7"/>
  <c r="W15" i="7" s="1"/>
  <c r="AA7" i="7"/>
  <c r="AA15" i="7" s="1"/>
  <c r="S7" i="7"/>
  <c r="T15" i="7" s="1"/>
  <c r="G11" i="58"/>
  <c r="Q4" i="44" l="1"/>
  <c r="R54" i="44" s="1"/>
  <c r="S54" i="44" s="1"/>
  <c r="H54" i="44" s="1"/>
  <c r="J56" i="65" s="1"/>
  <c r="S56" i="65" s="1"/>
  <c r="Q6" i="62"/>
  <c r="R69" i="42"/>
  <c r="S69" i="42" s="1"/>
  <c r="H69" i="42" s="1"/>
  <c r="R31" i="42"/>
  <c r="S31" i="42" s="1"/>
  <c r="H31" i="42" s="1"/>
  <c r="H33" i="65" s="1"/>
  <c r="P33" i="65" s="1"/>
  <c r="R22" i="42"/>
  <c r="S22" i="42" s="1"/>
  <c r="R30" i="42"/>
  <c r="S30" i="42" s="1"/>
  <c r="H30" i="42" s="1"/>
  <c r="H32" i="65" s="1"/>
  <c r="P32" i="65" s="1"/>
  <c r="R95" i="42"/>
  <c r="S95" i="42" s="1"/>
  <c r="H95" i="42" s="1"/>
  <c r="R24" i="42"/>
  <c r="S24" i="42" s="1"/>
  <c r="H24" i="42" s="1"/>
  <c r="H26" i="65" s="1"/>
  <c r="P26" i="65"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H40" i="65" s="1"/>
  <c r="P40" i="65" s="1"/>
  <c r="R130" i="42"/>
  <c r="S130" i="42" s="1"/>
  <c r="H130" i="42" s="1"/>
  <c r="R25" i="42"/>
  <c r="S25" i="42" s="1"/>
  <c r="H25" i="42" s="1"/>
  <c r="H27" i="65" s="1"/>
  <c r="P27" i="65" s="1"/>
  <c r="R16" i="42"/>
  <c r="S16" i="42" s="1"/>
  <c r="R134" i="42"/>
  <c r="S134" i="42" s="1"/>
  <c r="H134" i="42" s="1"/>
  <c r="R56" i="42"/>
  <c r="S56" i="42" s="1"/>
  <c r="H56" i="42" s="1"/>
  <c r="H58" i="65" s="1"/>
  <c r="P58" i="65" s="1"/>
  <c r="R46" i="42"/>
  <c r="S46" i="42" s="1"/>
  <c r="H46" i="42" s="1"/>
  <c r="H48" i="65" s="1"/>
  <c r="P48" i="65" s="1"/>
  <c r="R64" i="42"/>
  <c r="S64" i="42" s="1"/>
  <c r="H64" i="42" s="1"/>
  <c r="R96" i="42"/>
  <c r="S96" i="42" s="1"/>
  <c r="H96" i="42" s="1"/>
  <c r="R112" i="42"/>
  <c r="S112" i="42" s="1"/>
  <c r="H112" i="42" s="1"/>
  <c r="R29" i="42"/>
  <c r="S29" i="42" s="1"/>
  <c r="H29" i="42" s="1"/>
  <c r="H31" i="65" s="1"/>
  <c r="P31" i="65" s="1"/>
  <c r="R63" i="42"/>
  <c r="S63" i="42" s="1"/>
  <c r="H63" i="42" s="1"/>
  <c r="R102" i="42"/>
  <c r="S102" i="42" s="1"/>
  <c r="H102" i="42" s="1"/>
  <c r="R28" i="42"/>
  <c r="S28" i="42" s="1"/>
  <c r="H28" i="42" s="1"/>
  <c r="H30" i="65" s="1"/>
  <c r="P30" i="65" s="1"/>
  <c r="R27" i="42"/>
  <c r="S27" i="42" s="1"/>
  <c r="H27" i="42" s="1"/>
  <c r="H29" i="65" s="1"/>
  <c r="P29" i="65" s="1"/>
  <c r="R50" i="42"/>
  <c r="S50" i="42" s="1"/>
  <c r="H50" i="42" s="1"/>
  <c r="H52" i="65" s="1"/>
  <c r="P52" i="65" s="1"/>
  <c r="R70" i="42"/>
  <c r="S70" i="42" s="1"/>
  <c r="H70" i="42" s="1"/>
  <c r="R118" i="42"/>
  <c r="S118" i="42" s="1"/>
  <c r="H118" i="42" s="1"/>
  <c r="R17" i="42"/>
  <c r="S17" i="42" s="1"/>
  <c r="R48" i="42"/>
  <c r="S48" i="42" s="1"/>
  <c r="H48" i="42" s="1"/>
  <c r="H50" i="65" s="1"/>
  <c r="P50" i="65" s="1"/>
  <c r="R85" i="42"/>
  <c r="S85" i="42" s="1"/>
  <c r="H85" i="42" s="1"/>
  <c r="R76" i="42"/>
  <c r="S76" i="42" s="1"/>
  <c r="H76" i="42" s="1"/>
  <c r="R106" i="42"/>
  <c r="S106" i="42" s="1"/>
  <c r="H106" i="42" s="1"/>
  <c r="R20" i="42"/>
  <c r="S20" i="42" s="1"/>
  <c r="H20" i="42" s="1"/>
  <c r="H22" i="65" s="1"/>
  <c r="P22" i="65" s="1"/>
  <c r="R105" i="42"/>
  <c r="S105" i="42" s="1"/>
  <c r="H105" i="42" s="1"/>
  <c r="R80" i="42"/>
  <c r="S80" i="42" s="1"/>
  <c r="H80" i="42" s="1"/>
  <c r="R57" i="42"/>
  <c r="S57" i="42" s="1"/>
  <c r="H57" i="42" s="1"/>
  <c r="R98" i="42"/>
  <c r="S98" i="42" s="1"/>
  <c r="H98" i="42" s="1"/>
  <c r="R82" i="42"/>
  <c r="S82" i="42" s="1"/>
  <c r="H82" i="42" s="1"/>
  <c r="R129" i="42"/>
  <c r="S129" i="42" s="1"/>
  <c r="H129" i="42" s="1"/>
  <c r="R91" i="42"/>
  <c r="S91" i="42" s="1"/>
  <c r="H91" i="42" s="1"/>
  <c r="R26" i="42"/>
  <c r="S26" i="42" s="1"/>
  <c r="H26" i="42" s="1"/>
  <c r="H28" i="65" s="1"/>
  <c r="P28" i="65" s="1"/>
  <c r="R87" i="42"/>
  <c r="S87" i="42" s="1"/>
  <c r="H87" i="42" s="1"/>
  <c r="R73" i="42"/>
  <c r="S73" i="42" s="1"/>
  <c r="H73" i="42" s="1"/>
  <c r="R119" i="42"/>
  <c r="S119" i="42" s="1"/>
  <c r="H119" i="42" s="1"/>
  <c r="R100" i="42"/>
  <c r="S100" i="42" s="1"/>
  <c r="H100" i="42" s="1"/>
  <c r="R81" i="42"/>
  <c r="S81" i="42" s="1"/>
  <c r="H81" i="42" s="1"/>
  <c r="R53" i="42"/>
  <c r="S53" i="42" s="1"/>
  <c r="H53" i="42" s="1"/>
  <c r="H55" i="65" s="1"/>
  <c r="P55" i="65" s="1"/>
  <c r="R116" i="42"/>
  <c r="S116" i="42" s="1"/>
  <c r="H116" i="42" s="1"/>
  <c r="R104" i="42"/>
  <c r="S104" i="42" s="1"/>
  <c r="H104" i="42" s="1"/>
  <c r="R40" i="42"/>
  <c r="S40" i="42" s="1"/>
  <c r="H40" i="42" s="1"/>
  <c r="H42" i="65" s="1"/>
  <c r="P42" i="65" s="1"/>
  <c r="R68" i="42"/>
  <c r="S68" i="42" s="1"/>
  <c r="H68" i="42" s="1"/>
  <c r="R12" i="42"/>
  <c r="S12" i="42" s="1"/>
  <c r="H12" i="42" s="1"/>
  <c r="H14" i="65" s="1"/>
  <c r="P14" i="65" s="1"/>
  <c r="R37" i="42"/>
  <c r="S37" i="42" s="1"/>
  <c r="H37" i="42" s="1"/>
  <c r="H39" i="65" s="1"/>
  <c r="P39" i="65" s="1"/>
  <c r="R14" i="42"/>
  <c r="S14" i="42" s="1"/>
  <c r="R120" i="42"/>
  <c r="S120" i="42" s="1"/>
  <c r="H120" i="42" s="1"/>
  <c r="R47" i="42"/>
  <c r="S47" i="42" s="1"/>
  <c r="H47" i="42" s="1"/>
  <c r="H49" i="65" s="1"/>
  <c r="P49" i="65" s="1"/>
  <c r="R133" i="42"/>
  <c r="S133" i="42" s="1"/>
  <c r="H133" i="42" s="1"/>
  <c r="R49" i="42"/>
  <c r="S49" i="42" s="1"/>
  <c r="H49" i="42" s="1"/>
  <c r="H51" i="65" s="1"/>
  <c r="P51" i="65" s="1"/>
  <c r="R54" i="42"/>
  <c r="S54" i="42" s="1"/>
  <c r="H54" i="42" s="1"/>
  <c r="H56" i="65" s="1"/>
  <c r="P56" i="65" s="1"/>
  <c r="R117" i="42"/>
  <c r="S117" i="42" s="1"/>
  <c r="H117" i="42" s="1"/>
  <c r="R110" i="42"/>
  <c r="S110" i="42" s="1"/>
  <c r="H110" i="42" s="1"/>
  <c r="R83" i="42"/>
  <c r="S83" i="42" s="1"/>
  <c r="H83" i="42" s="1"/>
  <c r="R58" i="42"/>
  <c r="S58" i="42" s="1"/>
  <c r="H58" i="42" s="1"/>
  <c r="R33" i="42"/>
  <c r="S33" i="42" s="1"/>
  <c r="H33" i="42" s="1"/>
  <c r="H35" i="65" s="1"/>
  <c r="P35" i="65" s="1"/>
  <c r="R42" i="42"/>
  <c r="S42" i="42" s="1"/>
  <c r="H42" i="42" s="1"/>
  <c r="H44" i="65" s="1"/>
  <c r="P44" i="65" s="1"/>
  <c r="R32" i="42"/>
  <c r="S32" i="42" s="1"/>
  <c r="H32" i="42" s="1"/>
  <c r="H34" i="65" s="1"/>
  <c r="P34" i="65" s="1"/>
  <c r="R136" i="42"/>
  <c r="S136" i="42" s="1"/>
  <c r="H136" i="42" s="1"/>
  <c r="R89" i="42"/>
  <c r="S89" i="42" s="1"/>
  <c r="H89" i="42" s="1"/>
  <c r="R19" i="42"/>
  <c r="S19" i="42" s="1"/>
  <c r="H19" i="42" s="1"/>
  <c r="H21" i="65" s="1"/>
  <c r="P21" i="65" s="1"/>
  <c r="R108" i="42"/>
  <c r="S108" i="42" s="1"/>
  <c r="H108" i="42" s="1"/>
  <c r="R60" i="42"/>
  <c r="S60" i="42" s="1"/>
  <c r="H60" i="42" s="1"/>
  <c r="R97" i="42"/>
  <c r="S97" i="42" s="1"/>
  <c r="H97" i="42" s="1"/>
  <c r="R34" i="42"/>
  <c r="S34" i="42" s="1"/>
  <c r="H34" i="42" s="1"/>
  <c r="H36" i="65" s="1"/>
  <c r="P36" i="65" s="1"/>
  <c r="R15" i="42"/>
  <c r="S15" i="42" s="1"/>
  <c r="R55" i="42"/>
  <c r="S55" i="42" s="1"/>
  <c r="H55" i="42" s="1"/>
  <c r="H57" i="65" s="1"/>
  <c r="P57" i="65" s="1"/>
  <c r="R35" i="42"/>
  <c r="S35" i="42" s="1"/>
  <c r="H35" i="42" s="1"/>
  <c r="H37" i="65" s="1"/>
  <c r="P37" i="65" s="1"/>
  <c r="R72" i="42"/>
  <c r="S72" i="42" s="1"/>
  <c r="H72" i="42" s="1"/>
  <c r="R107" i="42"/>
  <c r="S107" i="42" s="1"/>
  <c r="H107" i="42" s="1"/>
  <c r="R90" i="42"/>
  <c r="S90" i="42" s="1"/>
  <c r="H90" i="42" s="1"/>
  <c r="R115" i="42"/>
  <c r="S115" i="42" s="1"/>
  <c r="H115" i="42" s="1"/>
  <c r="R52" i="42"/>
  <c r="S52" i="42" s="1"/>
  <c r="H52" i="42" s="1"/>
  <c r="H54" i="65" s="1"/>
  <c r="P54" i="65" s="1"/>
  <c r="R59" i="42"/>
  <c r="S59" i="42" s="1"/>
  <c r="H59" i="42" s="1"/>
  <c r="R124" i="42"/>
  <c r="S124" i="42" s="1"/>
  <c r="H124" i="42" s="1"/>
  <c r="R18" i="42"/>
  <c r="S18" i="42" s="1"/>
  <c r="R122" i="42"/>
  <c r="S122" i="42" s="1"/>
  <c r="H122" i="42" s="1"/>
  <c r="R65" i="42"/>
  <c r="S65" i="42" s="1"/>
  <c r="H65" i="42" s="1"/>
  <c r="R77" i="42"/>
  <c r="S77" i="42" s="1"/>
  <c r="H77" i="42" s="1"/>
  <c r="R86" i="42"/>
  <c r="S86" i="42" s="1"/>
  <c r="H86" i="42" s="1"/>
  <c r="R44" i="42"/>
  <c r="S44" i="42" s="1"/>
  <c r="H44" i="42" s="1"/>
  <c r="H46" i="65" s="1"/>
  <c r="P46" i="65" s="1"/>
  <c r="R103" i="42"/>
  <c r="S103" i="42" s="1"/>
  <c r="H103" i="42" s="1"/>
  <c r="R121" i="42"/>
  <c r="S121" i="42" s="1"/>
  <c r="H121" i="42" s="1"/>
  <c r="R43" i="42"/>
  <c r="S43" i="42" s="1"/>
  <c r="H43" i="42" s="1"/>
  <c r="H45" i="65" s="1"/>
  <c r="P45" i="65"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H41" i="65" s="1"/>
  <c r="P41" i="65"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H47" i="65" s="1"/>
  <c r="P47" i="65" s="1"/>
  <c r="R66" i="42"/>
  <c r="S66" i="42" s="1"/>
  <c r="H66" i="42" s="1"/>
  <c r="R132" i="42"/>
  <c r="S132" i="42" s="1"/>
  <c r="H132" i="42" s="1"/>
  <c r="R23" i="42"/>
  <c r="S23" i="42" s="1"/>
  <c r="H23" i="42" s="1"/>
  <c r="H25" i="65" s="1"/>
  <c r="P25" i="65" s="1"/>
  <c r="Q4" i="46"/>
  <c r="Q4" i="48"/>
  <c r="H15" i="42" l="1"/>
  <c r="H17" i="65" s="1"/>
  <c r="P17" i="65" s="1"/>
  <c r="AB15" i="42"/>
  <c r="H22" i="42"/>
  <c r="H24" i="65" s="1"/>
  <c r="P24" i="65" s="1"/>
  <c r="AB22" i="42"/>
  <c r="H14" i="42"/>
  <c r="H16" i="65" s="1"/>
  <c r="P16" i="65" s="1"/>
  <c r="AB14" i="42"/>
  <c r="H16" i="42"/>
  <c r="H18" i="65" s="1"/>
  <c r="P18" i="65" s="1"/>
  <c r="AB16" i="42"/>
  <c r="H17" i="42"/>
  <c r="H19" i="65" s="1"/>
  <c r="P19" i="65" s="1"/>
  <c r="AB17" i="42"/>
  <c r="H18" i="42"/>
  <c r="H20" i="65" s="1"/>
  <c r="P20" i="65" s="1"/>
  <c r="AB18" i="42"/>
  <c r="H88" i="65"/>
  <c r="P88" i="65" s="1"/>
  <c r="H89" i="49"/>
  <c r="S89" i="49" s="1"/>
  <c r="H134" i="65"/>
  <c r="P134" i="65" s="1"/>
  <c r="H135" i="49"/>
  <c r="S135" i="49" s="1"/>
  <c r="H92" i="65"/>
  <c r="P92" i="65" s="1"/>
  <c r="H93" i="49"/>
  <c r="S93" i="49" s="1"/>
  <c r="H111" i="49"/>
  <c r="S111" i="49" s="1"/>
  <c r="H110" i="65"/>
  <c r="P110" i="65" s="1"/>
  <c r="H137" i="65"/>
  <c r="P137" i="65" s="1"/>
  <c r="H138" i="49"/>
  <c r="S138" i="49" s="1"/>
  <c r="H80" i="65"/>
  <c r="P80" i="65" s="1"/>
  <c r="H81" i="49"/>
  <c r="S81" i="49" s="1"/>
  <c r="H135" i="65"/>
  <c r="P135" i="65" s="1"/>
  <c r="H136" i="49"/>
  <c r="S136" i="49" s="1"/>
  <c r="H66" i="65"/>
  <c r="P66" i="65" s="1"/>
  <c r="H67" i="49"/>
  <c r="S67" i="49" s="1"/>
  <c r="H136" i="65"/>
  <c r="P136" i="65" s="1"/>
  <c r="H137" i="49"/>
  <c r="S137" i="49" s="1"/>
  <c r="H64" i="65"/>
  <c r="P64" i="65" s="1"/>
  <c r="H65" i="49"/>
  <c r="S65" i="49" s="1"/>
  <c r="H133" i="65"/>
  <c r="P133" i="65" s="1"/>
  <c r="H134" i="49"/>
  <c r="S134" i="49" s="1"/>
  <c r="H117" i="65"/>
  <c r="P117" i="65" s="1"/>
  <c r="H118" i="49"/>
  <c r="S118" i="49" s="1"/>
  <c r="H118" i="65"/>
  <c r="P118" i="65" s="1"/>
  <c r="H119" i="49"/>
  <c r="S119" i="49" s="1"/>
  <c r="H108" i="65"/>
  <c r="P108" i="65" s="1"/>
  <c r="H109" i="49"/>
  <c r="S109" i="49" s="1"/>
  <c r="H79" i="65"/>
  <c r="P79" i="65" s="1"/>
  <c r="H80" i="49"/>
  <c r="S80" i="49" s="1"/>
  <c r="H60" i="65"/>
  <c r="P60" i="65" s="1"/>
  <c r="H61" i="49"/>
  <c r="H131" i="65"/>
  <c r="P131" i="65" s="1"/>
  <c r="H132" i="49"/>
  <c r="S132" i="49" s="1"/>
  <c r="H130" i="65"/>
  <c r="P130" i="65" s="1"/>
  <c r="H131" i="49"/>
  <c r="S131" i="49" s="1"/>
  <c r="H86" i="65"/>
  <c r="P86" i="65" s="1"/>
  <c r="H87" i="49"/>
  <c r="S87" i="49" s="1"/>
  <c r="H87" i="65"/>
  <c r="P87" i="65" s="1"/>
  <c r="H88" i="49"/>
  <c r="S88" i="49" s="1"/>
  <c r="H96" i="65"/>
  <c r="P96" i="65" s="1"/>
  <c r="H97" i="49"/>
  <c r="S97" i="49" s="1"/>
  <c r="H91" i="65"/>
  <c r="P91" i="65" s="1"/>
  <c r="H92" i="49"/>
  <c r="S92" i="49" s="1"/>
  <c r="H119" i="65"/>
  <c r="P119" i="65" s="1"/>
  <c r="H120" i="49"/>
  <c r="S120" i="49" s="1"/>
  <c r="H121" i="65"/>
  <c r="P121" i="65" s="1"/>
  <c r="H122" i="49"/>
  <c r="S122" i="49" s="1"/>
  <c r="H59" i="65"/>
  <c r="P59" i="65" s="1"/>
  <c r="H60" i="49"/>
  <c r="H125" i="65"/>
  <c r="P125" i="65" s="1"/>
  <c r="H126" i="49"/>
  <c r="S126" i="49" s="1"/>
  <c r="H71" i="65"/>
  <c r="P71" i="65" s="1"/>
  <c r="H72" i="49"/>
  <c r="S72" i="49" s="1"/>
  <c r="H81" i="65"/>
  <c r="P81" i="65" s="1"/>
  <c r="H82" i="49"/>
  <c r="S82" i="49" s="1"/>
  <c r="H62" i="65"/>
  <c r="P62" i="65" s="1"/>
  <c r="H63" i="49"/>
  <c r="H122" i="65"/>
  <c r="P122" i="65" s="1"/>
  <c r="H123" i="49"/>
  <c r="S123" i="49" s="1"/>
  <c r="H78" i="65"/>
  <c r="P78" i="65" s="1"/>
  <c r="H79" i="49"/>
  <c r="S79" i="49" s="1"/>
  <c r="H68" i="65"/>
  <c r="P68" i="65" s="1"/>
  <c r="H69" i="49"/>
  <c r="S69" i="49" s="1"/>
  <c r="H109" i="65"/>
  <c r="P109" i="65" s="1"/>
  <c r="H110" i="49"/>
  <c r="S110" i="49" s="1"/>
  <c r="H83" i="65"/>
  <c r="P83" i="65" s="1"/>
  <c r="H84" i="49"/>
  <c r="S84" i="49" s="1"/>
  <c r="H129" i="49"/>
  <c r="S129" i="49" s="1"/>
  <c r="H128" i="65"/>
  <c r="P128" i="65" s="1"/>
  <c r="H77" i="65"/>
  <c r="P77" i="65" s="1"/>
  <c r="H78" i="49"/>
  <c r="S78" i="49" s="1"/>
  <c r="H124" i="65"/>
  <c r="P124" i="65" s="1"/>
  <c r="H125" i="49"/>
  <c r="S125" i="49" s="1"/>
  <c r="H113" i="49"/>
  <c r="S113" i="49" s="1"/>
  <c r="H112" i="65"/>
  <c r="P112" i="65" s="1"/>
  <c r="H66" i="49"/>
  <c r="S66" i="49" s="1"/>
  <c r="H65" i="65"/>
  <c r="P65" i="65" s="1"/>
  <c r="H139" i="65"/>
  <c r="P139" i="65" s="1"/>
  <c r="H140" i="49"/>
  <c r="S140" i="49" s="1"/>
  <c r="H123" i="65"/>
  <c r="P123" i="65" s="1"/>
  <c r="H124" i="49"/>
  <c r="S124" i="49" s="1"/>
  <c r="H126" i="65"/>
  <c r="P126" i="65" s="1"/>
  <c r="H127" i="49"/>
  <c r="S127" i="49" s="1"/>
  <c r="H139" i="49"/>
  <c r="S139" i="49" s="1"/>
  <c r="H138" i="65"/>
  <c r="P138" i="65" s="1"/>
  <c r="H70" i="65"/>
  <c r="P70" i="65" s="1"/>
  <c r="H71" i="49"/>
  <c r="S71" i="49" s="1"/>
  <c r="H76" i="49"/>
  <c r="S76" i="49" s="1"/>
  <c r="H75" i="65"/>
  <c r="P75" i="65" s="1"/>
  <c r="H82" i="65"/>
  <c r="P82" i="65" s="1"/>
  <c r="H83" i="49"/>
  <c r="S83" i="49" s="1"/>
  <c r="H121" i="49"/>
  <c r="S121" i="49" s="1"/>
  <c r="H120" i="65"/>
  <c r="P120" i="65" s="1"/>
  <c r="H114" i="65"/>
  <c r="P114" i="65" s="1"/>
  <c r="H115" i="49"/>
  <c r="S115" i="49" s="1"/>
  <c r="H95" i="49"/>
  <c r="S95" i="49" s="1"/>
  <c r="H94" i="65"/>
  <c r="P94" i="65" s="1"/>
  <c r="H93" i="65"/>
  <c r="P93" i="65" s="1"/>
  <c r="H94" i="49"/>
  <c r="S94" i="49" s="1"/>
  <c r="H116" i="65"/>
  <c r="P116" i="65" s="1"/>
  <c r="H117" i="49"/>
  <c r="S117" i="49" s="1"/>
  <c r="H114" i="49"/>
  <c r="S114" i="49" s="1"/>
  <c r="H113" i="65"/>
  <c r="P113" i="65" s="1"/>
  <c r="H67" i="65"/>
  <c r="P67" i="65" s="1"/>
  <c r="H68" i="49"/>
  <c r="S68" i="49" s="1"/>
  <c r="H85" i="65"/>
  <c r="P85" i="65" s="1"/>
  <c r="H86" i="49"/>
  <c r="S86" i="49" s="1"/>
  <c r="H84" i="65"/>
  <c r="P84" i="65" s="1"/>
  <c r="H85" i="49"/>
  <c r="S85" i="49" s="1"/>
  <c r="H115" i="65"/>
  <c r="P115" i="65" s="1"/>
  <c r="H116" i="49"/>
  <c r="S116" i="49" s="1"/>
  <c r="H74" i="65"/>
  <c r="P74" i="65" s="1"/>
  <c r="H75" i="49"/>
  <c r="S75" i="49" s="1"/>
  <c r="H77" i="49"/>
  <c r="S77" i="49" s="1"/>
  <c r="H76" i="65"/>
  <c r="P76" i="65" s="1"/>
  <c r="H128" i="49"/>
  <c r="S128" i="49" s="1"/>
  <c r="H127" i="65"/>
  <c r="P127" i="65" s="1"/>
  <c r="H74" i="49"/>
  <c r="S74" i="49" s="1"/>
  <c r="H73" i="65"/>
  <c r="P73" i="65" s="1"/>
  <c r="H61" i="65"/>
  <c r="P61" i="65" s="1"/>
  <c r="H62" i="49"/>
  <c r="H89" i="65"/>
  <c r="P89" i="65" s="1"/>
  <c r="H90" i="49"/>
  <c r="S90" i="49" s="1"/>
  <c r="H72" i="65"/>
  <c r="P72" i="65" s="1"/>
  <c r="H73" i="49"/>
  <c r="S73" i="49" s="1"/>
  <c r="H132" i="65"/>
  <c r="P132" i="65" s="1"/>
  <c r="H133" i="49"/>
  <c r="S133" i="49" s="1"/>
  <c r="H111" i="65"/>
  <c r="P111" i="65" s="1"/>
  <c r="H112" i="49"/>
  <c r="S112" i="49" s="1"/>
  <c r="H106" i="65"/>
  <c r="P106" i="65" s="1"/>
  <c r="H107" i="49"/>
  <c r="S107" i="49" s="1"/>
  <c r="H108" i="49"/>
  <c r="S108" i="49" s="1"/>
  <c r="H107" i="65"/>
  <c r="P107" i="65" s="1"/>
  <c r="H105" i="49"/>
  <c r="S105" i="49" s="1"/>
  <c r="H104" i="65"/>
  <c r="P104" i="65" s="1"/>
  <c r="H103" i="49"/>
  <c r="S103" i="49" s="1"/>
  <c r="H102" i="65"/>
  <c r="P102" i="65" s="1"/>
  <c r="H101" i="49"/>
  <c r="S101" i="49" s="1"/>
  <c r="H100" i="65"/>
  <c r="P100" i="65" s="1"/>
  <c r="H105" i="65"/>
  <c r="P105" i="65" s="1"/>
  <c r="H106" i="49"/>
  <c r="S106" i="49" s="1"/>
  <c r="H102" i="49"/>
  <c r="S102" i="49" s="1"/>
  <c r="H101" i="65"/>
  <c r="P101" i="65" s="1"/>
  <c r="H104" i="49"/>
  <c r="S104" i="49" s="1"/>
  <c r="H103" i="65"/>
  <c r="P103" i="65" s="1"/>
  <c r="H99" i="65"/>
  <c r="P99" i="65" s="1"/>
  <c r="H100" i="49"/>
  <c r="S100" i="49" s="1"/>
  <c r="H98" i="65"/>
  <c r="P98" i="65" s="1"/>
  <c r="H99" i="49"/>
  <c r="S99" i="49" s="1"/>
  <c r="H98" i="49"/>
  <c r="H97" i="65"/>
  <c r="R92" i="44"/>
  <c r="S92" i="44" s="1"/>
  <c r="H92" i="44" s="1"/>
  <c r="J94" i="65" s="1"/>
  <c r="S94" i="65" s="1"/>
  <c r="R100" i="44"/>
  <c r="S100" i="44" s="1"/>
  <c r="H100" i="44" s="1"/>
  <c r="J102" i="65" s="1"/>
  <c r="S102" i="65" s="1"/>
  <c r="R110" i="44"/>
  <c r="S110" i="44" s="1"/>
  <c r="R38" i="44"/>
  <c r="S38" i="44" s="1"/>
  <c r="R52" i="44"/>
  <c r="S52" i="44" s="1"/>
  <c r="H52" i="44" s="1"/>
  <c r="J54" i="65" s="1"/>
  <c r="S54" i="65" s="1"/>
  <c r="R55" i="44"/>
  <c r="S55" i="44" s="1"/>
  <c r="R87" i="44"/>
  <c r="S87" i="44" s="1"/>
  <c r="R79" i="44"/>
  <c r="S79" i="44" s="1"/>
  <c r="H79" i="44" s="1"/>
  <c r="J81" i="65" s="1"/>
  <c r="S81" i="65" s="1"/>
  <c r="R15" i="44"/>
  <c r="S15" i="44" s="1"/>
  <c r="R101" i="44"/>
  <c r="S101" i="44" s="1"/>
  <c r="H101" i="44" s="1"/>
  <c r="J103" i="65" s="1"/>
  <c r="S103" i="65" s="1"/>
  <c r="R126" i="44"/>
  <c r="S126" i="44" s="1"/>
  <c r="R109" i="44"/>
  <c r="S109" i="44" s="1"/>
  <c r="R105" i="44"/>
  <c r="S105" i="44" s="1"/>
  <c r="H105" i="44" s="1"/>
  <c r="J107" i="65" s="1"/>
  <c r="S107" i="65" s="1"/>
  <c r="R112" i="44"/>
  <c r="S112" i="44" s="1"/>
  <c r="R121" i="44"/>
  <c r="S121" i="44" s="1"/>
  <c r="H121" i="44" s="1"/>
  <c r="J123" i="65" s="1"/>
  <c r="S123" i="65" s="1"/>
  <c r="R39" i="44"/>
  <c r="S39" i="44" s="1"/>
  <c r="H39" i="44" s="1"/>
  <c r="J41" i="65" s="1"/>
  <c r="S41" i="65" s="1"/>
  <c r="R70" i="44"/>
  <c r="S70" i="44" s="1"/>
  <c r="R130" i="44"/>
  <c r="S130" i="44" s="1"/>
  <c r="R28" i="44"/>
  <c r="S28" i="44" s="1"/>
  <c r="H28" i="44" s="1"/>
  <c r="J30" i="65" s="1"/>
  <c r="S30" i="65" s="1"/>
  <c r="R98" i="44"/>
  <c r="S98" i="44" s="1"/>
  <c r="H98" i="44" s="1"/>
  <c r="J100" i="65" s="1"/>
  <c r="S100" i="65" s="1"/>
  <c r="R14" i="44"/>
  <c r="S14" i="44" s="1"/>
  <c r="H14" i="44" s="1"/>
  <c r="J16" i="65" s="1"/>
  <c r="S16" i="65" s="1"/>
  <c r="R82" i="44"/>
  <c r="S82" i="44" s="1"/>
  <c r="H82" i="44" s="1"/>
  <c r="J84" i="65" s="1"/>
  <c r="S84" i="65" s="1"/>
  <c r="R26" i="44"/>
  <c r="S26" i="44" s="1"/>
  <c r="R57" i="44"/>
  <c r="S57" i="44" s="1"/>
  <c r="R32" i="44"/>
  <c r="S32" i="44" s="1"/>
  <c r="R72" i="44"/>
  <c r="S72" i="44" s="1"/>
  <c r="H72" i="44" s="1"/>
  <c r="J74" i="65" s="1"/>
  <c r="S74" i="65" s="1"/>
  <c r="R59" i="44"/>
  <c r="S59" i="44" s="1"/>
  <c r="H59" i="44" s="1"/>
  <c r="J61" i="65" s="1"/>
  <c r="S61" i="65" s="1"/>
  <c r="R113" i="44"/>
  <c r="S113" i="44" s="1"/>
  <c r="R12" i="44"/>
  <c r="S12" i="44" s="1"/>
  <c r="H12" i="44" s="1"/>
  <c r="J14" i="65" s="1"/>
  <c r="S14" i="65" s="1"/>
  <c r="R102" i="44"/>
  <c r="S102" i="44" s="1"/>
  <c r="R18" i="44"/>
  <c r="S18" i="44" s="1"/>
  <c r="H18" i="44" s="1"/>
  <c r="J20" i="65" s="1"/>
  <c r="S20" i="65" s="1"/>
  <c r="R115" i="44"/>
  <c r="S115" i="44" s="1"/>
  <c r="H115" i="44" s="1"/>
  <c r="J117" i="65" s="1"/>
  <c r="S117" i="65" s="1"/>
  <c r="R133" i="44"/>
  <c r="S133" i="44" s="1"/>
  <c r="H133" i="44" s="1"/>
  <c r="J135" i="65" s="1"/>
  <c r="R83" i="44"/>
  <c r="S83" i="44" s="1"/>
  <c r="R64" i="44"/>
  <c r="S64" i="44" s="1"/>
  <c r="H64" i="44" s="1"/>
  <c r="J66" i="65" s="1"/>
  <c r="S66" i="65" s="1"/>
  <c r="R137" i="44"/>
  <c r="S137" i="44" s="1"/>
  <c r="H137" i="44" s="1"/>
  <c r="J139" i="65" s="1"/>
  <c r="R134" i="44"/>
  <c r="S134" i="44" s="1"/>
  <c r="H134" i="44" s="1"/>
  <c r="J136" i="65" s="1"/>
  <c r="R42" i="44"/>
  <c r="S42" i="44" s="1"/>
  <c r="H42" i="44" s="1"/>
  <c r="J44" i="65" s="1"/>
  <c r="S44" i="65" s="1"/>
  <c r="R95" i="44"/>
  <c r="S95" i="44" s="1"/>
  <c r="H95" i="44" s="1"/>
  <c r="J97" i="65" s="1"/>
  <c r="R40" i="44"/>
  <c r="S40" i="44" s="1"/>
  <c r="H40" i="44" s="1"/>
  <c r="J42" i="65" s="1"/>
  <c r="S42" i="65" s="1"/>
  <c r="R78" i="44"/>
  <c r="S78" i="44" s="1"/>
  <c r="H78" i="44" s="1"/>
  <c r="J80" i="65" s="1"/>
  <c r="S80" i="65" s="1"/>
  <c r="R60" i="44"/>
  <c r="S60" i="44" s="1"/>
  <c r="H60" i="44" s="1"/>
  <c r="J62" i="65" s="1"/>
  <c r="S62" i="65" s="1"/>
  <c r="R103" i="44"/>
  <c r="S103" i="44" s="1"/>
  <c r="R44" i="44"/>
  <c r="S44" i="44" s="1"/>
  <c r="H44" i="44" s="1"/>
  <c r="J46" i="65" s="1"/>
  <c r="S46" i="65" s="1"/>
  <c r="R31" i="44"/>
  <c r="S31" i="44" s="1"/>
  <c r="H31" i="44" s="1"/>
  <c r="J33" i="65" s="1"/>
  <c r="S33" i="65" s="1"/>
  <c r="R66" i="44"/>
  <c r="S66" i="44" s="1"/>
  <c r="R30" i="44"/>
  <c r="S30" i="44" s="1"/>
  <c r="H30" i="44" s="1"/>
  <c r="J32" i="65" s="1"/>
  <c r="S32" i="65" s="1"/>
  <c r="R68" i="44"/>
  <c r="S68" i="44" s="1"/>
  <c r="H68" i="44" s="1"/>
  <c r="J70" i="65" s="1"/>
  <c r="S70" i="65" s="1"/>
  <c r="R132" i="44"/>
  <c r="S132" i="44" s="1"/>
  <c r="H132" i="44" s="1"/>
  <c r="J134" i="65" s="1"/>
  <c r="R19" i="44"/>
  <c r="S19" i="44" s="1"/>
  <c r="H19" i="44" s="1"/>
  <c r="J21" i="65" s="1"/>
  <c r="S21" i="65" s="1"/>
  <c r="R116" i="44"/>
  <c r="S116" i="44" s="1"/>
  <c r="R96" i="44"/>
  <c r="S96" i="44" s="1"/>
  <c r="H96" i="44" s="1"/>
  <c r="J98" i="65" s="1"/>
  <c r="S98" i="65" s="1"/>
  <c r="R22" i="44"/>
  <c r="S22" i="44" s="1"/>
  <c r="H22" i="44" s="1"/>
  <c r="J24" i="65" s="1"/>
  <c r="S24" i="65" s="1"/>
  <c r="R46" i="44"/>
  <c r="S46" i="44" s="1"/>
  <c r="H46" i="44" s="1"/>
  <c r="J48" i="65" s="1"/>
  <c r="S48" i="65" s="1"/>
  <c r="R123" i="44"/>
  <c r="S123" i="44" s="1"/>
  <c r="H123" i="44" s="1"/>
  <c r="J125" i="65" s="1"/>
  <c r="S125" i="65" s="1"/>
  <c r="R129" i="44"/>
  <c r="S129" i="44" s="1"/>
  <c r="H129" i="44" s="1"/>
  <c r="J131" i="65" s="1"/>
  <c r="S131" i="65" s="1"/>
  <c r="R90" i="44"/>
  <c r="S90" i="44" s="1"/>
  <c r="H90" i="44" s="1"/>
  <c r="J92" i="65" s="1"/>
  <c r="S92" i="65" s="1"/>
  <c r="R29" i="44"/>
  <c r="S29" i="44" s="1"/>
  <c r="H29" i="44" s="1"/>
  <c r="J31" i="65" s="1"/>
  <c r="S31" i="65" s="1"/>
  <c r="R53" i="44"/>
  <c r="S53" i="44" s="1"/>
  <c r="R65" i="44"/>
  <c r="S65" i="44" s="1"/>
  <c r="H65" i="44" s="1"/>
  <c r="J67" i="65" s="1"/>
  <c r="S67" i="65" s="1"/>
  <c r="R89" i="44"/>
  <c r="S89" i="44" s="1"/>
  <c r="R94" i="44"/>
  <c r="S94" i="44" s="1"/>
  <c r="H94" i="44" s="1"/>
  <c r="J96" i="65" s="1"/>
  <c r="S96" i="65" s="1"/>
  <c r="R47" i="44"/>
  <c r="S47" i="44" s="1"/>
  <c r="R122" i="44"/>
  <c r="S122" i="44" s="1"/>
  <c r="H122" i="44" s="1"/>
  <c r="J124" i="65" s="1"/>
  <c r="S124" i="65" s="1"/>
  <c r="R48" i="44"/>
  <c r="S48" i="44" s="1"/>
  <c r="H48" i="44" s="1"/>
  <c r="J50" i="65" s="1"/>
  <c r="S50" i="65" s="1"/>
  <c r="R75" i="44"/>
  <c r="S75" i="44" s="1"/>
  <c r="H75" i="44" s="1"/>
  <c r="J77" i="65" s="1"/>
  <c r="S77" i="65" s="1"/>
  <c r="R104" i="44"/>
  <c r="S104" i="44" s="1"/>
  <c r="H104" i="44" s="1"/>
  <c r="J106" i="65" s="1"/>
  <c r="S106" i="65" s="1"/>
  <c r="R97" i="44"/>
  <c r="S97" i="44" s="1"/>
  <c r="H97" i="44" s="1"/>
  <c r="J99" i="65" s="1"/>
  <c r="S99" i="65" s="1"/>
  <c r="R86" i="44"/>
  <c r="S86" i="44" s="1"/>
  <c r="R119" i="44"/>
  <c r="S119" i="44" s="1"/>
  <c r="R117" i="44"/>
  <c r="S117" i="44" s="1"/>
  <c r="H117" i="44" s="1"/>
  <c r="J119" i="65" s="1"/>
  <c r="S119" i="65" s="1"/>
  <c r="R23" i="44"/>
  <c r="S23" i="44" s="1"/>
  <c r="H23" i="44" s="1"/>
  <c r="J25" i="65" s="1"/>
  <c r="S25" i="65" s="1"/>
  <c r="R108" i="44"/>
  <c r="S108" i="44" s="1"/>
  <c r="R56" i="44"/>
  <c r="S56" i="44" s="1"/>
  <c r="H56" i="44" s="1"/>
  <c r="J58" i="65" s="1"/>
  <c r="S58" i="65" s="1"/>
  <c r="R111" i="44"/>
  <c r="S111" i="44" s="1"/>
  <c r="H111" i="44" s="1"/>
  <c r="J113" i="65" s="1"/>
  <c r="S113" i="65" s="1"/>
  <c r="R71" i="44"/>
  <c r="S71" i="44" s="1"/>
  <c r="H71" i="44" s="1"/>
  <c r="J73" i="65" s="1"/>
  <c r="S73" i="65" s="1"/>
  <c r="R37" i="44"/>
  <c r="S37" i="44" s="1"/>
  <c r="H37" i="44" s="1"/>
  <c r="J39" i="65" s="1"/>
  <c r="S39" i="65" s="1"/>
  <c r="R25" i="44"/>
  <c r="S25" i="44" s="1"/>
  <c r="H25" i="44" s="1"/>
  <c r="J27" i="65" s="1"/>
  <c r="S27" i="65" s="1"/>
  <c r="R77" i="44"/>
  <c r="S77" i="44" s="1"/>
  <c r="R16" i="44"/>
  <c r="S16" i="44" s="1"/>
  <c r="R120" i="44"/>
  <c r="S120" i="44" s="1"/>
  <c r="R62" i="44"/>
  <c r="S62" i="44" s="1"/>
  <c r="H62" i="44" s="1"/>
  <c r="J64" i="65" s="1"/>
  <c r="S64" i="65" s="1"/>
  <c r="R128" i="44"/>
  <c r="S128" i="44" s="1"/>
  <c r="R49" i="44"/>
  <c r="S49" i="44" s="1"/>
  <c r="H49" i="44" s="1"/>
  <c r="J51" i="65" s="1"/>
  <c r="S51" i="65" s="1"/>
  <c r="R84" i="44"/>
  <c r="S84" i="44" s="1"/>
  <c r="R27" i="44"/>
  <c r="S27" i="44" s="1"/>
  <c r="R135" i="44"/>
  <c r="S135" i="44" s="1"/>
  <c r="H135" i="44" s="1"/>
  <c r="J137" i="65" s="1"/>
  <c r="R136" i="44"/>
  <c r="S136" i="44" s="1"/>
  <c r="H136" i="44" s="1"/>
  <c r="J138" i="65" s="1"/>
  <c r="R85" i="44"/>
  <c r="S85" i="44" s="1"/>
  <c r="H85" i="44" s="1"/>
  <c r="J87" i="65" s="1"/>
  <c r="S87" i="65" s="1"/>
  <c r="R35" i="44"/>
  <c r="S35" i="44" s="1"/>
  <c r="R76" i="44"/>
  <c r="S76" i="44" s="1"/>
  <c r="R125" i="44"/>
  <c r="S125" i="44" s="1"/>
  <c r="H125" i="44" s="1"/>
  <c r="J127" i="65" s="1"/>
  <c r="S127" i="65" s="1"/>
  <c r="R34" i="44"/>
  <c r="S34" i="44" s="1"/>
  <c r="R107" i="44"/>
  <c r="S107" i="44" s="1"/>
  <c r="R20" i="44"/>
  <c r="S20" i="44" s="1"/>
  <c r="R43" i="44"/>
  <c r="S43" i="44" s="1"/>
  <c r="H43" i="44" s="1"/>
  <c r="J45" i="65" s="1"/>
  <c r="S45" i="65" s="1"/>
  <c r="R33" i="44"/>
  <c r="S33" i="44" s="1"/>
  <c r="R74" i="44"/>
  <c r="S74" i="44" s="1"/>
  <c r="H74" i="44" s="1"/>
  <c r="J76" i="65" s="1"/>
  <c r="S76" i="65" s="1"/>
  <c r="R118" i="44"/>
  <c r="S118" i="44" s="1"/>
  <c r="H118" i="44" s="1"/>
  <c r="J120" i="65" s="1"/>
  <c r="S120" i="65" s="1"/>
  <c r="R63" i="44"/>
  <c r="S63" i="44" s="1"/>
  <c r="H63" i="44" s="1"/>
  <c r="J65" i="65" s="1"/>
  <c r="S65" i="65" s="1"/>
  <c r="R69" i="44"/>
  <c r="S69" i="44" s="1"/>
  <c r="H69" i="44" s="1"/>
  <c r="J71" i="65" s="1"/>
  <c r="S71" i="65" s="1"/>
  <c r="R45" i="44"/>
  <c r="S45" i="44" s="1"/>
  <c r="H45" i="44" s="1"/>
  <c r="J47" i="65" s="1"/>
  <c r="S47" i="65" s="1"/>
  <c r="R131" i="44"/>
  <c r="S131" i="44" s="1"/>
  <c r="H131" i="44" s="1"/>
  <c r="J133" i="65" s="1"/>
  <c r="S133" i="65" s="1"/>
  <c r="R106" i="44"/>
  <c r="S106" i="44" s="1"/>
  <c r="R99" i="44"/>
  <c r="S99" i="44" s="1"/>
  <c r="R124" i="44"/>
  <c r="S124" i="44" s="1"/>
  <c r="H124" i="44" s="1"/>
  <c r="J126" i="65" s="1"/>
  <c r="S126" i="65" s="1"/>
  <c r="R81" i="44"/>
  <c r="S81" i="44" s="1"/>
  <c r="H81" i="44" s="1"/>
  <c r="J83" i="65" s="1"/>
  <c r="S83" i="65" s="1"/>
  <c r="R73" i="44"/>
  <c r="S73" i="44" s="1"/>
  <c r="H73" i="44" s="1"/>
  <c r="J75" i="65" s="1"/>
  <c r="S75" i="65" s="1"/>
  <c r="R50" i="44"/>
  <c r="S50" i="44" s="1"/>
  <c r="R114" i="44"/>
  <c r="S114" i="44" s="1"/>
  <c r="R58" i="44"/>
  <c r="S58" i="44" s="1"/>
  <c r="H58" i="44" s="1"/>
  <c r="J60" i="65" s="1"/>
  <c r="S60" i="65" s="1"/>
  <c r="R80" i="44"/>
  <c r="S80" i="44" s="1"/>
  <c r="H80" i="44" s="1"/>
  <c r="J82" i="65" s="1"/>
  <c r="S82" i="65" s="1"/>
  <c r="R24" i="44"/>
  <c r="S24" i="44" s="1"/>
  <c r="H24" i="44" s="1"/>
  <c r="J26" i="65" s="1"/>
  <c r="S26" i="65" s="1"/>
  <c r="R17" i="44"/>
  <c r="S17" i="44" s="1"/>
  <c r="H17" i="44" s="1"/>
  <c r="J19" i="65" s="1"/>
  <c r="S19" i="65"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40" i="50"/>
  <c r="I102" i="50"/>
  <c r="I124" i="50"/>
  <c r="I127" i="50"/>
  <c r="I58" i="50"/>
  <c r="I139" i="50"/>
  <c r="I57" i="50"/>
  <c r="I71" i="50"/>
  <c r="I76" i="50"/>
  <c r="I83" i="50"/>
  <c r="I121" i="50"/>
  <c r="I115" i="50"/>
  <c r="I28" i="50"/>
  <c r="I104" i="50"/>
  <c r="M57" i="50"/>
  <c r="I128" i="50"/>
  <c r="I74" i="50"/>
  <c r="I106" i="50"/>
  <c r="I62" i="50"/>
  <c r="I18" i="50"/>
  <c r="I35" i="50"/>
  <c r="I52" i="50"/>
  <c r="I43" i="50"/>
  <c r="I90" i="50"/>
  <c r="I108" i="50"/>
  <c r="I73" i="50"/>
  <c r="I99" i="50"/>
  <c r="AD5" i="63" s="1"/>
  <c r="AG5" i="63" s="1"/>
  <c r="AH5" i="63" s="1"/>
  <c r="I133" i="50"/>
  <c r="I112" i="50"/>
  <c r="I138" i="50"/>
  <c r="I81" i="50"/>
  <c r="I47" i="50"/>
  <c r="I55" i="50"/>
  <c r="I37" i="50"/>
  <c r="I45" i="50"/>
  <c r="I136" i="50"/>
  <c r="I107" i="50"/>
  <c r="I29" i="50"/>
  <c r="I23" i="50"/>
  <c r="I53" i="50"/>
  <c r="I67" i="50"/>
  <c r="I41" i="50"/>
  <c r="I27" i="50"/>
  <c r="I95" i="50"/>
  <c r="I134" i="50"/>
  <c r="I89" i="50"/>
  <c r="I118" i="50"/>
  <c r="I100" i="50"/>
  <c r="I36" i="50"/>
  <c r="I50" i="50"/>
  <c r="I119" i="50"/>
  <c r="I94" i="50"/>
  <c r="I109" i="50"/>
  <c r="I30" i="50"/>
  <c r="I49" i="50"/>
  <c r="I117" i="50"/>
  <c r="I98" i="50"/>
  <c r="AA5" i="56" s="1"/>
  <c r="AD5" i="56" s="1"/>
  <c r="I135" i="50"/>
  <c r="I82" i="50"/>
  <c r="I114" i="50"/>
  <c r="I80" i="50"/>
  <c r="I93" i="50"/>
  <c r="I63" i="50"/>
  <c r="I61" i="50"/>
  <c r="I123" i="50"/>
  <c r="I56" i="50"/>
  <c r="I132" i="50"/>
  <c r="I79" i="50"/>
  <c r="I31" i="50"/>
  <c r="I131" i="50"/>
  <c r="I33" i="50"/>
  <c r="R69" i="46"/>
  <c r="S69" i="46" s="1"/>
  <c r="H69" i="46" s="1"/>
  <c r="L71" i="65" s="1"/>
  <c r="U71" i="65" s="1"/>
  <c r="R23" i="46"/>
  <c r="S23" i="46" s="1"/>
  <c r="H23" i="46" s="1"/>
  <c r="L25" i="65" s="1"/>
  <c r="U25" i="65" s="1"/>
  <c r="R136" i="46"/>
  <c r="S136" i="46" s="1"/>
  <c r="H136" i="46" s="1"/>
  <c r="L138" i="65" s="1"/>
  <c r="U138" i="65" s="1"/>
  <c r="R95" i="46"/>
  <c r="S95" i="46" s="1"/>
  <c r="H95" i="46" s="1"/>
  <c r="L97" i="65" s="1"/>
  <c r="R22" i="46"/>
  <c r="S22" i="46" s="1"/>
  <c r="H22" i="46" s="1"/>
  <c r="L24" i="65" s="1"/>
  <c r="U24" i="65" s="1"/>
  <c r="R33" i="46"/>
  <c r="S33" i="46" s="1"/>
  <c r="H33" i="46" s="1"/>
  <c r="L35" i="65" s="1"/>
  <c r="U35" i="65" s="1"/>
  <c r="R118" i="46"/>
  <c r="S118" i="46" s="1"/>
  <c r="H118" i="46" s="1"/>
  <c r="L120" i="65" s="1"/>
  <c r="U120" i="65" s="1"/>
  <c r="R18" i="46"/>
  <c r="S18" i="46" s="1"/>
  <c r="H18" i="46" s="1"/>
  <c r="L20" i="65" s="1"/>
  <c r="U20" i="65" s="1"/>
  <c r="R96" i="46"/>
  <c r="S96" i="46" s="1"/>
  <c r="H96" i="46" s="1"/>
  <c r="L98" i="65" s="1"/>
  <c r="U98" i="65" s="1"/>
  <c r="R59" i="46"/>
  <c r="S59" i="46" s="1"/>
  <c r="H59" i="46" s="1"/>
  <c r="L61" i="65" s="1"/>
  <c r="U61" i="65" s="1"/>
  <c r="R99" i="46"/>
  <c r="S99" i="46" s="1"/>
  <c r="H99" i="46" s="1"/>
  <c r="L101" i="65" s="1"/>
  <c r="U101" i="65" s="1"/>
  <c r="R114" i="46"/>
  <c r="S114" i="46" s="1"/>
  <c r="H114" i="46" s="1"/>
  <c r="L116" i="65" s="1"/>
  <c r="U116" i="65" s="1"/>
  <c r="R46" i="46"/>
  <c r="S46" i="46" s="1"/>
  <c r="H46" i="46" s="1"/>
  <c r="L48" i="65" s="1"/>
  <c r="U48" i="65" s="1"/>
  <c r="R65" i="46"/>
  <c r="S65" i="46" s="1"/>
  <c r="H65" i="46" s="1"/>
  <c r="L67" i="65" s="1"/>
  <c r="U67" i="65" s="1"/>
  <c r="R53" i="46"/>
  <c r="S53" i="46" s="1"/>
  <c r="H53" i="46" s="1"/>
  <c r="L55" i="65" s="1"/>
  <c r="U55" i="65" s="1"/>
  <c r="R63" i="46"/>
  <c r="S63" i="46" s="1"/>
  <c r="H63" i="46" s="1"/>
  <c r="L65" i="65" s="1"/>
  <c r="U65" i="65" s="1"/>
  <c r="R137" i="46"/>
  <c r="S137" i="46" s="1"/>
  <c r="H137" i="46" s="1"/>
  <c r="L139" i="65" s="1"/>
  <c r="U139" i="65" s="1"/>
  <c r="R133" i="46"/>
  <c r="S133" i="46" s="1"/>
  <c r="H133" i="46" s="1"/>
  <c r="L135" i="65" s="1"/>
  <c r="U135" i="65" s="1"/>
  <c r="R66" i="46"/>
  <c r="S66" i="46" s="1"/>
  <c r="H66" i="46" s="1"/>
  <c r="L68" i="65" s="1"/>
  <c r="U68" i="65" s="1"/>
  <c r="R135" i="46"/>
  <c r="S135" i="46" s="1"/>
  <c r="H135" i="46" s="1"/>
  <c r="L137" i="65" s="1"/>
  <c r="U137" i="65" s="1"/>
  <c r="R132" i="46"/>
  <c r="S132" i="46" s="1"/>
  <c r="H132" i="46" s="1"/>
  <c r="L134" i="65" s="1"/>
  <c r="U134" i="65" s="1"/>
  <c r="R27" i="46"/>
  <c r="S27" i="46" s="1"/>
  <c r="H27" i="46" s="1"/>
  <c r="L29" i="65" s="1"/>
  <c r="U29" i="65" s="1"/>
  <c r="R55" i="46"/>
  <c r="S55" i="46" s="1"/>
  <c r="H55" i="46" s="1"/>
  <c r="L57" i="65" s="1"/>
  <c r="U57" i="65" s="1"/>
  <c r="R91" i="46"/>
  <c r="S91" i="46" s="1"/>
  <c r="H91" i="46" s="1"/>
  <c r="L93" i="65" s="1"/>
  <c r="U93" i="65" s="1"/>
  <c r="R24" i="46"/>
  <c r="S24" i="46" s="1"/>
  <c r="H24" i="46" s="1"/>
  <c r="L26" i="65" s="1"/>
  <c r="U26" i="65" s="1"/>
  <c r="R129" i="46"/>
  <c r="S129" i="46" s="1"/>
  <c r="H129" i="46" s="1"/>
  <c r="L131" i="65" s="1"/>
  <c r="U131" i="65" s="1"/>
  <c r="R45" i="46"/>
  <c r="S45" i="46" s="1"/>
  <c r="H45" i="46" s="1"/>
  <c r="L47" i="65" s="1"/>
  <c r="U47" i="65" s="1"/>
  <c r="R73" i="46"/>
  <c r="S73" i="46" s="1"/>
  <c r="H73" i="46" s="1"/>
  <c r="L75" i="65" s="1"/>
  <c r="U75" i="65" s="1"/>
  <c r="R106" i="46"/>
  <c r="S106" i="46" s="1"/>
  <c r="H106" i="46" s="1"/>
  <c r="L108" i="65" s="1"/>
  <c r="U108" i="65" s="1"/>
  <c r="R94" i="46"/>
  <c r="S94" i="46" s="1"/>
  <c r="H94" i="46" s="1"/>
  <c r="L96" i="65" s="1"/>
  <c r="U96" i="65" s="1"/>
  <c r="R108" i="46"/>
  <c r="S108" i="46" s="1"/>
  <c r="H108" i="46" s="1"/>
  <c r="L110" i="65" s="1"/>
  <c r="U110" i="65" s="1"/>
  <c r="R113" i="46"/>
  <c r="S113" i="46" s="1"/>
  <c r="H113" i="46" s="1"/>
  <c r="L115" i="65" s="1"/>
  <c r="U115" i="65" s="1"/>
  <c r="R85" i="46"/>
  <c r="S85" i="46" s="1"/>
  <c r="H85" i="46" s="1"/>
  <c r="L87" i="65" s="1"/>
  <c r="U87" i="65" s="1"/>
  <c r="R38" i="46"/>
  <c r="S38" i="46" s="1"/>
  <c r="H38" i="46" s="1"/>
  <c r="L40" i="65" s="1"/>
  <c r="U40" i="65" s="1"/>
  <c r="R37" i="46"/>
  <c r="S37" i="46" s="1"/>
  <c r="H37" i="46" s="1"/>
  <c r="L39" i="65" s="1"/>
  <c r="U39" i="65" s="1"/>
  <c r="R117" i="46"/>
  <c r="S117" i="46" s="1"/>
  <c r="H117" i="46" s="1"/>
  <c r="L119" i="65" s="1"/>
  <c r="U119" i="65" s="1"/>
  <c r="R64" i="46"/>
  <c r="S64" i="46" s="1"/>
  <c r="H64" i="46" s="1"/>
  <c r="L66" i="65" s="1"/>
  <c r="U66" i="65" s="1"/>
  <c r="R101" i="46"/>
  <c r="S101" i="46" s="1"/>
  <c r="H101" i="46" s="1"/>
  <c r="L103" i="65" s="1"/>
  <c r="U103" i="65" s="1"/>
  <c r="R70" i="46"/>
  <c r="S70" i="46" s="1"/>
  <c r="H70" i="46" s="1"/>
  <c r="L72" i="65" s="1"/>
  <c r="U72" i="65" s="1"/>
  <c r="R128" i="46"/>
  <c r="S128" i="46" s="1"/>
  <c r="H128" i="46" s="1"/>
  <c r="L130" i="65" s="1"/>
  <c r="U130" i="65" s="1"/>
  <c r="R121" i="46"/>
  <c r="S121" i="46" s="1"/>
  <c r="H121" i="46" s="1"/>
  <c r="L123" i="65" s="1"/>
  <c r="U123" i="65" s="1"/>
  <c r="R50" i="46"/>
  <c r="S50" i="46" s="1"/>
  <c r="H50" i="46" s="1"/>
  <c r="L52" i="65" s="1"/>
  <c r="U52" i="65" s="1"/>
  <c r="R68" i="46"/>
  <c r="S68" i="46" s="1"/>
  <c r="H68" i="46" s="1"/>
  <c r="L70" i="65" s="1"/>
  <c r="U70" i="65" s="1"/>
  <c r="R104" i="46"/>
  <c r="S104" i="46" s="1"/>
  <c r="H104" i="46" s="1"/>
  <c r="L106" i="65" s="1"/>
  <c r="U106" i="65" s="1"/>
  <c r="R34" i="46"/>
  <c r="S34" i="46" s="1"/>
  <c r="H34" i="46" s="1"/>
  <c r="L36" i="65" s="1"/>
  <c r="U36" i="65" s="1"/>
  <c r="R115" i="46"/>
  <c r="S115" i="46" s="1"/>
  <c r="H115" i="46" s="1"/>
  <c r="L117" i="65" s="1"/>
  <c r="U117" i="65" s="1"/>
  <c r="R14" i="46"/>
  <c r="S14" i="46" s="1"/>
  <c r="H14" i="46" s="1"/>
  <c r="L16" i="65" s="1"/>
  <c r="U16" i="65" s="1"/>
  <c r="R26" i="46"/>
  <c r="S26" i="46" s="1"/>
  <c r="H26" i="46" s="1"/>
  <c r="L28" i="65" s="1"/>
  <c r="U28" i="65" s="1"/>
  <c r="R98" i="46"/>
  <c r="S98" i="46" s="1"/>
  <c r="H98" i="46" s="1"/>
  <c r="L100" i="65" s="1"/>
  <c r="U100" i="65" s="1"/>
  <c r="R52" i="46"/>
  <c r="S52" i="46" s="1"/>
  <c r="H52" i="46" s="1"/>
  <c r="L54" i="65" s="1"/>
  <c r="U54" i="65" s="1"/>
  <c r="R78" i="46"/>
  <c r="S78" i="46" s="1"/>
  <c r="H78" i="46" s="1"/>
  <c r="L80" i="65" s="1"/>
  <c r="U80" i="65" s="1"/>
  <c r="R87" i="46"/>
  <c r="S87" i="46" s="1"/>
  <c r="H87" i="46" s="1"/>
  <c r="L89" i="65" s="1"/>
  <c r="U89" i="65" s="1"/>
  <c r="R103" i="46"/>
  <c r="S103" i="46" s="1"/>
  <c r="H103" i="46" s="1"/>
  <c r="L105" i="65" s="1"/>
  <c r="U105" i="65" s="1"/>
  <c r="R75" i="46"/>
  <c r="S75" i="46" s="1"/>
  <c r="H75" i="46" s="1"/>
  <c r="L77" i="65" s="1"/>
  <c r="U77" i="65" s="1"/>
  <c r="R17" i="46"/>
  <c r="S17" i="46" s="1"/>
  <c r="H17" i="46" s="1"/>
  <c r="L19" i="65" s="1"/>
  <c r="U19" i="65" s="1"/>
  <c r="R97" i="46"/>
  <c r="S97" i="46" s="1"/>
  <c r="H97" i="46" s="1"/>
  <c r="L99" i="65" s="1"/>
  <c r="U99" i="65" s="1"/>
  <c r="R76" i="46"/>
  <c r="S76" i="46" s="1"/>
  <c r="H76" i="46" s="1"/>
  <c r="L78" i="65" s="1"/>
  <c r="U78" i="65" s="1"/>
  <c r="R81" i="46"/>
  <c r="S81" i="46" s="1"/>
  <c r="H81" i="46" s="1"/>
  <c r="L83" i="65" s="1"/>
  <c r="U83" i="65" s="1"/>
  <c r="R58" i="46"/>
  <c r="S58" i="46" s="1"/>
  <c r="H58" i="46" s="1"/>
  <c r="L60" i="65" s="1"/>
  <c r="U60" i="65" s="1"/>
  <c r="R125" i="46"/>
  <c r="S125" i="46" s="1"/>
  <c r="H125" i="46" s="1"/>
  <c r="L127" i="65" s="1"/>
  <c r="U127" i="65" s="1"/>
  <c r="R92" i="46"/>
  <c r="S92" i="46" s="1"/>
  <c r="H92" i="46" s="1"/>
  <c r="L94" i="65" s="1"/>
  <c r="U94" i="65" s="1"/>
  <c r="R54" i="46"/>
  <c r="S54" i="46" s="1"/>
  <c r="H54" i="46" s="1"/>
  <c r="L56" i="65" s="1"/>
  <c r="U56" i="65" s="1"/>
  <c r="R134" i="46"/>
  <c r="S134" i="46" s="1"/>
  <c r="H134" i="46" s="1"/>
  <c r="L136" i="65" s="1"/>
  <c r="U136" i="65" s="1"/>
  <c r="R47" i="46"/>
  <c r="S47" i="46" s="1"/>
  <c r="H47" i="46" s="1"/>
  <c r="L49" i="65" s="1"/>
  <c r="U49" i="65" s="1"/>
  <c r="R48" i="46"/>
  <c r="S48" i="46" s="1"/>
  <c r="H48" i="46" s="1"/>
  <c r="L50" i="65" s="1"/>
  <c r="U50" i="65" s="1"/>
  <c r="R82" i="46"/>
  <c r="S82" i="46" s="1"/>
  <c r="H82" i="46" s="1"/>
  <c r="L84" i="65" s="1"/>
  <c r="U84" i="65" s="1"/>
  <c r="R111" i="46"/>
  <c r="S111" i="46" s="1"/>
  <c r="H111" i="46" s="1"/>
  <c r="L113" i="65" s="1"/>
  <c r="U113" i="65" s="1"/>
  <c r="R112" i="46"/>
  <c r="S112" i="46" s="1"/>
  <c r="H112" i="46" s="1"/>
  <c r="L114" i="65" s="1"/>
  <c r="U114" i="65" s="1"/>
  <c r="R19" i="46"/>
  <c r="S19" i="46" s="1"/>
  <c r="H19" i="46" s="1"/>
  <c r="L21" i="65" s="1"/>
  <c r="U21" i="65" s="1"/>
  <c r="R35" i="46"/>
  <c r="S35" i="46" s="1"/>
  <c r="H35" i="46" s="1"/>
  <c r="L37" i="65" s="1"/>
  <c r="U37" i="65" s="1"/>
  <c r="R116" i="46"/>
  <c r="S116" i="46" s="1"/>
  <c r="H116" i="46" s="1"/>
  <c r="L118" i="65" s="1"/>
  <c r="U118" i="65" s="1"/>
  <c r="R71" i="46"/>
  <c r="S71" i="46" s="1"/>
  <c r="H71" i="46" s="1"/>
  <c r="L73" i="65" s="1"/>
  <c r="U73" i="65" s="1"/>
  <c r="R20" i="46"/>
  <c r="S20" i="46" s="1"/>
  <c r="H20" i="46" s="1"/>
  <c r="L22" i="65" s="1"/>
  <c r="U22" i="65" s="1"/>
  <c r="R100" i="46"/>
  <c r="S100" i="46" s="1"/>
  <c r="H100" i="46" s="1"/>
  <c r="L102" i="65" s="1"/>
  <c r="U102" i="65" s="1"/>
  <c r="R109" i="46"/>
  <c r="S109" i="46" s="1"/>
  <c r="H109" i="46" s="1"/>
  <c r="L111" i="65" s="1"/>
  <c r="U111" i="65" s="1"/>
  <c r="R56" i="46"/>
  <c r="S56" i="46" s="1"/>
  <c r="H56" i="46" s="1"/>
  <c r="L58" i="65" s="1"/>
  <c r="U58" i="65" s="1"/>
  <c r="R28" i="46"/>
  <c r="S28" i="46" s="1"/>
  <c r="H28" i="46" s="1"/>
  <c r="L30" i="65" s="1"/>
  <c r="U30" i="65" s="1"/>
  <c r="R29" i="46"/>
  <c r="S29" i="46" s="1"/>
  <c r="H29" i="46" s="1"/>
  <c r="L31" i="65" s="1"/>
  <c r="U31" i="65" s="1"/>
  <c r="R62" i="46"/>
  <c r="S62" i="46" s="1"/>
  <c r="H62" i="46" s="1"/>
  <c r="L64" i="65" s="1"/>
  <c r="U64" i="65" s="1"/>
  <c r="R120" i="46"/>
  <c r="S120" i="46" s="1"/>
  <c r="H120" i="46" s="1"/>
  <c r="L122" i="65" s="1"/>
  <c r="U122" i="65" s="1"/>
  <c r="R72" i="46"/>
  <c r="S72" i="46" s="1"/>
  <c r="H72" i="46" s="1"/>
  <c r="L74" i="65" s="1"/>
  <c r="U74" i="65" s="1"/>
  <c r="R42" i="46"/>
  <c r="S42" i="46" s="1"/>
  <c r="H42" i="46" s="1"/>
  <c r="L44" i="65" s="1"/>
  <c r="U44" i="65" s="1"/>
  <c r="R122" i="46"/>
  <c r="S122" i="46" s="1"/>
  <c r="H122" i="46" s="1"/>
  <c r="L124" i="65" s="1"/>
  <c r="U124" i="65" s="1"/>
  <c r="R79" i="46"/>
  <c r="S79" i="46" s="1"/>
  <c r="H79" i="46" s="1"/>
  <c r="L81" i="65" s="1"/>
  <c r="U81" i="65" s="1"/>
  <c r="R105" i="46"/>
  <c r="S105" i="46" s="1"/>
  <c r="H105" i="46" s="1"/>
  <c r="L107" i="65" s="1"/>
  <c r="U107" i="65" s="1"/>
  <c r="R43" i="46"/>
  <c r="S43" i="46" s="1"/>
  <c r="H43" i="46" s="1"/>
  <c r="L45" i="65" s="1"/>
  <c r="U45" i="65" s="1"/>
  <c r="R123" i="46"/>
  <c r="S123" i="46" s="1"/>
  <c r="H123" i="46" s="1"/>
  <c r="L125" i="65" s="1"/>
  <c r="U125" i="65" s="1"/>
  <c r="R86" i="46"/>
  <c r="S86" i="46" s="1"/>
  <c r="H86" i="46" s="1"/>
  <c r="L88" i="65" s="1"/>
  <c r="U88" i="65" s="1"/>
  <c r="R107" i="46"/>
  <c r="S107" i="46" s="1"/>
  <c r="H107" i="46" s="1"/>
  <c r="L109" i="65" s="1"/>
  <c r="U109" i="65" s="1"/>
  <c r="R60" i="46"/>
  <c r="S60" i="46" s="1"/>
  <c r="H60" i="46" s="1"/>
  <c r="L62" i="65" s="1"/>
  <c r="U62" i="65" s="1"/>
  <c r="R15" i="46"/>
  <c r="S15" i="46" s="1"/>
  <c r="H15" i="46" s="1"/>
  <c r="L17" i="65" s="1"/>
  <c r="U17" i="65" s="1"/>
  <c r="R31" i="46"/>
  <c r="S31" i="46" s="1"/>
  <c r="H31" i="46" s="1"/>
  <c r="L33" i="65" s="1"/>
  <c r="U33" i="65" s="1"/>
  <c r="R32" i="46"/>
  <c r="S32" i="46" s="1"/>
  <c r="H32" i="46" s="1"/>
  <c r="L34" i="65" s="1"/>
  <c r="U34" i="65" s="1"/>
  <c r="R16" i="46"/>
  <c r="S16" i="46" s="1"/>
  <c r="H16" i="46" s="1"/>
  <c r="L18" i="65" s="1"/>
  <c r="U18" i="65" s="1"/>
  <c r="R25" i="46"/>
  <c r="S25" i="46" s="1"/>
  <c r="H25" i="46" s="1"/>
  <c r="L27" i="65" s="1"/>
  <c r="U27" i="65" s="1"/>
  <c r="R130" i="46"/>
  <c r="S130" i="46" s="1"/>
  <c r="H130" i="46" s="1"/>
  <c r="L132" i="65" s="1"/>
  <c r="U132" i="65" s="1"/>
  <c r="R84" i="46"/>
  <c r="S84" i="46" s="1"/>
  <c r="H84" i="46" s="1"/>
  <c r="L86" i="65" s="1"/>
  <c r="U86" i="65" s="1"/>
  <c r="R80" i="46"/>
  <c r="S80" i="46" s="1"/>
  <c r="H80" i="46" s="1"/>
  <c r="L82" i="65" s="1"/>
  <c r="U82" i="65" s="1"/>
  <c r="R89" i="46"/>
  <c r="S89" i="46" s="1"/>
  <c r="H89" i="46" s="1"/>
  <c r="L91" i="65" s="1"/>
  <c r="U91" i="65" s="1"/>
  <c r="R131" i="46"/>
  <c r="S131" i="46" s="1"/>
  <c r="H131" i="46" s="1"/>
  <c r="L133" i="65" s="1"/>
  <c r="U133" i="65" s="1"/>
  <c r="R77" i="46"/>
  <c r="S77" i="46" s="1"/>
  <c r="H77" i="46" s="1"/>
  <c r="L79" i="65" s="1"/>
  <c r="U79" i="65" s="1"/>
  <c r="R110" i="46"/>
  <c r="S110" i="46" s="1"/>
  <c r="H110" i="46" s="1"/>
  <c r="L112" i="65" s="1"/>
  <c r="U112" i="65" s="1"/>
  <c r="R119" i="46"/>
  <c r="S119" i="46" s="1"/>
  <c r="H119" i="46" s="1"/>
  <c r="L121" i="65" s="1"/>
  <c r="U121" i="65" s="1"/>
  <c r="R74" i="46"/>
  <c r="S74" i="46" s="1"/>
  <c r="H74" i="46" s="1"/>
  <c r="L76" i="65" s="1"/>
  <c r="U76" i="65" s="1"/>
  <c r="R102" i="46"/>
  <c r="S102" i="46" s="1"/>
  <c r="H102" i="46" s="1"/>
  <c r="L104" i="65" s="1"/>
  <c r="U104" i="65" s="1"/>
  <c r="R39" i="46"/>
  <c r="S39" i="46" s="1"/>
  <c r="H39" i="46" s="1"/>
  <c r="L41" i="65" s="1"/>
  <c r="U41" i="65" s="1"/>
  <c r="R40" i="46"/>
  <c r="S40" i="46" s="1"/>
  <c r="H40" i="46" s="1"/>
  <c r="L42" i="65" s="1"/>
  <c r="U42" i="65" s="1"/>
  <c r="R12" i="46"/>
  <c r="S12" i="46" s="1"/>
  <c r="H12" i="46" s="1"/>
  <c r="L14" i="65" s="1"/>
  <c r="U14" i="65" s="1"/>
  <c r="R90" i="46"/>
  <c r="S90" i="46" s="1"/>
  <c r="H90" i="46" s="1"/>
  <c r="L92" i="65" s="1"/>
  <c r="U92" i="65" s="1"/>
  <c r="R44" i="46"/>
  <c r="S44" i="46" s="1"/>
  <c r="H44" i="46" s="1"/>
  <c r="L46" i="65" s="1"/>
  <c r="U46" i="65" s="1"/>
  <c r="R124" i="46"/>
  <c r="S124" i="46" s="1"/>
  <c r="H124" i="46" s="1"/>
  <c r="L126" i="65" s="1"/>
  <c r="U126" i="65" s="1"/>
  <c r="R57" i="46"/>
  <c r="S57" i="46" s="1"/>
  <c r="H57" i="46" s="1"/>
  <c r="L59" i="65" s="1"/>
  <c r="U59" i="65" s="1"/>
  <c r="R83" i="46"/>
  <c r="S83" i="46" s="1"/>
  <c r="H83" i="46" s="1"/>
  <c r="L85" i="65" s="1"/>
  <c r="U85" i="65" s="1"/>
  <c r="R126" i="46"/>
  <c r="S126" i="46" s="1"/>
  <c r="H126" i="46" s="1"/>
  <c r="L128" i="65" s="1"/>
  <c r="U128" i="65" s="1"/>
  <c r="R30" i="46"/>
  <c r="S30" i="46" s="1"/>
  <c r="H30" i="46" s="1"/>
  <c r="L32" i="65" s="1"/>
  <c r="U32" i="65" s="1"/>
  <c r="R49" i="46"/>
  <c r="S49" i="46" s="1"/>
  <c r="H49" i="46" s="1"/>
  <c r="L51" i="65" s="1"/>
  <c r="U51" i="65" s="1"/>
  <c r="I69" i="50"/>
  <c r="I42" i="50"/>
  <c r="I87" i="50"/>
  <c r="I68" i="50"/>
  <c r="I110" i="50"/>
  <c r="I111" i="50"/>
  <c r="I86" i="50"/>
  <c r="I17" i="50"/>
  <c r="I84" i="50"/>
  <c r="I85" i="50"/>
  <c r="I88" i="50"/>
  <c r="I105" i="50"/>
  <c r="I59" i="50"/>
  <c r="I129" i="50"/>
  <c r="I25" i="50"/>
  <c r="I48" i="50"/>
  <c r="I78" i="50"/>
  <c r="I116" i="50"/>
  <c r="I125" i="50"/>
  <c r="I75" i="50"/>
  <c r="I22" i="50"/>
  <c r="I113" i="50"/>
  <c r="I40" i="50"/>
  <c r="I103" i="50"/>
  <c r="I101" i="50"/>
  <c r="I51" i="50"/>
  <c r="I66" i="50"/>
  <c r="I137" i="50"/>
  <c r="I65" i="50"/>
  <c r="I34" i="50"/>
  <c r="R69" i="48"/>
  <c r="S69" i="48" s="1"/>
  <c r="H69" i="48" s="1"/>
  <c r="N71" i="65" s="1"/>
  <c r="W71" i="65" s="1"/>
  <c r="R22" i="48"/>
  <c r="S22" i="48" s="1"/>
  <c r="H22" i="48" s="1"/>
  <c r="N24" i="65" s="1"/>
  <c r="W24" i="65" s="1"/>
  <c r="R23" i="48"/>
  <c r="S23" i="48" s="1"/>
  <c r="H23" i="48" s="1"/>
  <c r="N25" i="65" s="1"/>
  <c r="W25" i="65" s="1"/>
  <c r="R95" i="48"/>
  <c r="S95" i="48" s="1"/>
  <c r="H95" i="48" s="1"/>
  <c r="N97" i="65" s="1"/>
  <c r="R27" i="48"/>
  <c r="S27" i="48" s="1"/>
  <c r="H27" i="48" s="1"/>
  <c r="N29" i="65" s="1"/>
  <c r="W29" i="65" s="1"/>
  <c r="R116" i="48"/>
  <c r="S116" i="48" s="1"/>
  <c r="H116" i="48" s="1"/>
  <c r="N118" i="65" s="1"/>
  <c r="W118" i="65" s="1"/>
  <c r="R57" i="48"/>
  <c r="S57" i="48" s="1"/>
  <c r="H57" i="48" s="1"/>
  <c r="N59" i="65" s="1"/>
  <c r="W59" i="65" s="1"/>
  <c r="R35" i="48"/>
  <c r="S35" i="48" s="1"/>
  <c r="H35" i="48" s="1"/>
  <c r="N37" i="65" s="1"/>
  <c r="W37" i="65" s="1"/>
  <c r="R31" i="48"/>
  <c r="S31" i="48" s="1"/>
  <c r="H31" i="48" s="1"/>
  <c r="N33" i="65" s="1"/>
  <c r="W33" i="65" s="1"/>
  <c r="R62" i="48"/>
  <c r="S62" i="48" s="1"/>
  <c r="H62" i="48" s="1"/>
  <c r="N64" i="65" s="1"/>
  <c r="W64" i="65" s="1"/>
  <c r="R107" i="48"/>
  <c r="S107" i="48" s="1"/>
  <c r="H107" i="48" s="1"/>
  <c r="N109" i="65" s="1"/>
  <c r="W109" i="65" s="1"/>
  <c r="R123" i="48"/>
  <c r="S123" i="48" s="1"/>
  <c r="H123" i="48" s="1"/>
  <c r="N125" i="65" s="1"/>
  <c r="W125" i="65" s="1"/>
  <c r="R124" i="48"/>
  <c r="S124" i="48" s="1"/>
  <c r="H124" i="48" s="1"/>
  <c r="N126" i="65" s="1"/>
  <c r="W126" i="65" s="1"/>
  <c r="R136" i="48"/>
  <c r="S136" i="48" s="1"/>
  <c r="H136" i="48" s="1"/>
  <c r="N138" i="65" s="1"/>
  <c r="W138" i="65" s="1"/>
  <c r="R34" i="48"/>
  <c r="S34" i="48" s="1"/>
  <c r="H34" i="48" s="1"/>
  <c r="N36" i="65" s="1"/>
  <c r="W36" i="65" s="1"/>
  <c r="R90" i="48"/>
  <c r="S90" i="48" s="1"/>
  <c r="H90" i="48" s="1"/>
  <c r="N92" i="65" s="1"/>
  <c r="W92" i="65" s="1"/>
  <c r="R53" i="48"/>
  <c r="S53" i="48" s="1"/>
  <c r="H53" i="48" s="1"/>
  <c r="N55" i="65" s="1"/>
  <c r="W55" i="65" s="1"/>
  <c r="R39" i="48"/>
  <c r="S39" i="48" s="1"/>
  <c r="H39" i="48" s="1"/>
  <c r="N41" i="65" s="1"/>
  <c r="W41" i="65" s="1"/>
  <c r="R86" i="48"/>
  <c r="S86" i="48" s="1"/>
  <c r="H86" i="48" s="1"/>
  <c r="N88" i="65" s="1"/>
  <c r="W88" i="65" s="1"/>
  <c r="R43" i="48"/>
  <c r="S43" i="48" s="1"/>
  <c r="H43" i="48" s="1"/>
  <c r="N45" i="65" s="1"/>
  <c r="W45" i="65" s="1"/>
  <c r="R134" i="48"/>
  <c r="S134" i="48" s="1"/>
  <c r="H134" i="48" s="1"/>
  <c r="N136" i="65" s="1"/>
  <c r="W136" i="65" s="1"/>
  <c r="R15" i="48"/>
  <c r="S15" i="48" s="1"/>
  <c r="H15" i="48" s="1"/>
  <c r="N17" i="65" s="1"/>
  <c r="W17" i="65" s="1"/>
  <c r="R50" i="48"/>
  <c r="S50" i="48" s="1"/>
  <c r="H50" i="48" s="1"/>
  <c r="N52" i="65" s="1"/>
  <c r="W52" i="65" s="1"/>
  <c r="R14" i="48"/>
  <c r="S14" i="48" s="1"/>
  <c r="H14" i="48" s="1"/>
  <c r="N16" i="65" s="1"/>
  <c r="W16" i="65" s="1"/>
  <c r="R49" i="48"/>
  <c r="S49" i="48" s="1"/>
  <c r="H49" i="48" s="1"/>
  <c r="N51" i="65" s="1"/>
  <c r="W51" i="65" s="1"/>
  <c r="R75" i="48"/>
  <c r="S75" i="48" s="1"/>
  <c r="H75" i="48" s="1"/>
  <c r="N77" i="65" s="1"/>
  <c r="W77" i="65" s="1"/>
  <c r="R119" i="48"/>
  <c r="S119" i="48" s="1"/>
  <c r="H119" i="48" s="1"/>
  <c r="N121" i="65" s="1"/>
  <c r="W121" i="65" s="1"/>
  <c r="R45" i="48"/>
  <c r="S45" i="48" s="1"/>
  <c r="H45" i="48" s="1"/>
  <c r="N47" i="65" s="1"/>
  <c r="W47" i="65" s="1"/>
  <c r="R117" i="48"/>
  <c r="S117" i="48" s="1"/>
  <c r="H117" i="48" s="1"/>
  <c r="N119" i="65" s="1"/>
  <c r="W119" i="65" s="1"/>
  <c r="R28" i="48"/>
  <c r="S28" i="48" s="1"/>
  <c r="H28" i="48" s="1"/>
  <c r="N30" i="65" s="1"/>
  <c r="W30" i="65" s="1"/>
  <c r="R102" i="48"/>
  <c r="S102" i="48" s="1"/>
  <c r="H102" i="48" s="1"/>
  <c r="N104" i="65" s="1"/>
  <c r="W104" i="65" s="1"/>
  <c r="R122" i="48"/>
  <c r="S122" i="48" s="1"/>
  <c r="H122" i="48" s="1"/>
  <c r="N124" i="65" s="1"/>
  <c r="W124" i="65" s="1"/>
  <c r="R58" i="48"/>
  <c r="S58" i="48" s="1"/>
  <c r="H58" i="48" s="1"/>
  <c r="N60" i="65" s="1"/>
  <c r="W60" i="65" s="1"/>
  <c r="R85" i="48"/>
  <c r="S85" i="48" s="1"/>
  <c r="H85" i="48" s="1"/>
  <c r="N87" i="65" s="1"/>
  <c r="W87" i="65" s="1"/>
  <c r="R26" i="48"/>
  <c r="S26" i="48" s="1"/>
  <c r="H26" i="48" s="1"/>
  <c r="N28" i="65" s="1"/>
  <c r="W28" i="65" s="1"/>
  <c r="R25" i="48"/>
  <c r="S25" i="48" s="1"/>
  <c r="H25" i="48" s="1"/>
  <c r="N27" i="65" s="1"/>
  <c r="W27" i="65" s="1"/>
  <c r="R72" i="48"/>
  <c r="S72" i="48" s="1"/>
  <c r="H72" i="48" s="1"/>
  <c r="N74" i="65" s="1"/>
  <c r="W74" i="65" s="1"/>
  <c r="R118" i="48"/>
  <c r="S118" i="48" s="1"/>
  <c r="H118" i="48" s="1"/>
  <c r="N120" i="65" s="1"/>
  <c r="W120" i="65" s="1"/>
  <c r="R37" i="48"/>
  <c r="S37" i="48" s="1"/>
  <c r="H37" i="48" s="1"/>
  <c r="N39" i="65" s="1"/>
  <c r="W39" i="65" s="1"/>
  <c r="R42" i="48"/>
  <c r="S42" i="48" s="1"/>
  <c r="H42" i="48" s="1"/>
  <c r="N44" i="65" s="1"/>
  <c r="W44" i="65" s="1"/>
  <c r="R104" i="48"/>
  <c r="S104" i="48" s="1"/>
  <c r="H104" i="48" s="1"/>
  <c r="N106" i="65" s="1"/>
  <c r="W106" i="65" s="1"/>
  <c r="R68" i="48"/>
  <c r="S68" i="48" s="1"/>
  <c r="H68" i="48" s="1"/>
  <c r="N70" i="65" s="1"/>
  <c r="W70" i="65" s="1"/>
  <c r="R59" i="48"/>
  <c r="S59" i="48" s="1"/>
  <c r="H59" i="48" s="1"/>
  <c r="N61" i="65" s="1"/>
  <c r="W61" i="65" s="1"/>
  <c r="R55" i="48"/>
  <c r="S55" i="48" s="1"/>
  <c r="H55" i="48" s="1"/>
  <c r="N57" i="65" s="1"/>
  <c r="W57" i="65" s="1"/>
  <c r="R121" i="48"/>
  <c r="S121" i="48" s="1"/>
  <c r="H121" i="48" s="1"/>
  <c r="N123" i="65" s="1"/>
  <c r="W123" i="65" s="1"/>
  <c r="R108" i="48"/>
  <c r="S108" i="48" s="1"/>
  <c r="H108" i="48" s="1"/>
  <c r="N110" i="65" s="1"/>
  <c r="W110" i="65" s="1"/>
  <c r="R29" i="48"/>
  <c r="S29" i="48" s="1"/>
  <c r="H29" i="48" s="1"/>
  <c r="N31" i="65" s="1"/>
  <c r="W31" i="65" s="1"/>
  <c r="R89" i="48"/>
  <c r="S89" i="48" s="1"/>
  <c r="H89" i="48" s="1"/>
  <c r="N91" i="65" s="1"/>
  <c r="W91" i="65" s="1"/>
  <c r="R103" i="48"/>
  <c r="S103" i="48" s="1"/>
  <c r="H103" i="48" s="1"/>
  <c r="N105" i="65" s="1"/>
  <c r="W105" i="65" s="1"/>
  <c r="R87" i="48"/>
  <c r="S87" i="48" s="1"/>
  <c r="H87" i="48" s="1"/>
  <c r="N89" i="65" s="1"/>
  <c r="W89" i="65" s="1"/>
  <c r="R83" i="48"/>
  <c r="S83" i="48" s="1"/>
  <c r="H83" i="48" s="1"/>
  <c r="N85" i="65" s="1"/>
  <c r="W85" i="65" s="1"/>
  <c r="R24" i="48"/>
  <c r="S24" i="48" s="1"/>
  <c r="H24" i="48" s="1"/>
  <c r="N26" i="65" s="1"/>
  <c r="W26" i="65" s="1"/>
  <c r="R106" i="48"/>
  <c r="S106" i="48" s="1"/>
  <c r="H106" i="48" s="1"/>
  <c r="N108" i="65" s="1"/>
  <c r="W108" i="65" s="1"/>
  <c r="R52" i="48"/>
  <c r="S52" i="48" s="1"/>
  <c r="H52" i="48" s="1"/>
  <c r="N54" i="65" s="1"/>
  <c r="W54" i="65" s="1"/>
  <c r="R100" i="48"/>
  <c r="S100" i="48" s="1"/>
  <c r="H100" i="48" s="1"/>
  <c r="N102" i="65" s="1"/>
  <c r="W102" i="65" s="1"/>
  <c r="R110" i="48"/>
  <c r="S110" i="48" s="1"/>
  <c r="H110" i="48" s="1"/>
  <c r="N112" i="65" s="1"/>
  <c r="W112" i="65" s="1"/>
  <c r="R17" i="48"/>
  <c r="S17" i="48" s="1"/>
  <c r="H17" i="48" s="1"/>
  <c r="N19" i="65" s="1"/>
  <c r="W19" i="65" s="1"/>
  <c r="R47" i="48"/>
  <c r="S47" i="48" s="1"/>
  <c r="H47" i="48" s="1"/>
  <c r="N49" i="65" s="1"/>
  <c r="W49" i="65" s="1"/>
  <c r="R131" i="48"/>
  <c r="S131" i="48" s="1"/>
  <c r="H131" i="48" s="1"/>
  <c r="N133" i="65" s="1"/>
  <c r="W133" i="65" s="1"/>
  <c r="R38" i="48"/>
  <c r="S38" i="48" s="1"/>
  <c r="H38" i="48" s="1"/>
  <c r="N40" i="65" s="1"/>
  <c r="W40" i="65" s="1"/>
  <c r="R71" i="48"/>
  <c r="S71" i="48" s="1"/>
  <c r="H71" i="48" s="1"/>
  <c r="N73" i="65" s="1"/>
  <c r="W73" i="65" s="1"/>
  <c r="R44" i="48"/>
  <c r="S44" i="48" s="1"/>
  <c r="H44" i="48" s="1"/>
  <c r="N46" i="65" s="1"/>
  <c r="W46" i="65" s="1"/>
  <c r="R77" i="48"/>
  <c r="S77" i="48" s="1"/>
  <c r="H77" i="48" s="1"/>
  <c r="N79" i="65" s="1"/>
  <c r="W79" i="65" s="1"/>
  <c r="R32" i="48"/>
  <c r="S32" i="48" s="1"/>
  <c r="H32" i="48" s="1"/>
  <c r="N34" i="65" s="1"/>
  <c r="W34" i="65" s="1"/>
  <c r="R33" i="48"/>
  <c r="S33" i="48" s="1"/>
  <c r="H33" i="48" s="1"/>
  <c r="N35" i="65" s="1"/>
  <c r="W35" i="65" s="1"/>
  <c r="R70" i="48"/>
  <c r="S70" i="48" s="1"/>
  <c r="H70" i="48" s="1"/>
  <c r="N72" i="65" s="1"/>
  <c r="W72" i="65" s="1"/>
  <c r="R12" i="48"/>
  <c r="S12" i="48" s="1"/>
  <c r="H12" i="48" s="1"/>
  <c r="N14" i="65" s="1"/>
  <c r="W14" i="65" s="1"/>
  <c r="R76" i="48"/>
  <c r="S76" i="48" s="1"/>
  <c r="H76" i="48" s="1"/>
  <c r="N78" i="65" s="1"/>
  <c r="W78" i="65" s="1"/>
  <c r="R92" i="48"/>
  <c r="S92" i="48" s="1"/>
  <c r="H92" i="48" s="1"/>
  <c r="N94" i="65" s="1"/>
  <c r="W94" i="65" s="1"/>
  <c r="R112" i="48"/>
  <c r="S112" i="48" s="1"/>
  <c r="H112" i="48" s="1"/>
  <c r="N114" i="65" s="1"/>
  <c r="W114" i="65" s="1"/>
  <c r="R97" i="48"/>
  <c r="S97" i="48" s="1"/>
  <c r="H97" i="48" s="1"/>
  <c r="N99" i="65" s="1"/>
  <c r="W99" i="65" s="1"/>
  <c r="R81" i="48"/>
  <c r="S81" i="48" s="1"/>
  <c r="H81" i="48" s="1"/>
  <c r="N83" i="65" s="1"/>
  <c r="W83" i="65" s="1"/>
  <c r="R105" i="48"/>
  <c r="S105" i="48" s="1"/>
  <c r="H105" i="48" s="1"/>
  <c r="N107" i="65" s="1"/>
  <c r="W107" i="65" s="1"/>
  <c r="R73" i="48"/>
  <c r="S73" i="48" s="1"/>
  <c r="H73" i="48" s="1"/>
  <c r="N75" i="65" s="1"/>
  <c r="W75" i="65" s="1"/>
  <c r="R16" i="48"/>
  <c r="S16" i="48" s="1"/>
  <c r="H16" i="48" s="1"/>
  <c r="N18" i="65" s="1"/>
  <c r="W18" i="65" s="1"/>
  <c r="R94" i="48"/>
  <c r="S94" i="48" s="1"/>
  <c r="H94" i="48" s="1"/>
  <c r="N96" i="65" s="1"/>
  <c r="W96" i="65" s="1"/>
  <c r="R135" i="48"/>
  <c r="S135" i="48" s="1"/>
  <c r="H135" i="48" s="1"/>
  <c r="N137" i="65" s="1"/>
  <c r="W137" i="65" s="1"/>
  <c r="R18" i="48"/>
  <c r="S18" i="48" s="1"/>
  <c r="H18" i="48" s="1"/>
  <c r="N20" i="65" s="1"/>
  <c r="W20" i="65" s="1"/>
  <c r="R19" i="48"/>
  <c r="S19" i="48" s="1"/>
  <c r="H19" i="48" s="1"/>
  <c r="N21" i="65" s="1"/>
  <c r="W21" i="65" s="1"/>
  <c r="R65" i="48"/>
  <c r="S65" i="48" s="1"/>
  <c r="H65" i="48" s="1"/>
  <c r="N67" i="65" s="1"/>
  <c r="W67" i="65" s="1"/>
  <c r="R125" i="48"/>
  <c r="S125" i="48" s="1"/>
  <c r="H125" i="48" s="1"/>
  <c r="N127" i="65" s="1"/>
  <c r="W127" i="65" s="1"/>
  <c r="R64" i="48"/>
  <c r="S64" i="48" s="1"/>
  <c r="H64" i="48" s="1"/>
  <c r="N66" i="65" s="1"/>
  <c r="W66" i="65" s="1"/>
  <c r="R120" i="48"/>
  <c r="S120" i="48" s="1"/>
  <c r="H120" i="48" s="1"/>
  <c r="N122" i="65" s="1"/>
  <c r="W122" i="65" s="1"/>
  <c r="R132" i="48"/>
  <c r="S132" i="48" s="1"/>
  <c r="H132" i="48" s="1"/>
  <c r="N134" i="65" s="1"/>
  <c r="W134" i="65" s="1"/>
  <c r="R79" i="48"/>
  <c r="S79" i="48" s="1"/>
  <c r="H79" i="48" s="1"/>
  <c r="N81" i="65" s="1"/>
  <c r="W81" i="65" s="1"/>
  <c r="R96" i="48"/>
  <c r="S96" i="48" s="1"/>
  <c r="H96" i="48" s="1"/>
  <c r="N98" i="65" s="1"/>
  <c r="W98" i="65" s="1"/>
  <c r="R133" i="48"/>
  <c r="S133" i="48" s="1"/>
  <c r="H133" i="48" s="1"/>
  <c r="N135" i="65" s="1"/>
  <c r="W135" i="65" s="1"/>
  <c r="R113" i="48"/>
  <c r="S113" i="48" s="1"/>
  <c r="H113" i="48" s="1"/>
  <c r="N115" i="65" s="1"/>
  <c r="W115" i="65" s="1"/>
  <c r="R60" i="48"/>
  <c r="S60" i="48" s="1"/>
  <c r="H60" i="48" s="1"/>
  <c r="N62" i="65" s="1"/>
  <c r="W62" i="65" s="1"/>
  <c r="R111" i="48"/>
  <c r="S111" i="48" s="1"/>
  <c r="H111" i="48" s="1"/>
  <c r="N113" i="65" s="1"/>
  <c r="W113" i="65" s="1"/>
  <c r="R66" i="48"/>
  <c r="S66" i="48" s="1"/>
  <c r="H66" i="48" s="1"/>
  <c r="N68" i="65" s="1"/>
  <c r="W68" i="65" s="1"/>
  <c r="R99" i="48"/>
  <c r="S99" i="48" s="1"/>
  <c r="H99" i="48" s="1"/>
  <c r="N101" i="65" s="1"/>
  <c r="W101" i="65" s="1"/>
  <c r="R109" i="48"/>
  <c r="S109" i="48" s="1"/>
  <c r="H109" i="48" s="1"/>
  <c r="N111" i="65" s="1"/>
  <c r="W111" i="65" s="1"/>
  <c r="R74" i="48"/>
  <c r="S74" i="48" s="1"/>
  <c r="H74" i="48" s="1"/>
  <c r="N76" i="65" s="1"/>
  <c r="W76" i="65" s="1"/>
  <c r="R40" i="48"/>
  <c r="S40" i="48" s="1"/>
  <c r="H40" i="48" s="1"/>
  <c r="N42" i="65" s="1"/>
  <c r="W42" i="65" s="1"/>
  <c r="R126" i="48"/>
  <c r="S126" i="48" s="1"/>
  <c r="H126" i="48" s="1"/>
  <c r="N128" i="65" s="1"/>
  <c r="W128" i="65" s="1"/>
  <c r="R101" i="48"/>
  <c r="S101" i="48" s="1"/>
  <c r="H101" i="48" s="1"/>
  <c r="N103" i="65" s="1"/>
  <c r="W103" i="65" s="1"/>
  <c r="R46" i="48"/>
  <c r="S46" i="48" s="1"/>
  <c r="H46" i="48" s="1"/>
  <c r="N48" i="65" s="1"/>
  <c r="W48" i="65" s="1"/>
  <c r="R78" i="48"/>
  <c r="S78" i="48" s="1"/>
  <c r="H78" i="48" s="1"/>
  <c r="N80" i="65" s="1"/>
  <c r="W80" i="65" s="1"/>
  <c r="R48" i="48"/>
  <c r="S48" i="48" s="1"/>
  <c r="H48" i="48" s="1"/>
  <c r="N50" i="65" s="1"/>
  <c r="W50" i="65" s="1"/>
  <c r="R130" i="48"/>
  <c r="S130" i="48" s="1"/>
  <c r="H130" i="48" s="1"/>
  <c r="N132" i="65" s="1"/>
  <c r="W132" i="65" s="1"/>
  <c r="R82" i="48"/>
  <c r="S82" i="48" s="1"/>
  <c r="H82" i="48" s="1"/>
  <c r="N84" i="65" s="1"/>
  <c r="W84" i="65" s="1"/>
  <c r="R56" i="48"/>
  <c r="S56" i="48" s="1"/>
  <c r="H56" i="48" s="1"/>
  <c r="N58" i="65" s="1"/>
  <c r="W58" i="65" s="1"/>
  <c r="R129" i="48"/>
  <c r="S129" i="48" s="1"/>
  <c r="H129" i="48" s="1"/>
  <c r="N131" i="65" s="1"/>
  <c r="W131" i="65" s="1"/>
  <c r="R54" i="48"/>
  <c r="S54" i="48" s="1"/>
  <c r="H54" i="48" s="1"/>
  <c r="N56" i="65" s="1"/>
  <c r="W56" i="65" s="1"/>
  <c r="R80" i="48"/>
  <c r="S80" i="48" s="1"/>
  <c r="H80" i="48" s="1"/>
  <c r="N82" i="65" s="1"/>
  <c r="W82" i="65" s="1"/>
  <c r="R128" i="48"/>
  <c r="S128" i="48" s="1"/>
  <c r="H128" i="48" s="1"/>
  <c r="N130" i="65" s="1"/>
  <c r="W130" i="65" s="1"/>
  <c r="R30" i="48"/>
  <c r="S30" i="48" s="1"/>
  <c r="H30" i="48" s="1"/>
  <c r="N32" i="65" s="1"/>
  <c r="W32" i="65" s="1"/>
  <c r="R91" i="48"/>
  <c r="S91" i="48" s="1"/>
  <c r="H91" i="48" s="1"/>
  <c r="N93" i="65" s="1"/>
  <c r="W93" i="65" s="1"/>
  <c r="R98" i="48"/>
  <c r="S98" i="48" s="1"/>
  <c r="H98" i="48" s="1"/>
  <c r="N100" i="65" s="1"/>
  <c r="W100" i="65" s="1"/>
  <c r="R84" i="48"/>
  <c r="S84" i="48" s="1"/>
  <c r="H84" i="48" s="1"/>
  <c r="N86" i="65" s="1"/>
  <c r="W86" i="65" s="1"/>
  <c r="R20" i="48"/>
  <c r="S20" i="48" s="1"/>
  <c r="H20" i="48" s="1"/>
  <c r="N22" i="65" s="1"/>
  <c r="W22" i="65" s="1"/>
  <c r="R115" i="48"/>
  <c r="S115" i="48" s="1"/>
  <c r="H115" i="48" s="1"/>
  <c r="N117" i="65" s="1"/>
  <c r="W117" i="65" s="1"/>
  <c r="R114" i="48"/>
  <c r="S114" i="48" s="1"/>
  <c r="H114" i="48" s="1"/>
  <c r="N116" i="65" s="1"/>
  <c r="W116" i="65" s="1"/>
  <c r="R63" i="48"/>
  <c r="S63" i="48" s="1"/>
  <c r="H63" i="48" s="1"/>
  <c r="N65" i="65" s="1"/>
  <c r="W65" i="65" s="1"/>
  <c r="R137" i="48"/>
  <c r="S137" i="48" s="1"/>
  <c r="H137" i="48" s="1"/>
  <c r="N139" i="65" s="1"/>
  <c r="W139" i="65" s="1"/>
  <c r="I26" i="50"/>
  <c r="I77" i="50"/>
  <c r="I97" i="50"/>
  <c r="I46" i="50"/>
  <c r="I21" i="50"/>
  <c r="I38" i="50"/>
  <c r="I92" i="50"/>
  <c r="I120" i="50"/>
  <c r="I15" i="50"/>
  <c r="I122" i="50"/>
  <c r="I60" i="50"/>
  <c r="I20" i="50"/>
  <c r="AL5" i="63" s="1"/>
  <c r="AO5" i="63" s="1"/>
  <c r="AP5" i="63" s="1"/>
  <c r="I32" i="50"/>
  <c r="I19" i="50"/>
  <c r="I126" i="50"/>
  <c r="I72" i="50"/>
  <c r="P97" i="65" l="1"/>
  <c r="I144" i="65"/>
  <c r="I143" i="65"/>
  <c r="W97" i="65"/>
  <c r="N144" i="65"/>
  <c r="N143" i="65"/>
  <c r="U97" i="65"/>
  <c r="L143" i="65"/>
  <c r="L144" i="65"/>
  <c r="S97" i="65"/>
  <c r="S98" i="49"/>
  <c r="M95" i="50"/>
  <c r="M5" i="56"/>
  <c r="P5" i="56" s="1"/>
  <c r="Q5" i="63"/>
  <c r="R5" i="63" s="1"/>
  <c r="F5" i="56"/>
  <c r="I5" i="56" s="1"/>
  <c r="F5" i="63"/>
  <c r="I5" i="63" s="1"/>
  <c r="J5" i="63" s="1"/>
  <c r="T5" i="56"/>
  <c r="W5" i="56" s="1"/>
  <c r="V5" i="63"/>
  <c r="Y5" i="63" s="1"/>
  <c r="Z5" i="63" s="1"/>
  <c r="M103" i="50"/>
  <c r="M23" i="50"/>
  <c r="H20" i="44"/>
  <c r="M117" i="50"/>
  <c r="H114" i="44"/>
  <c r="M110" i="50"/>
  <c r="H107" i="44"/>
  <c r="M50" i="50"/>
  <c r="H47" i="44"/>
  <c r="M90" i="50"/>
  <c r="H87" i="44"/>
  <c r="M37" i="50"/>
  <c r="H34" i="44"/>
  <c r="M89" i="50"/>
  <c r="H86" i="44"/>
  <c r="M105" i="50"/>
  <c r="H102" i="44"/>
  <c r="M92" i="50"/>
  <c r="H89" i="44"/>
  <c r="M109" i="50"/>
  <c r="H106" i="44"/>
  <c r="M18" i="50"/>
  <c r="H15" i="44"/>
  <c r="M30" i="50"/>
  <c r="H27" i="44"/>
  <c r="M122" i="50"/>
  <c r="H119" i="44"/>
  <c r="M53" i="50"/>
  <c r="H50" i="44"/>
  <c r="M69" i="50"/>
  <c r="H66" i="44"/>
  <c r="M58" i="50"/>
  <c r="H55" i="44"/>
  <c r="M19" i="50"/>
  <c r="H16" i="44"/>
  <c r="M73" i="50"/>
  <c r="H70" i="44"/>
  <c r="M80" i="50"/>
  <c r="H77" i="44"/>
  <c r="M60" i="50"/>
  <c r="H57" i="44"/>
  <c r="M29" i="50"/>
  <c r="H26" i="44"/>
  <c r="M35" i="50"/>
  <c r="H32" i="44"/>
  <c r="M87" i="50"/>
  <c r="H84" i="44"/>
  <c r="M115" i="50"/>
  <c r="H112" i="44"/>
  <c r="M94" i="50"/>
  <c r="H91" i="44"/>
  <c r="M79" i="50"/>
  <c r="H76" i="44"/>
  <c r="M131" i="50"/>
  <c r="H128" i="44"/>
  <c r="M116" i="50"/>
  <c r="H113" i="44"/>
  <c r="M112" i="50"/>
  <c r="H109" i="44"/>
  <c r="J111" i="65" s="1"/>
  <c r="S111" i="65" s="1"/>
  <c r="M41" i="50"/>
  <c r="H38" i="44"/>
  <c r="M38" i="50"/>
  <c r="H35" i="44"/>
  <c r="M56" i="50"/>
  <c r="H53" i="44"/>
  <c r="M119" i="50"/>
  <c r="H116" i="44"/>
  <c r="M106" i="50"/>
  <c r="H103" i="44"/>
  <c r="M129" i="50"/>
  <c r="H126" i="44"/>
  <c r="M113" i="50"/>
  <c r="H110" i="44"/>
  <c r="M102" i="50"/>
  <c r="H99" i="44"/>
  <c r="M36" i="50"/>
  <c r="H33" i="44"/>
  <c r="M123" i="50"/>
  <c r="H120" i="44"/>
  <c r="M111" i="50"/>
  <c r="H108" i="44"/>
  <c r="M86" i="50"/>
  <c r="H83" i="44"/>
  <c r="M133" i="50"/>
  <c r="H130" i="44"/>
  <c r="M55" i="50"/>
  <c r="M82" i="50"/>
  <c r="M101" i="50"/>
  <c r="M108" i="50"/>
  <c r="M104" i="50"/>
  <c r="J112" i="49"/>
  <c r="V112" i="49" s="1"/>
  <c r="M124" i="50"/>
  <c r="M138" i="50"/>
  <c r="M42" i="50"/>
  <c r="M62" i="50"/>
  <c r="M77" i="50"/>
  <c r="M32" i="50"/>
  <c r="M17" i="50"/>
  <c r="M59" i="50"/>
  <c r="M46" i="50"/>
  <c r="M31" i="50"/>
  <c r="M63" i="50"/>
  <c r="M81" i="50"/>
  <c r="M78" i="50"/>
  <c r="M75" i="50"/>
  <c r="M93" i="50"/>
  <c r="M135" i="50"/>
  <c r="M136" i="50"/>
  <c r="M88" i="50"/>
  <c r="M85" i="50"/>
  <c r="M118" i="50"/>
  <c r="M27" i="50"/>
  <c r="M139" i="50"/>
  <c r="M21" i="50"/>
  <c r="M15" i="50"/>
  <c r="M65" i="50"/>
  <c r="M74" i="50"/>
  <c r="M114" i="50"/>
  <c r="M43" i="50"/>
  <c r="M120" i="50"/>
  <c r="M61" i="50"/>
  <c r="M134" i="50"/>
  <c r="M71" i="50"/>
  <c r="M125" i="50"/>
  <c r="M132" i="50"/>
  <c r="M99" i="50"/>
  <c r="AD6" i="63" s="1"/>
  <c r="AG6" i="63" s="1"/>
  <c r="AH6" i="63" s="1"/>
  <c r="M22" i="50"/>
  <c r="M107" i="50"/>
  <c r="M137" i="50"/>
  <c r="M52" i="50"/>
  <c r="M121" i="50"/>
  <c r="M140" i="50"/>
  <c r="M98" i="50"/>
  <c r="AA6" i="56" s="1"/>
  <c r="AD6" i="56" s="1"/>
  <c r="M33" i="50"/>
  <c r="M68" i="50"/>
  <c r="M84" i="50"/>
  <c r="M47" i="50"/>
  <c r="M28" i="50"/>
  <c r="M126" i="50"/>
  <c r="M67" i="50"/>
  <c r="M49" i="50"/>
  <c r="M40" i="50"/>
  <c r="M72" i="50"/>
  <c r="M128" i="50"/>
  <c r="M100" i="50"/>
  <c r="M76" i="50"/>
  <c r="M66" i="50"/>
  <c r="M25" i="50"/>
  <c r="M97" i="50"/>
  <c r="M34" i="50"/>
  <c r="M45" i="50"/>
  <c r="M26" i="50"/>
  <c r="M83" i="50"/>
  <c r="M51" i="50"/>
  <c r="M48" i="50"/>
  <c r="M20" i="50"/>
  <c r="AL6" i="63" s="1"/>
  <c r="AO6" i="63" s="1"/>
  <c r="AP6" i="63" s="1"/>
  <c r="M127" i="50"/>
  <c r="I20" i="62"/>
  <c r="H97" i="50"/>
  <c r="X97" i="50"/>
  <c r="J72" i="49"/>
  <c r="V72" i="49" s="1"/>
  <c r="L72" i="50"/>
  <c r="U140" i="50"/>
  <c r="U33" i="50"/>
  <c r="U51" i="50"/>
  <c r="U102" i="50"/>
  <c r="U135" i="50"/>
  <c r="U97" i="50"/>
  <c r="U79" i="50"/>
  <c r="U41" i="50"/>
  <c r="U27" i="50"/>
  <c r="U58" i="50"/>
  <c r="U28" i="50"/>
  <c r="U48" i="50"/>
  <c r="U46" i="50"/>
  <c r="U127" i="50"/>
  <c r="U30" i="50"/>
  <c r="H34" i="50"/>
  <c r="H34" i="49"/>
  <c r="S34" i="49" s="1"/>
  <c r="X34" i="50"/>
  <c r="X51" i="50"/>
  <c r="H51" i="50"/>
  <c r="H51" i="49"/>
  <c r="S51" i="49" s="1"/>
  <c r="X113" i="50"/>
  <c r="H113" i="50"/>
  <c r="H116" i="50"/>
  <c r="X116" i="50"/>
  <c r="L71" i="50"/>
  <c r="J71" i="49"/>
  <c r="V71" i="49" s="1"/>
  <c r="H129" i="50"/>
  <c r="X129" i="50"/>
  <c r="X85" i="50"/>
  <c r="H85" i="50"/>
  <c r="H111" i="50"/>
  <c r="X111" i="50"/>
  <c r="H42" i="49"/>
  <c r="S42" i="49" s="1"/>
  <c r="H42" i="50"/>
  <c r="X42" i="50"/>
  <c r="J93" i="49"/>
  <c r="V93" i="49" s="1"/>
  <c r="L93" i="50"/>
  <c r="J126" i="49"/>
  <c r="V126" i="49" s="1"/>
  <c r="L126" i="50"/>
  <c r="L31" i="50"/>
  <c r="J31" i="49"/>
  <c r="V31" i="49" s="1"/>
  <c r="Q77" i="50"/>
  <c r="Q133" i="50"/>
  <c r="Q89" i="50"/>
  <c r="Q123" i="50"/>
  <c r="Q74" i="50"/>
  <c r="Q50" i="50"/>
  <c r="Q100" i="50"/>
  <c r="Q29" i="50"/>
  <c r="Q131" i="50"/>
  <c r="Q116" i="50"/>
  <c r="Q94" i="50"/>
  <c r="Q66" i="50"/>
  <c r="Q21" i="50"/>
  <c r="H98" i="50"/>
  <c r="X98" i="50"/>
  <c r="L88" i="50"/>
  <c r="J88" i="49"/>
  <c r="V88" i="49" s="1"/>
  <c r="H26" i="50"/>
  <c r="X26" i="50"/>
  <c r="H26" i="49"/>
  <c r="S26" i="49" s="1"/>
  <c r="U66" i="50"/>
  <c r="U131" i="50"/>
  <c r="U69" i="50"/>
  <c r="U123" i="50"/>
  <c r="U19" i="50"/>
  <c r="U15" i="50"/>
  <c r="U134" i="50"/>
  <c r="U86" i="50"/>
  <c r="U62" i="50"/>
  <c r="U29" i="50"/>
  <c r="U122" i="50"/>
  <c r="U89" i="50"/>
  <c r="U126" i="50"/>
  <c r="U98" i="50"/>
  <c r="AA8" i="56" s="1"/>
  <c r="AD8" i="56" s="1"/>
  <c r="Q127" i="50"/>
  <c r="Q122" i="50"/>
  <c r="Q28" i="50"/>
  <c r="Q126" i="50"/>
  <c r="Q65" i="50"/>
  <c r="Q119" i="50"/>
  <c r="Q137" i="50"/>
  <c r="Q20" i="50"/>
  <c r="Q17" i="50"/>
  <c r="Q73" i="50"/>
  <c r="Q111" i="50"/>
  <c r="Q58" i="50"/>
  <c r="Q56" i="50"/>
  <c r="Q121" i="50"/>
  <c r="X31" i="50"/>
  <c r="H31" i="49"/>
  <c r="S31" i="49" s="1"/>
  <c r="H31" i="50"/>
  <c r="X123" i="50"/>
  <c r="H123" i="50"/>
  <c r="H80" i="50"/>
  <c r="X80" i="50"/>
  <c r="J25" i="49"/>
  <c r="V25" i="49" s="1"/>
  <c r="L25" i="50"/>
  <c r="J135" i="49"/>
  <c r="V135" i="49" s="1"/>
  <c r="L135" i="50"/>
  <c r="X109" i="50"/>
  <c r="H109" i="50"/>
  <c r="X36" i="50"/>
  <c r="H36" i="49"/>
  <c r="S36" i="49" s="1"/>
  <c r="H36" i="50"/>
  <c r="H134" i="50"/>
  <c r="X134" i="50"/>
  <c r="L84" i="50"/>
  <c r="J84" i="49"/>
  <c r="V84" i="49" s="1"/>
  <c r="X53" i="50"/>
  <c r="H53" i="49"/>
  <c r="S53" i="49" s="1"/>
  <c r="H53" i="50"/>
  <c r="H136" i="50"/>
  <c r="X136" i="50"/>
  <c r="H47" i="50"/>
  <c r="H47" i="49"/>
  <c r="S47" i="49" s="1"/>
  <c r="X47" i="50"/>
  <c r="J47" i="49"/>
  <c r="V47" i="49" s="1"/>
  <c r="L47" i="50"/>
  <c r="L63" i="50"/>
  <c r="J63" i="49"/>
  <c r="V63" i="49" s="1"/>
  <c r="J81" i="49"/>
  <c r="V81" i="49" s="1"/>
  <c r="L81" i="50"/>
  <c r="H133" i="50"/>
  <c r="X133" i="50"/>
  <c r="H90" i="50"/>
  <c r="X90" i="50"/>
  <c r="X18" i="50"/>
  <c r="H18" i="50"/>
  <c r="H18" i="49"/>
  <c r="S18" i="49" s="1"/>
  <c r="H128" i="50"/>
  <c r="X128" i="50"/>
  <c r="L27" i="50"/>
  <c r="J27" i="49"/>
  <c r="V27" i="49" s="1"/>
  <c r="H104" i="50"/>
  <c r="X104" i="50"/>
  <c r="X83" i="50"/>
  <c r="H83" i="50"/>
  <c r="X139" i="50"/>
  <c r="H139" i="50"/>
  <c r="H102" i="50"/>
  <c r="X102" i="50"/>
  <c r="L104" i="50"/>
  <c r="J104" i="49"/>
  <c r="V104" i="49" s="1"/>
  <c r="H15" i="49"/>
  <c r="X15" i="50"/>
  <c r="H15" i="50"/>
  <c r="J28" i="49"/>
  <c r="V28" i="49" s="1"/>
  <c r="L28" i="50"/>
  <c r="U81" i="50"/>
  <c r="U117" i="50"/>
  <c r="U83" i="50"/>
  <c r="U49" i="50"/>
  <c r="U114" i="50"/>
  <c r="U67" i="50"/>
  <c r="U76" i="50"/>
  <c r="U73" i="50"/>
  <c r="U50" i="50"/>
  <c r="U90" i="50"/>
  <c r="U71" i="50"/>
  <c r="U88" i="50"/>
  <c r="U78" i="50"/>
  <c r="U42" i="50"/>
  <c r="U110" i="50"/>
  <c r="U26" i="50"/>
  <c r="Q10" i="63" s="1"/>
  <c r="R10" i="63" s="1"/>
  <c r="H65" i="50"/>
  <c r="X65" i="50"/>
  <c r="H101" i="50"/>
  <c r="X101" i="50"/>
  <c r="H22" i="49"/>
  <c r="S22" i="49" s="1"/>
  <c r="H22" i="50"/>
  <c r="X22" i="50"/>
  <c r="H78" i="50"/>
  <c r="X78" i="50"/>
  <c r="J52" i="49"/>
  <c r="V52" i="49" s="1"/>
  <c r="L52" i="50"/>
  <c r="L82" i="50"/>
  <c r="J82" i="49"/>
  <c r="V82" i="49" s="1"/>
  <c r="H59" i="49"/>
  <c r="S59" i="49" s="1"/>
  <c r="H59" i="50"/>
  <c r="X59" i="50"/>
  <c r="X84" i="50"/>
  <c r="H84" i="50"/>
  <c r="H110" i="50"/>
  <c r="X110" i="50"/>
  <c r="X69" i="50"/>
  <c r="H69" i="50"/>
  <c r="J124" i="49"/>
  <c r="V124" i="49" s="1"/>
  <c r="L124" i="50"/>
  <c r="Q47" i="50"/>
  <c r="Q113" i="50"/>
  <c r="Q19" i="50"/>
  <c r="Q46" i="50"/>
  <c r="Q32" i="50"/>
  <c r="Q38" i="50"/>
  <c r="Q57" i="50"/>
  <c r="Q78" i="50"/>
  <c r="Q118" i="50"/>
  <c r="Q104" i="50"/>
  <c r="Q97" i="50"/>
  <c r="Q30" i="50"/>
  <c r="Q68" i="50"/>
  <c r="Q36" i="50"/>
  <c r="X21" i="50"/>
  <c r="H21" i="49"/>
  <c r="S21" i="49" s="1"/>
  <c r="H21" i="50"/>
  <c r="H72" i="50"/>
  <c r="X72" i="50"/>
  <c r="H20" i="49"/>
  <c r="S20" i="49" s="1"/>
  <c r="X20" i="50"/>
  <c r="H20" i="50"/>
  <c r="H120" i="50"/>
  <c r="X120" i="50"/>
  <c r="X46" i="50"/>
  <c r="H46" i="50"/>
  <c r="H46" i="49"/>
  <c r="S46" i="49" s="1"/>
  <c r="J66" i="49"/>
  <c r="V66" i="49" s="1"/>
  <c r="L66" i="50"/>
  <c r="L46" i="50"/>
  <c r="J46" i="49"/>
  <c r="V46" i="49" s="1"/>
  <c r="J128" i="49"/>
  <c r="V128" i="49" s="1"/>
  <c r="L128" i="50"/>
  <c r="L139" i="50"/>
  <c r="J139" i="49"/>
  <c r="V139" i="49" s="1"/>
  <c r="J74" i="49"/>
  <c r="V74" i="49" s="1"/>
  <c r="L74" i="50"/>
  <c r="J15" i="49"/>
  <c r="L15" i="50"/>
  <c r="U118" i="50"/>
  <c r="U57" i="50"/>
  <c r="U104" i="50"/>
  <c r="U63" i="50"/>
  <c r="U128" i="50"/>
  <c r="U108" i="50"/>
  <c r="U36" i="50"/>
  <c r="U20" i="50"/>
  <c r="U106" i="50"/>
  <c r="U107" i="50"/>
  <c r="U61" i="50"/>
  <c r="U52" i="50"/>
  <c r="U56" i="50"/>
  <c r="U65" i="50"/>
  <c r="U25" i="50"/>
  <c r="F10" i="63" s="1"/>
  <c r="I10" i="63" s="1"/>
  <c r="J10" i="63" s="1"/>
  <c r="Q52" i="50"/>
  <c r="Q93" i="50"/>
  <c r="Q80" i="50"/>
  <c r="Q35" i="50"/>
  <c r="Q108" i="50"/>
  <c r="Q31" i="50"/>
  <c r="Q22" i="50"/>
  <c r="Q95" i="50"/>
  <c r="Q106" i="50"/>
  <c r="Q37" i="50"/>
  <c r="Q67" i="50"/>
  <c r="Q109" i="50"/>
  <c r="Q135" i="50"/>
  <c r="Q49" i="50"/>
  <c r="Q25" i="50"/>
  <c r="H33" i="50"/>
  <c r="X33" i="50"/>
  <c r="H33" i="49"/>
  <c r="S33" i="49" s="1"/>
  <c r="H79" i="50"/>
  <c r="X79" i="50"/>
  <c r="S61" i="49"/>
  <c r="H61" i="50"/>
  <c r="X61" i="50"/>
  <c r="H114" i="50"/>
  <c r="X114" i="50"/>
  <c r="J101" i="49"/>
  <c r="V101" i="49" s="1"/>
  <c r="L101" i="50"/>
  <c r="X117" i="50"/>
  <c r="H117" i="50"/>
  <c r="H94" i="50"/>
  <c r="X94" i="50"/>
  <c r="X100" i="50"/>
  <c r="H100" i="50"/>
  <c r="X95" i="50"/>
  <c r="H95" i="50"/>
  <c r="L78" i="50"/>
  <c r="J78" i="49"/>
  <c r="V78" i="49" s="1"/>
  <c r="J97" i="49"/>
  <c r="V97" i="49" s="1"/>
  <c r="L97" i="50"/>
  <c r="J34" i="49"/>
  <c r="V34" i="49" s="1"/>
  <c r="L34" i="50"/>
  <c r="H27" i="49"/>
  <c r="S27" i="49" s="1"/>
  <c r="H27" i="50"/>
  <c r="X27" i="50"/>
  <c r="H23" i="50"/>
  <c r="X23" i="50"/>
  <c r="H23" i="49"/>
  <c r="S23" i="49" s="1"/>
  <c r="H45" i="49"/>
  <c r="S45" i="49" s="1"/>
  <c r="H45" i="50"/>
  <c r="X45" i="50"/>
  <c r="H81" i="50"/>
  <c r="X81" i="50"/>
  <c r="J45" i="49"/>
  <c r="V45" i="49" s="1"/>
  <c r="L45" i="50"/>
  <c r="J140" i="49"/>
  <c r="V140" i="49" s="1"/>
  <c r="L140" i="50"/>
  <c r="J76" i="49"/>
  <c r="V76" i="49" s="1"/>
  <c r="L76" i="50"/>
  <c r="H99" i="50"/>
  <c r="X99" i="50"/>
  <c r="H43" i="49"/>
  <c r="S43" i="49" s="1"/>
  <c r="H43" i="50"/>
  <c r="X43" i="50"/>
  <c r="H62" i="50"/>
  <c r="X62" i="50"/>
  <c r="S62" i="49"/>
  <c r="J57" i="49"/>
  <c r="V57" i="49" s="1"/>
  <c r="L57" i="50"/>
  <c r="J83" i="49"/>
  <c r="V83" i="49" s="1"/>
  <c r="L83" i="50"/>
  <c r="H28" i="49"/>
  <c r="S28" i="49" s="1"/>
  <c r="H28" i="50"/>
  <c r="X28" i="50"/>
  <c r="H76" i="50"/>
  <c r="X76" i="50"/>
  <c r="H58" i="50"/>
  <c r="H58" i="49"/>
  <c r="S58" i="49" s="1"/>
  <c r="X58" i="50"/>
  <c r="H140" i="50"/>
  <c r="X140" i="50"/>
  <c r="L103" i="50"/>
  <c r="J103" i="49"/>
  <c r="V103" i="49" s="1"/>
  <c r="H32" i="49"/>
  <c r="S32" i="49" s="1"/>
  <c r="H32" i="50"/>
  <c r="X32" i="50"/>
  <c r="U23" i="50"/>
  <c r="U132" i="50"/>
  <c r="U129" i="50"/>
  <c r="U116" i="50"/>
  <c r="U68" i="50"/>
  <c r="U84" i="50"/>
  <c r="U35" i="50"/>
  <c r="U113" i="50"/>
  <c r="U92" i="50"/>
  <c r="U45" i="50"/>
  <c r="U125" i="50"/>
  <c r="U17" i="50"/>
  <c r="U93" i="50"/>
  <c r="U34" i="50"/>
  <c r="U72" i="50"/>
  <c r="V10" i="63" s="1"/>
  <c r="Y10" i="63" s="1"/>
  <c r="Z10" i="63" s="1"/>
  <c r="X137" i="50"/>
  <c r="H137" i="50"/>
  <c r="H103" i="50"/>
  <c r="X103" i="50"/>
  <c r="H75" i="50"/>
  <c r="X75" i="50"/>
  <c r="H48" i="49"/>
  <c r="S48" i="49" s="1"/>
  <c r="X48" i="50"/>
  <c r="H48" i="50"/>
  <c r="J40" i="49"/>
  <c r="V40" i="49" s="1"/>
  <c r="L40" i="50"/>
  <c r="H105" i="50"/>
  <c r="X105" i="50"/>
  <c r="H17" i="49"/>
  <c r="S17" i="49" s="1"/>
  <c r="X17" i="50"/>
  <c r="H17" i="50"/>
  <c r="X68" i="50"/>
  <c r="H68" i="50"/>
  <c r="J32" i="49"/>
  <c r="V32" i="49" s="1"/>
  <c r="L32" i="50"/>
  <c r="L132" i="50"/>
  <c r="J132" i="49"/>
  <c r="V132" i="49" s="1"/>
  <c r="L49" i="50"/>
  <c r="J49" i="49"/>
  <c r="V49" i="49" s="1"/>
  <c r="Q33" i="50"/>
  <c r="Q15" i="50"/>
  <c r="Q134" i="50"/>
  <c r="Q34" i="50"/>
  <c r="Q82" i="50"/>
  <c r="Q59" i="50"/>
  <c r="Q115" i="50"/>
  <c r="Q128" i="50"/>
  <c r="Q90" i="50"/>
  <c r="Q107" i="50"/>
  <c r="Q120" i="50"/>
  <c r="Q76" i="50"/>
  <c r="Q138" i="50"/>
  <c r="Q117" i="50"/>
  <c r="Q98" i="50"/>
  <c r="AA7" i="56" s="1"/>
  <c r="AD7" i="56" s="1"/>
  <c r="H92" i="50"/>
  <c r="X92" i="50"/>
  <c r="J138" i="49"/>
  <c r="V138" i="49" s="1"/>
  <c r="L138" i="50"/>
  <c r="U59" i="50"/>
  <c r="U43" i="50"/>
  <c r="U22" i="50"/>
  <c r="U100" i="50"/>
  <c r="U80" i="50"/>
  <c r="U103" i="50"/>
  <c r="U32" i="50"/>
  <c r="U40" i="50"/>
  <c r="U105" i="50"/>
  <c r="U53" i="50"/>
  <c r="U37" i="50"/>
  <c r="U38" i="50"/>
  <c r="Q129" i="50"/>
  <c r="Q43" i="50"/>
  <c r="Q92" i="50"/>
  <c r="Q18" i="50"/>
  <c r="Q125" i="50"/>
  <c r="Q112" i="50"/>
  <c r="Q114" i="50"/>
  <c r="Q61" i="50"/>
  <c r="Q81" i="50"/>
  <c r="Q71" i="50"/>
  <c r="Q40" i="50"/>
  <c r="Q48" i="50"/>
  <c r="Q69" i="50"/>
  <c r="Q102" i="50"/>
  <c r="Q139" i="50"/>
  <c r="H131" i="50"/>
  <c r="X131" i="50"/>
  <c r="X132" i="50"/>
  <c r="H132" i="50"/>
  <c r="S63" i="49"/>
  <c r="H63" i="50"/>
  <c r="X63" i="50"/>
  <c r="H82" i="50"/>
  <c r="X82" i="50"/>
  <c r="L99" i="50"/>
  <c r="J99" i="49"/>
  <c r="V99" i="49" s="1"/>
  <c r="J22" i="49"/>
  <c r="V22" i="49" s="1"/>
  <c r="L22" i="50"/>
  <c r="J33" i="49"/>
  <c r="V33" i="49" s="1"/>
  <c r="L33" i="50"/>
  <c r="H49" i="50"/>
  <c r="H49" i="49"/>
  <c r="S49" i="49" s="1"/>
  <c r="X49" i="50"/>
  <c r="X119" i="50"/>
  <c r="H119" i="50"/>
  <c r="H118" i="50"/>
  <c r="X118" i="50"/>
  <c r="J26" i="49"/>
  <c r="V26" i="49" s="1"/>
  <c r="L26" i="50"/>
  <c r="L100" i="50"/>
  <c r="J100" i="49"/>
  <c r="V100" i="49" s="1"/>
  <c r="J51" i="49"/>
  <c r="V51" i="49" s="1"/>
  <c r="L51" i="50"/>
  <c r="L43" i="50"/>
  <c r="J43" i="49"/>
  <c r="V43" i="49" s="1"/>
  <c r="H41" i="49"/>
  <c r="S41" i="49" s="1"/>
  <c r="H41" i="50"/>
  <c r="X41" i="50"/>
  <c r="H29" i="50"/>
  <c r="H29" i="49"/>
  <c r="S29" i="49" s="1"/>
  <c r="X29" i="50"/>
  <c r="H37" i="49"/>
  <c r="S37" i="49" s="1"/>
  <c r="H37" i="50"/>
  <c r="X37" i="50"/>
  <c r="H138" i="50"/>
  <c r="X138" i="50"/>
  <c r="L136" i="50"/>
  <c r="J136" i="49"/>
  <c r="V136" i="49" s="1"/>
  <c r="J134" i="49"/>
  <c r="V134" i="49" s="1"/>
  <c r="L134" i="50"/>
  <c r="H73" i="50"/>
  <c r="X73" i="50"/>
  <c r="H52" i="50"/>
  <c r="H52" i="49"/>
  <c r="S52" i="49" s="1"/>
  <c r="X52" i="50"/>
  <c r="H106" i="50"/>
  <c r="X106" i="50"/>
  <c r="H115" i="50"/>
  <c r="X115" i="50"/>
  <c r="H71" i="50"/>
  <c r="X71" i="50"/>
  <c r="H127" i="50"/>
  <c r="X127" i="50"/>
  <c r="J62" i="49"/>
  <c r="V62" i="49" s="1"/>
  <c r="L62" i="50"/>
  <c r="L75" i="50"/>
  <c r="J75" i="49"/>
  <c r="V75" i="49" s="1"/>
  <c r="J95" i="49"/>
  <c r="V95" i="49" s="1"/>
  <c r="L95" i="50"/>
  <c r="X60" i="50"/>
  <c r="H60" i="50"/>
  <c r="S60" i="49"/>
  <c r="J121" i="49"/>
  <c r="V121" i="49" s="1"/>
  <c r="L121" i="50"/>
  <c r="L114" i="50"/>
  <c r="J114" i="49"/>
  <c r="V114" i="49" s="1"/>
  <c r="U87" i="50"/>
  <c r="U136" i="50"/>
  <c r="U101" i="50"/>
  <c r="U85" i="50"/>
  <c r="U77" i="50"/>
  <c r="U99" i="50"/>
  <c r="AD10" i="63" s="1"/>
  <c r="AG10" i="63" s="1"/>
  <c r="AH10" i="63" s="1"/>
  <c r="U21" i="50"/>
  <c r="U115" i="50"/>
  <c r="U47" i="50"/>
  <c r="U55" i="50"/>
  <c r="U111" i="50"/>
  <c r="U121" i="50"/>
  <c r="U31" i="50"/>
  <c r="U18" i="50"/>
  <c r="U139" i="50"/>
  <c r="U60" i="50"/>
  <c r="L85" i="50"/>
  <c r="J85" i="49"/>
  <c r="V85" i="49" s="1"/>
  <c r="X66" i="50"/>
  <c r="H66" i="50"/>
  <c r="H40" i="50"/>
  <c r="H40" i="49"/>
  <c r="S40" i="49" s="1"/>
  <c r="X40" i="50"/>
  <c r="H125" i="50"/>
  <c r="X125" i="50"/>
  <c r="J65" i="49"/>
  <c r="V65" i="49" s="1"/>
  <c r="L65" i="50"/>
  <c r="H25" i="49"/>
  <c r="S25" i="49" s="1"/>
  <c r="H25" i="50"/>
  <c r="X25" i="50"/>
  <c r="X88" i="50"/>
  <c r="H88" i="50"/>
  <c r="H86" i="50"/>
  <c r="X86" i="50"/>
  <c r="H87" i="50"/>
  <c r="X87" i="50"/>
  <c r="J42" i="49"/>
  <c r="V42" i="49" s="1"/>
  <c r="L42" i="50"/>
  <c r="J108" i="49"/>
  <c r="V108" i="49" s="1"/>
  <c r="L108" i="50"/>
  <c r="Q86" i="50"/>
  <c r="Q42" i="50"/>
  <c r="Q83" i="50"/>
  <c r="Q63" i="50"/>
  <c r="Q45" i="50"/>
  <c r="Q103" i="50"/>
  <c r="Q85" i="50"/>
  <c r="Q84" i="50"/>
  <c r="Q55" i="50"/>
  <c r="Q53" i="50"/>
  <c r="Q41" i="50"/>
  <c r="Q132" i="50"/>
  <c r="Q136" i="50"/>
  <c r="Q62" i="50"/>
  <c r="Q26" i="50"/>
  <c r="H126" i="50"/>
  <c r="X126" i="50"/>
  <c r="X19" i="50"/>
  <c r="H19" i="49"/>
  <c r="S19" i="49" s="1"/>
  <c r="H19" i="50"/>
  <c r="H122" i="50"/>
  <c r="X122" i="50"/>
  <c r="X38" i="50"/>
  <c r="H38" i="50"/>
  <c r="H38" i="49"/>
  <c r="S38" i="49" s="1"/>
  <c r="H77" i="50"/>
  <c r="X77" i="50"/>
  <c r="J77" i="49"/>
  <c r="V77" i="49" s="1"/>
  <c r="L77" i="50"/>
  <c r="L59" i="50"/>
  <c r="J59" i="49"/>
  <c r="V59" i="49" s="1"/>
  <c r="U94" i="50"/>
  <c r="U133" i="50"/>
  <c r="U112" i="50"/>
  <c r="U82" i="50"/>
  <c r="U138" i="50"/>
  <c r="U95" i="50"/>
  <c r="U74" i="50"/>
  <c r="U109" i="50"/>
  <c r="U124" i="50"/>
  <c r="U75" i="50"/>
  <c r="U120" i="50"/>
  <c r="U137" i="50"/>
  <c r="U119" i="50"/>
  <c r="Q60" i="50"/>
  <c r="Q105" i="50"/>
  <c r="Q87" i="50"/>
  <c r="Q110" i="50"/>
  <c r="Q75" i="50"/>
  <c r="Q23" i="50"/>
  <c r="Q51" i="50"/>
  <c r="Q79" i="50"/>
  <c r="Q101" i="50"/>
  <c r="Q124" i="50"/>
  <c r="Q88" i="50"/>
  <c r="Q27" i="50"/>
  <c r="Q140" i="50"/>
  <c r="Q99" i="50"/>
  <c r="AD9" i="63" s="1"/>
  <c r="AG9" i="63" s="1"/>
  <c r="AH9" i="63" s="1"/>
  <c r="Q72" i="50"/>
  <c r="H56" i="50"/>
  <c r="H56" i="49"/>
  <c r="S56" i="49" s="1"/>
  <c r="X56" i="50"/>
  <c r="H93" i="50"/>
  <c r="X93" i="50"/>
  <c r="H135" i="50"/>
  <c r="X135" i="50"/>
  <c r="J21" i="49"/>
  <c r="V21" i="49" s="1"/>
  <c r="L21" i="50"/>
  <c r="L48" i="50"/>
  <c r="J48" i="49"/>
  <c r="V48" i="49" s="1"/>
  <c r="X30" i="50"/>
  <c r="H30" i="50"/>
  <c r="H30" i="49"/>
  <c r="S30" i="49" s="1"/>
  <c r="H50" i="50"/>
  <c r="H50" i="49"/>
  <c r="S50" i="49" s="1"/>
  <c r="X50" i="50"/>
  <c r="H89" i="50"/>
  <c r="X89" i="50"/>
  <c r="L120" i="50"/>
  <c r="J120" i="49"/>
  <c r="V120" i="49" s="1"/>
  <c r="L107" i="50"/>
  <c r="J107" i="49"/>
  <c r="V107" i="49" s="1"/>
  <c r="L125" i="50"/>
  <c r="J125" i="49"/>
  <c r="V125" i="49" s="1"/>
  <c r="L68" i="50"/>
  <c r="J68" i="49"/>
  <c r="V68" i="49" s="1"/>
  <c r="L61" i="50"/>
  <c r="J61" i="49"/>
  <c r="V61" i="49" s="1"/>
  <c r="H67" i="50"/>
  <c r="X67" i="50"/>
  <c r="H107" i="50"/>
  <c r="X107" i="50"/>
  <c r="X55" i="50"/>
  <c r="H55" i="49"/>
  <c r="S55" i="49" s="1"/>
  <c r="H55" i="50"/>
  <c r="J98" i="49"/>
  <c r="L98" i="50"/>
  <c r="J137" i="49"/>
  <c r="V137" i="49" s="1"/>
  <c r="L137" i="50"/>
  <c r="J67" i="49"/>
  <c r="V67" i="49" s="1"/>
  <c r="L67" i="50"/>
  <c r="L118" i="50"/>
  <c r="J118" i="49"/>
  <c r="V118" i="49" s="1"/>
  <c r="H112" i="50"/>
  <c r="X112" i="50"/>
  <c r="H108" i="50"/>
  <c r="X108" i="50"/>
  <c r="H35" i="50"/>
  <c r="H35" i="49"/>
  <c r="S35" i="49" s="1"/>
  <c r="X35" i="50"/>
  <c r="X74" i="50"/>
  <c r="H74" i="50"/>
  <c r="L20" i="50"/>
  <c r="J20" i="49"/>
  <c r="V20" i="49" s="1"/>
  <c r="J127" i="49"/>
  <c r="V127" i="49" s="1"/>
  <c r="L127" i="50"/>
  <c r="H121" i="50"/>
  <c r="X121" i="50"/>
  <c r="H57" i="49"/>
  <c r="S57" i="49" s="1"/>
  <c r="H57" i="50"/>
  <c r="X57" i="50"/>
  <c r="H124" i="50"/>
  <c r="X124" i="50"/>
  <c r="J17" i="49"/>
  <c r="V17" i="49" s="1"/>
  <c r="L17" i="50"/>
  <c r="J55" i="49"/>
  <c r="V55" i="49" s="1"/>
  <c r="L55" i="50"/>
  <c r="AE15" i="63" l="1"/>
  <c r="AG15" i="63" s="1"/>
  <c r="AC15" i="63" s="1"/>
  <c r="AE14" i="63"/>
  <c r="AG14" i="63" s="1"/>
  <c r="AC14" i="63" s="1"/>
  <c r="AL10" i="63"/>
  <c r="AO10" i="63" s="1"/>
  <c r="AP10" i="63" s="1"/>
  <c r="AL9" i="63"/>
  <c r="AO9" i="63" s="1"/>
  <c r="L119" i="50"/>
  <c r="J118" i="65"/>
  <c r="S118" i="65" s="1"/>
  <c r="J94" i="49"/>
  <c r="V94" i="49" s="1"/>
  <c r="J93" i="65"/>
  <c r="S93" i="65" s="1"/>
  <c r="J122" i="49"/>
  <c r="V122" i="49" s="1"/>
  <c r="J121" i="65"/>
  <c r="S121" i="65" s="1"/>
  <c r="L92" i="50"/>
  <c r="J91" i="65"/>
  <c r="S91" i="65" s="1"/>
  <c r="J133" i="49"/>
  <c r="V133" i="49" s="1"/>
  <c r="J132" i="65"/>
  <c r="S132" i="65" s="1"/>
  <c r="J36" i="49"/>
  <c r="V36" i="49" s="1"/>
  <c r="J35" i="65"/>
  <c r="S35" i="65" s="1"/>
  <c r="J41" i="49"/>
  <c r="V41" i="49" s="1"/>
  <c r="J40" i="65"/>
  <c r="S40" i="65" s="1"/>
  <c r="J79" i="49"/>
  <c r="V79" i="49" s="1"/>
  <c r="J78" i="65"/>
  <c r="S78" i="65" s="1"/>
  <c r="J35" i="49"/>
  <c r="V35" i="49" s="1"/>
  <c r="J34" i="65"/>
  <c r="S34" i="65" s="1"/>
  <c r="J73" i="49"/>
  <c r="V73" i="49" s="1"/>
  <c r="J72" i="65"/>
  <c r="S72" i="65" s="1"/>
  <c r="J53" i="49"/>
  <c r="V53" i="49" s="1"/>
  <c r="J52" i="65"/>
  <c r="S52" i="65" s="1"/>
  <c r="L109" i="50"/>
  <c r="J108" i="65"/>
  <c r="S108" i="65" s="1"/>
  <c r="L37" i="50"/>
  <c r="J36" i="65"/>
  <c r="S36" i="65" s="1"/>
  <c r="J117" i="49"/>
  <c r="V117" i="49" s="1"/>
  <c r="J116" i="65"/>
  <c r="S116" i="65" s="1"/>
  <c r="L111" i="50"/>
  <c r="J110" i="65"/>
  <c r="S110" i="65" s="1"/>
  <c r="J113" i="49"/>
  <c r="V113" i="49" s="1"/>
  <c r="J112" i="65"/>
  <c r="S112" i="65" s="1"/>
  <c r="L56" i="50"/>
  <c r="J55" i="65"/>
  <c r="S55" i="65" s="1"/>
  <c r="L116" i="50"/>
  <c r="J115" i="65"/>
  <c r="S115" i="65" s="1"/>
  <c r="J115" i="49"/>
  <c r="V115" i="49" s="1"/>
  <c r="J114" i="65"/>
  <c r="S114" i="65" s="1"/>
  <c r="J60" i="49"/>
  <c r="V60" i="49" s="1"/>
  <c r="J59" i="65"/>
  <c r="S59" i="65" s="1"/>
  <c r="J58" i="49"/>
  <c r="V58" i="49" s="1"/>
  <c r="J57" i="65"/>
  <c r="S57" i="65" s="1"/>
  <c r="J30" i="49"/>
  <c r="V30" i="49" s="1"/>
  <c r="J29" i="65"/>
  <c r="S29" i="65" s="1"/>
  <c r="J50" i="49"/>
  <c r="V50" i="49" s="1"/>
  <c r="J49" i="65"/>
  <c r="S49" i="65" s="1"/>
  <c r="J86" i="49"/>
  <c r="V86" i="49" s="1"/>
  <c r="J85" i="65"/>
  <c r="S85" i="65" s="1"/>
  <c r="L29" i="50"/>
  <c r="J28" i="65"/>
  <c r="S28" i="65" s="1"/>
  <c r="J23" i="49"/>
  <c r="V23" i="49" s="1"/>
  <c r="J22" i="65"/>
  <c r="S22" i="65" s="1"/>
  <c r="L123" i="50"/>
  <c r="J122" i="65"/>
  <c r="S122" i="65" s="1"/>
  <c r="J129" i="49"/>
  <c r="V129" i="49" s="1"/>
  <c r="J128" i="65"/>
  <c r="S128" i="65" s="1"/>
  <c r="J38" i="49"/>
  <c r="V38" i="49" s="1"/>
  <c r="J37" i="65"/>
  <c r="S37" i="65" s="1"/>
  <c r="J131" i="49"/>
  <c r="V131" i="49" s="1"/>
  <c r="J130" i="65"/>
  <c r="S130" i="65" s="1"/>
  <c r="L87" i="50"/>
  <c r="J86" i="65"/>
  <c r="S86" i="65" s="1"/>
  <c r="L80" i="50"/>
  <c r="J79" i="65"/>
  <c r="S79" i="65" s="1"/>
  <c r="L69" i="50"/>
  <c r="J68" i="65"/>
  <c r="S68" i="65" s="1"/>
  <c r="L18" i="50"/>
  <c r="J17" i="65"/>
  <c r="S17" i="65" s="1"/>
  <c r="J89" i="49"/>
  <c r="V89" i="49" s="1"/>
  <c r="J88" i="65"/>
  <c r="S88" i="65" s="1"/>
  <c r="J110" i="49"/>
  <c r="V110" i="49" s="1"/>
  <c r="J109" i="65"/>
  <c r="S109" i="65" s="1"/>
  <c r="J19" i="49"/>
  <c r="V19" i="49" s="1"/>
  <c r="J18" i="65"/>
  <c r="S18" i="65" s="1"/>
  <c r="J90" i="49"/>
  <c r="V90" i="49" s="1"/>
  <c r="J89" i="65"/>
  <c r="S89" i="65" s="1"/>
  <c r="L102" i="50"/>
  <c r="J101" i="65"/>
  <c r="L105" i="50"/>
  <c r="J104" i="65"/>
  <c r="S104" i="65" s="1"/>
  <c r="L106" i="50"/>
  <c r="J105" i="65"/>
  <c r="S105" i="65" s="1"/>
  <c r="J148" i="65"/>
  <c r="K148" i="65" s="1"/>
  <c r="V98" i="49"/>
  <c r="J152" i="65"/>
  <c r="K152" i="65" s="1"/>
  <c r="S15" i="49"/>
  <c r="V15" i="49"/>
  <c r="F8" i="56"/>
  <c r="I8" i="56" s="1"/>
  <c r="F7" i="56"/>
  <c r="I7" i="56" s="1"/>
  <c r="F9" i="63"/>
  <c r="I9" i="63" s="1"/>
  <c r="T7" i="56"/>
  <c r="W7" i="56" s="1"/>
  <c r="V9" i="63"/>
  <c r="Y9" i="63" s="1"/>
  <c r="T8" i="56"/>
  <c r="W8" i="56" s="1"/>
  <c r="M7" i="56"/>
  <c r="P7" i="56" s="1"/>
  <c r="Q9" i="63"/>
  <c r="M8" i="56"/>
  <c r="P8" i="56" s="1"/>
  <c r="F6" i="56"/>
  <c r="I6" i="56" s="1"/>
  <c r="F6" i="63"/>
  <c r="I6" i="63" s="1"/>
  <c r="T6" i="56"/>
  <c r="W6" i="56" s="1"/>
  <c r="V6" i="63"/>
  <c r="Y6" i="63" s="1"/>
  <c r="Z6" i="63" s="1"/>
  <c r="M6" i="56"/>
  <c r="P6" i="56" s="1"/>
  <c r="Q6" i="63"/>
  <c r="R6" i="63" s="1"/>
  <c r="L41" i="50"/>
  <c r="L113" i="50"/>
  <c r="L129" i="50"/>
  <c r="L58" i="50"/>
  <c r="L73" i="50"/>
  <c r="J18" i="49"/>
  <c r="V18" i="49" s="1"/>
  <c r="L90" i="50"/>
  <c r="L115" i="50"/>
  <c r="J29" i="49"/>
  <c r="V29" i="49" s="1"/>
  <c r="L112" i="50"/>
  <c r="L60" i="50"/>
  <c r="J106" i="49"/>
  <c r="V106" i="49" s="1"/>
  <c r="J102" i="49"/>
  <c r="V102" i="49" s="1"/>
  <c r="L133" i="50"/>
  <c r="L19" i="50"/>
  <c r="J123" i="49"/>
  <c r="V123" i="49" s="1"/>
  <c r="L94" i="50"/>
  <c r="L36" i="50"/>
  <c r="J119" i="49"/>
  <c r="V119" i="49" s="1"/>
  <c r="L35" i="50"/>
  <c r="L38" i="50"/>
  <c r="J116" i="49"/>
  <c r="V116" i="49" s="1"/>
  <c r="L23" i="50"/>
  <c r="L86" i="50"/>
  <c r="L110" i="50"/>
  <c r="L79" i="50"/>
  <c r="L131" i="50"/>
  <c r="J92" i="49"/>
  <c r="V92" i="49" s="1"/>
  <c r="J111" i="49"/>
  <c r="V111" i="49" s="1"/>
  <c r="J105" i="49"/>
  <c r="V105" i="49" s="1"/>
  <c r="L30" i="50"/>
  <c r="J56" i="49"/>
  <c r="V56" i="49" s="1"/>
  <c r="J80" i="49"/>
  <c r="V80" i="49" s="1"/>
  <c r="J69" i="49"/>
  <c r="V69" i="49" s="1"/>
  <c r="L53" i="50"/>
  <c r="J87" i="49"/>
  <c r="V87" i="49" s="1"/>
  <c r="J109" i="49"/>
  <c r="V109" i="49" s="1"/>
  <c r="J37" i="49"/>
  <c r="V37" i="49" s="1"/>
  <c r="L89" i="50"/>
  <c r="L122" i="50"/>
  <c r="L117" i="50"/>
  <c r="L50" i="50"/>
  <c r="P88" i="50"/>
  <c r="M88" i="49"/>
  <c r="X88" i="49" s="1"/>
  <c r="P51" i="50"/>
  <c r="M51" i="49"/>
  <c r="X51" i="49" s="1"/>
  <c r="P87" i="50"/>
  <c r="M87" i="49"/>
  <c r="X87" i="49" s="1"/>
  <c r="P124" i="49"/>
  <c r="Z124" i="49" s="1"/>
  <c r="T124" i="50"/>
  <c r="P138" i="49"/>
  <c r="Z138" i="49" s="1"/>
  <c r="T138" i="50"/>
  <c r="P94" i="49"/>
  <c r="Z94" i="49" s="1"/>
  <c r="T94" i="50"/>
  <c r="P132" i="50"/>
  <c r="M132" i="49"/>
  <c r="X132" i="49" s="1"/>
  <c r="M84" i="49"/>
  <c r="X84" i="49" s="1"/>
  <c r="P84" i="50"/>
  <c r="M63" i="49"/>
  <c r="X63" i="49" s="1"/>
  <c r="P63" i="50"/>
  <c r="M69" i="49"/>
  <c r="X69" i="49" s="1"/>
  <c r="P69" i="50"/>
  <c r="M81" i="49"/>
  <c r="X81" i="49" s="1"/>
  <c r="P81" i="50"/>
  <c r="P125" i="50"/>
  <c r="M125" i="49"/>
  <c r="X125" i="49" s="1"/>
  <c r="P129" i="50"/>
  <c r="M129" i="49"/>
  <c r="X129" i="49" s="1"/>
  <c r="P105" i="49"/>
  <c r="Z105" i="49" s="1"/>
  <c r="T105" i="50"/>
  <c r="P80" i="49"/>
  <c r="Z80" i="49" s="1"/>
  <c r="T80" i="50"/>
  <c r="P59" i="49"/>
  <c r="Z59" i="49" s="1"/>
  <c r="T59" i="50"/>
  <c r="M76" i="49"/>
  <c r="X76" i="49" s="1"/>
  <c r="P76" i="50"/>
  <c r="M128" i="49"/>
  <c r="X128" i="49" s="1"/>
  <c r="P128" i="50"/>
  <c r="M34" i="49"/>
  <c r="X34" i="49" s="1"/>
  <c r="P34" i="50"/>
  <c r="T93" i="50"/>
  <c r="P93" i="49"/>
  <c r="Z93" i="49" s="1"/>
  <c r="P92" i="49"/>
  <c r="Z92" i="49" s="1"/>
  <c r="T92" i="50"/>
  <c r="P68" i="49"/>
  <c r="Z68" i="49" s="1"/>
  <c r="T68" i="50"/>
  <c r="P23" i="49"/>
  <c r="Z23" i="49" s="1"/>
  <c r="T23" i="50"/>
  <c r="P49" i="50"/>
  <c r="M49" i="49"/>
  <c r="X49" i="49" s="1"/>
  <c r="P37" i="50"/>
  <c r="M37" i="49"/>
  <c r="X37" i="49" s="1"/>
  <c r="P31" i="50"/>
  <c r="M31" i="49"/>
  <c r="X31" i="49" s="1"/>
  <c r="P93" i="50"/>
  <c r="M93" i="49"/>
  <c r="X93" i="49" s="1"/>
  <c r="P56" i="49"/>
  <c r="Z56" i="49" s="1"/>
  <c r="T56" i="50"/>
  <c r="P106" i="49"/>
  <c r="Z106" i="49" s="1"/>
  <c r="T106" i="50"/>
  <c r="P128" i="49"/>
  <c r="Z128" i="49" s="1"/>
  <c r="T128" i="50"/>
  <c r="P118" i="49"/>
  <c r="Z118" i="49" s="1"/>
  <c r="T118" i="50"/>
  <c r="M94" i="49"/>
  <c r="X94" i="49" s="1"/>
  <c r="P94" i="50"/>
  <c r="M100" i="49"/>
  <c r="X100" i="49" s="1"/>
  <c r="P100" i="50"/>
  <c r="M89" i="49"/>
  <c r="X89" i="49" s="1"/>
  <c r="P89" i="50"/>
  <c r="M26" i="49"/>
  <c r="X26" i="49" s="1"/>
  <c r="P26" i="50"/>
  <c r="P139" i="49"/>
  <c r="Z139" i="49" s="1"/>
  <c r="T139" i="50"/>
  <c r="P111" i="49"/>
  <c r="Z111" i="49" s="1"/>
  <c r="T111" i="50"/>
  <c r="P21" i="49"/>
  <c r="Z21" i="49" s="1"/>
  <c r="T21" i="50"/>
  <c r="P101" i="49"/>
  <c r="Z101" i="49" s="1"/>
  <c r="T101" i="50"/>
  <c r="M98" i="49"/>
  <c r="P98" i="50"/>
  <c r="P97" i="50"/>
  <c r="M97" i="49"/>
  <c r="X97" i="49" s="1"/>
  <c r="M57" i="49"/>
  <c r="X57" i="49" s="1"/>
  <c r="P57" i="50"/>
  <c r="P19" i="50"/>
  <c r="M19" i="49"/>
  <c r="X19" i="49" s="1"/>
  <c r="T42" i="50"/>
  <c r="P42" i="49"/>
  <c r="Z42" i="49" s="1"/>
  <c r="T90" i="50"/>
  <c r="P90" i="49"/>
  <c r="Z90" i="49" s="1"/>
  <c r="T67" i="50"/>
  <c r="P67" i="49"/>
  <c r="Z67" i="49" s="1"/>
  <c r="T117" i="50"/>
  <c r="P117" i="49"/>
  <c r="Z117" i="49" s="1"/>
  <c r="P111" i="50"/>
  <c r="M111" i="49"/>
  <c r="X111" i="49" s="1"/>
  <c r="M137" i="49"/>
  <c r="X137" i="49" s="1"/>
  <c r="P137" i="50"/>
  <c r="P28" i="50"/>
  <c r="M28" i="49"/>
  <c r="X28" i="49" s="1"/>
  <c r="P126" i="49"/>
  <c r="Z126" i="49" s="1"/>
  <c r="T126" i="50"/>
  <c r="P62" i="49"/>
  <c r="Z62" i="49" s="1"/>
  <c r="T62" i="50"/>
  <c r="T19" i="50"/>
  <c r="P19" i="49"/>
  <c r="Z19" i="49" s="1"/>
  <c r="T66" i="50"/>
  <c r="P66" i="49"/>
  <c r="Z66" i="49" s="1"/>
  <c r="P127" i="49"/>
  <c r="Z127" i="49" s="1"/>
  <c r="T127" i="50"/>
  <c r="P58" i="49"/>
  <c r="Z58" i="49" s="1"/>
  <c r="T58" i="50"/>
  <c r="T97" i="50"/>
  <c r="P97" i="49"/>
  <c r="Z97" i="49" s="1"/>
  <c r="P33" i="49"/>
  <c r="Z33" i="49" s="1"/>
  <c r="T33" i="50"/>
  <c r="M99" i="49"/>
  <c r="X99" i="49" s="1"/>
  <c r="P99" i="50"/>
  <c r="M124" i="49"/>
  <c r="X124" i="49" s="1"/>
  <c r="P124" i="50"/>
  <c r="M23" i="49"/>
  <c r="X23" i="49" s="1"/>
  <c r="P23" i="50"/>
  <c r="P105" i="50"/>
  <c r="M105" i="49"/>
  <c r="X105" i="49" s="1"/>
  <c r="P137" i="49"/>
  <c r="Z137" i="49" s="1"/>
  <c r="T137" i="50"/>
  <c r="T109" i="50"/>
  <c r="P109" i="49"/>
  <c r="Z109" i="49" s="1"/>
  <c r="P82" i="49"/>
  <c r="Z82" i="49" s="1"/>
  <c r="T82" i="50"/>
  <c r="M41" i="49"/>
  <c r="X41" i="49" s="1"/>
  <c r="P41" i="50"/>
  <c r="P85" i="50"/>
  <c r="M85" i="49"/>
  <c r="X85" i="49" s="1"/>
  <c r="M83" i="49"/>
  <c r="X83" i="49" s="1"/>
  <c r="P83" i="50"/>
  <c r="M48" i="49"/>
  <c r="X48" i="49" s="1"/>
  <c r="P48" i="50"/>
  <c r="P61" i="50"/>
  <c r="M61" i="49"/>
  <c r="X61" i="49" s="1"/>
  <c r="P18" i="50"/>
  <c r="M18" i="49"/>
  <c r="X18" i="49" s="1"/>
  <c r="P38" i="49"/>
  <c r="Z38" i="49" s="1"/>
  <c r="T38" i="50"/>
  <c r="P40" i="49"/>
  <c r="Z40" i="49" s="1"/>
  <c r="T40" i="50"/>
  <c r="T100" i="50"/>
  <c r="P100" i="49"/>
  <c r="Z100" i="49" s="1"/>
  <c r="P120" i="50"/>
  <c r="M120" i="49"/>
  <c r="X120" i="49" s="1"/>
  <c r="P115" i="50"/>
  <c r="M115" i="49"/>
  <c r="X115" i="49" s="1"/>
  <c r="M134" i="49"/>
  <c r="X134" i="49" s="1"/>
  <c r="P134" i="50"/>
  <c r="P17" i="49"/>
  <c r="Z17" i="49" s="1"/>
  <c r="T17" i="50"/>
  <c r="P113" i="49"/>
  <c r="Z113" i="49" s="1"/>
  <c r="T113" i="50"/>
  <c r="P116" i="49"/>
  <c r="Z116" i="49" s="1"/>
  <c r="T116" i="50"/>
  <c r="M135" i="49"/>
  <c r="X135" i="49" s="1"/>
  <c r="P135" i="50"/>
  <c r="P106" i="50"/>
  <c r="M106" i="49"/>
  <c r="X106" i="49" s="1"/>
  <c r="P108" i="50"/>
  <c r="M108" i="49"/>
  <c r="X108" i="49" s="1"/>
  <c r="M52" i="49"/>
  <c r="X52" i="49" s="1"/>
  <c r="P52" i="50"/>
  <c r="T52" i="50"/>
  <c r="P52" i="49"/>
  <c r="Z52" i="49" s="1"/>
  <c r="P20" i="49"/>
  <c r="Z20" i="49" s="1"/>
  <c r="T20" i="50"/>
  <c r="P63" i="49"/>
  <c r="Z63" i="49" s="1"/>
  <c r="T63" i="50"/>
  <c r="M116" i="49"/>
  <c r="X116" i="49" s="1"/>
  <c r="P116" i="50"/>
  <c r="P50" i="50"/>
  <c r="M50" i="49"/>
  <c r="X50" i="49" s="1"/>
  <c r="P133" i="50"/>
  <c r="M133" i="49"/>
  <c r="X133" i="49" s="1"/>
  <c r="P18" i="49"/>
  <c r="Z18" i="49" s="1"/>
  <c r="T18" i="50"/>
  <c r="T55" i="50"/>
  <c r="P55" i="49"/>
  <c r="Z55" i="49" s="1"/>
  <c r="P99" i="49"/>
  <c r="Z99" i="49" s="1"/>
  <c r="T99" i="50"/>
  <c r="T136" i="50"/>
  <c r="P136" i="49"/>
  <c r="Z136" i="49" s="1"/>
  <c r="T72" i="50"/>
  <c r="P72" i="49"/>
  <c r="Z72" i="49" s="1"/>
  <c r="P25" i="49"/>
  <c r="Z25" i="49" s="1"/>
  <c r="T25" i="50"/>
  <c r="M36" i="49"/>
  <c r="X36" i="49" s="1"/>
  <c r="P36" i="50"/>
  <c r="M104" i="49"/>
  <c r="X104" i="49" s="1"/>
  <c r="P104" i="50"/>
  <c r="P38" i="50"/>
  <c r="M38" i="49"/>
  <c r="X38" i="49" s="1"/>
  <c r="P113" i="50"/>
  <c r="M113" i="49"/>
  <c r="X113" i="49" s="1"/>
  <c r="T78" i="50"/>
  <c r="P78" i="49"/>
  <c r="Z78" i="49" s="1"/>
  <c r="T50" i="50"/>
  <c r="P50" i="49"/>
  <c r="Z50" i="49" s="1"/>
  <c r="P114" i="49"/>
  <c r="Z114" i="49" s="1"/>
  <c r="T114" i="50"/>
  <c r="T81" i="50"/>
  <c r="P81" i="49"/>
  <c r="Z81" i="49" s="1"/>
  <c r="P121" i="50"/>
  <c r="M121" i="49"/>
  <c r="X121" i="49" s="1"/>
  <c r="M73" i="49"/>
  <c r="X73" i="49" s="1"/>
  <c r="P73" i="50"/>
  <c r="M119" i="49"/>
  <c r="X119" i="49" s="1"/>
  <c r="P119" i="50"/>
  <c r="M122" i="49"/>
  <c r="X122" i="49" s="1"/>
  <c r="P122" i="50"/>
  <c r="T89" i="50"/>
  <c r="P89" i="49"/>
  <c r="Z89" i="49" s="1"/>
  <c r="P86" i="49"/>
  <c r="Z86" i="49" s="1"/>
  <c r="T86" i="50"/>
  <c r="P123" i="49"/>
  <c r="Z123" i="49" s="1"/>
  <c r="T123" i="50"/>
  <c r="P46" i="49"/>
  <c r="Z46" i="49" s="1"/>
  <c r="T46" i="50"/>
  <c r="P27" i="49"/>
  <c r="Z27" i="49" s="1"/>
  <c r="T27" i="50"/>
  <c r="P135" i="49"/>
  <c r="Z135" i="49" s="1"/>
  <c r="T135" i="50"/>
  <c r="P140" i="49"/>
  <c r="Z140" i="49" s="1"/>
  <c r="T140" i="50"/>
  <c r="M140" i="49"/>
  <c r="X140" i="49" s="1"/>
  <c r="P140" i="50"/>
  <c r="P101" i="50"/>
  <c r="M101" i="49"/>
  <c r="X101" i="49" s="1"/>
  <c r="M75" i="49"/>
  <c r="X75" i="49" s="1"/>
  <c r="P75" i="50"/>
  <c r="M60" i="49"/>
  <c r="X60" i="49" s="1"/>
  <c r="P60" i="50"/>
  <c r="P120" i="49"/>
  <c r="Z120" i="49" s="1"/>
  <c r="T120" i="50"/>
  <c r="P74" i="49"/>
  <c r="Z74" i="49" s="1"/>
  <c r="T74" i="50"/>
  <c r="T112" i="50"/>
  <c r="P112" i="49"/>
  <c r="Z112" i="49" s="1"/>
  <c r="P62" i="50"/>
  <c r="M62" i="49"/>
  <c r="X62" i="49" s="1"/>
  <c r="P53" i="50"/>
  <c r="M53" i="49"/>
  <c r="X53" i="49" s="1"/>
  <c r="M103" i="49"/>
  <c r="X103" i="49" s="1"/>
  <c r="P103" i="50"/>
  <c r="P42" i="50"/>
  <c r="M42" i="49"/>
  <c r="X42" i="49" s="1"/>
  <c r="M139" i="49"/>
  <c r="X139" i="49" s="1"/>
  <c r="P139" i="50"/>
  <c r="P40" i="50"/>
  <c r="M40" i="49"/>
  <c r="X40" i="49" s="1"/>
  <c r="M114" i="49"/>
  <c r="X114" i="49" s="1"/>
  <c r="P114" i="50"/>
  <c r="P92" i="50"/>
  <c r="M92" i="49"/>
  <c r="X92" i="49" s="1"/>
  <c r="T37" i="50"/>
  <c r="P37" i="49"/>
  <c r="Z37" i="49" s="1"/>
  <c r="T32" i="50"/>
  <c r="P32" i="49"/>
  <c r="Z32" i="49" s="1"/>
  <c r="T22" i="50"/>
  <c r="P22" i="49"/>
  <c r="Z22" i="49" s="1"/>
  <c r="P117" i="50"/>
  <c r="M117" i="49"/>
  <c r="X117" i="49" s="1"/>
  <c r="M107" i="49"/>
  <c r="X107" i="49" s="1"/>
  <c r="P107" i="50"/>
  <c r="M59" i="49"/>
  <c r="X59" i="49" s="1"/>
  <c r="P59" i="50"/>
  <c r="M15" i="49"/>
  <c r="P15" i="50"/>
  <c r="P125" i="49"/>
  <c r="Z125" i="49" s="1"/>
  <c r="T125" i="50"/>
  <c r="P35" i="49"/>
  <c r="Z35" i="49" s="1"/>
  <c r="T35" i="50"/>
  <c r="P129" i="49"/>
  <c r="Z129" i="49" s="1"/>
  <c r="T129" i="50"/>
  <c r="P109" i="50"/>
  <c r="M109" i="49"/>
  <c r="X109" i="49" s="1"/>
  <c r="P95" i="50"/>
  <c r="M95" i="49"/>
  <c r="X95" i="49" s="1"/>
  <c r="P35" i="50"/>
  <c r="M35" i="49"/>
  <c r="X35" i="49" s="1"/>
  <c r="T61" i="50"/>
  <c r="P61" i="49"/>
  <c r="Z61" i="49" s="1"/>
  <c r="P36" i="49"/>
  <c r="Z36" i="49" s="1"/>
  <c r="T36" i="50"/>
  <c r="P104" i="49"/>
  <c r="Z104" i="49" s="1"/>
  <c r="T104" i="50"/>
  <c r="T26" i="50"/>
  <c r="P26" i="49"/>
  <c r="Z26" i="49" s="1"/>
  <c r="P21" i="50"/>
  <c r="M21" i="49"/>
  <c r="X21" i="49" s="1"/>
  <c r="M131" i="49"/>
  <c r="X131" i="49" s="1"/>
  <c r="P131" i="50"/>
  <c r="M74" i="49"/>
  <c r="X74" i="49" s="1"/>
  <c r="P74" i="50"/>
  <c r="P77" i="50"/>
  <c r="M77" i="49"/>
  <c r="X77" i="49" s="1"/>
  <c r="P31" i="49"/>
  <c r="Z31" i="49" s="1"/>
  <c r="T31" i="50"/>
  <c r="P47" i="49"/>
  <c r="Z47" i="49" s="1"/>
  <c r="T47" i="50"/>
  <c r="P77" i="49"/>
  <c r="Z77" i="49" s="1"/>
  <c r="T77" i="50"/>
  <c r="P87" i="49"/>
  <c r="Z87" i="49" s="1"/>
  <c r="T87" i="50"/>
  <c r="P25" i="50"/>
  <c r="M25" i="49"/>
  <c r="X25" i="49" s="1"/>
  <c r="M68" i="49"/>
  <c r="X68" i="49" s="1"/>
  <c r="P68" i="50"/>
  <c r="P118" i="50"/>
  <c r="M118" i="49"/>
  <c r="X118" i="49" s="1"/>
  <c r="P32" i="50"/>
  <c r="M32" i="49"/>
  <c r="X32" i="49" s="1"/>
  <c r="P47" i="50"/>
  <c r="M47" i="49"/>
  <c r="X47" i="49" s="1"/>
  <c r="P88" i="49"/>
  <c r="Z88" i="49" s="1"/>
  <c r="T88" i="50"/>
  <c r="P73" i="49"/>
  <c r="Z73" i="49" s="1"/>
  <c r="T73" i="50"/>
  <c r="T49" i="50"/>
  <c r="P49" i="49"/>
  <c r="Z49" i="49" s="1"/>
  <c r="M56" i="49"/>
  <c r="X56" i="49" s="1"/>
  <c r="P56" i="50"/>
  <c r="M17" i="49"/>
  <c r="X17" i="49" s="1"/>
  <c r="P17" i="50"/>
  <c r="M65" i="49"/>
  <c r="X65" i="49" s="1"/>
  <c r="P65" i="50"/>
  <c r="M127" i="49"/>
  <c r="X127" i="49" s="1"/>
  <c r="P127" i="50"/>
  <c r="P122" i="49"/>
  <c r="Z122" i="49" s="1"/>
  <c r="T122" i="50"/>
  <c r="T134" i="50"/>
  <c r="P134" i="49"/>
  <c r="Z134" i="49" s="1"/>
  <c r="P69" i="49"/>
  <c r="Z69" i="49" s="1"/>
  <c r="T69" i="50"/>
  <c r="P48" i="49"/>
  <c r="Z48" i="49" s="1"/>
  <c r="T48" i="50"/>
  <c r="P41" i="49"/>
  <c r="Z41" i="49" s="1"/>
  <c r="T41" i="50"/>
  <c r="P102" i="49"/>
  <c r="Z102" i="49" s="1"/>
  <c r="T102" i="50"/>
  <c r="M27" i="49"/>
  <c r="X27" i="49" s="1"/>
  <c r="P27" i="50"/>
  <c r="P79" i="50"/>
  <c r="M79" i="49"/>
  <c r="X79" i="49" s="1"/>
  <c r="M110" i="49"/>
  <c r="X110" i="49" s="1"/>
  <c r="P110" i="50"/>
  <c r="P119" i="49"/>
  <c r="Z119" i="49" s="1"/>
  <c r="T119" i="50"/>
  <c r="T75" i="50"/>
  <c r="P75" i="49"/>
  <c r="Z75" i="49" s="1"/>
  <c r="T95" i="50"/>
  <c r="P95" i="49"/>
  <c r="Z95" i="49" s="1"/>
  <c r="T133" i="50"/>
  <c r="P133" i="49"/>
  <c r="Z133" i="49" s="1"/>
  <c r="M136" i="49"/>
  <c r="X136" i="49" s="1"/>
  <c r="P136" i="50"/>
  <c r="M55" i="49"/>
  <c r="X55" i="49" s="1"/>
  <c r="P55" i="50"/>
  <c r="M45" i="49"/>
  <c r="X45" i="49" s="1"/>
  <c r="P45" i="50"/>
  <c r="M86" i="49"/>
  <c r="X86" i="49" s="1"/>
  <c r="P86" i="50"/>
  <c r="M102" i="49"/>
  <c r="X102" i="49" s="1"/>
  <c r="P102" i="50"/>
  <c r="M71" i="49"/>
  <c r="X71" i="49" s="1"/>
  <c r="P71" i="50"/>
  <c r="M112" i="49"/>
  <c r="X112" i="49" s="1"/>
  <c r="P112" i="50"/>
  <c r="P43" i="50"/>
  <c r="M43" i="49"/>
  <c r="X43" i="49" s="1"/>
  <c r="P53" i="49"/>
  <c r="Z53" i="49" s="1"/>
  <c r="T53" i="50"/>
  <c r="P103" i="49"/>
  <c r="Z103" i="49" s="1"/>
  <c r="T103" i="50"/>
  <c r="T43" i="50"/>
  <c r="P43" i="49"/>
  <c r="Z43" i="49" s="1"/>
  <c r="P138" i="50"/>
  <c r="M138" i="49"/>
  <c r="X138" i="49" s="1"/>
  <c r="M90" i="49"/>
  <c r="X90" i="49" s="1"/>
  <c r="P90" i="50"/>
  <c r="M82" i="49"/>
  <c r="X82" i="49" s="1"/>
  <c r="P82" i="50"/>
  <c r="M33" i="49"/>
  <c r="X33" i="49" s="1"/>
  <c r="P33" i="50"/>
  <c r="P34" i="49"/>
  <c r="Z34" i="49" s="1"/>
  <c r="T34" i="50"/>
  <c r="P45" i="49"/>
  <c r="Z45" i="49" s="1"/>
  <c r="T45" i="50"/>
  <c r="P84" i="49"/>
  <c r="Z84" i="49" s="1"/>
  <c r="T84" i="50"/>
  <c r="P132" i="49"/>
  <c r="Z132" i="49" s="1"/>
  <c r="T132" i="50"/>
  <c r="M67" i="49"/>
  <c r="X67" i="49" s="1"/>
  <c r="P67" i="50"/>
  <c r="P22" i="50"/>
  <c r="M22" i="49"/>
  <c r="X22" i="49" s="1"/>
  <c r="P80" i="50"/>
  <c r="M80" i="49"/>
  <c r="X80" i="49" s="1"/>
  <c r="T65" i="50"/>
  <c r="P65" i="49"/>
  <c r="Z65" i="49" s="1"/>
  <c r="T107" i="50"/>
  <c r="P107" i="49"/>
  <c r="Z107" i="49" s="1"/>
  <c r="P108" i="49"/>
  <c r="Z108" i="49" s="1"/>
  <c r="T108" i="50"/>
  <c r="P57" i="49"/>
  <c r="Z57" i="49" s="1"/>
  <c r="T57" i="50"/>
  <c r="T98" i="50"/>
  <c r="P98" i="49"/>
  <c r="P66" i="50"/>
  <c r="M66" i="49"/>
  <c r="X66" i="49" s="1"/>
  <c r="M29" i="49"/>
  <c r="X29" i="49" s="1"/>
  <c r="P29" i="50"/>
  <c r="M123" i="49"/>
  <c r="X123" i="49" s="1"/>
  <c r="P123" i="50"/>
  <c r="M72" i="49"/>
  <c r="X72" i="49" s="1"/>
  <c r="P72" i="50"/>
  <c r="P60" i="49"/>
  <c r="Z60" i="49" s="1"/>
  <c r="T60" i="50"/>
  <c r="P121" i="49"/>
  <c r="Z121" i="49" s="1"/>
  <c r="T121" i="50"/>
  <c r="P115" i="49"/>
  <c r="Z115" i="49" s="1"/>
  <c r="T115" i="50"/>
  <c r="P85" i="49"/>
  <c r="Z85" i="49" s="1"/>
  <c r="T85" i="50"/>
  <c r="P30" i="50"/>
  <c r="M30" i="49"/>
  <c r="X30" i="49" s="1"/>
  <c r="M78" i="49"/>
  <c r="X78" i="49" s="1"/>
  <c r="P78" i="50"/>
  <c r="P46" i="50"/>
  <c r="M46" i="49"/>
  <c r="X46" i="49" s="1"/>
  <c r="P110" i="49"/>
  <c r="Z110" i="49" s="1"/>
  <c r="T110" i="50"/>
  <c r="T71" i="50"/>
  <c r="P71" i="49"/>
  <c r="Z71" i="49" s="1"/>
  <c r="T76" i="50"/>
  <c r="P76" i="49"/>
  <c r="Z76" i="49" s="1"/>
  <c r="T83" i="50"/>
  <c r="P83" i="49"/>
  <c r="Z83" i="49" s="1"/>
  <c r="M58" i="49"/>
  <c r="X58" i="49" s="1"/>
  <c r="P58" i="50"/>
  <c r="P20" i="50"/>
  <c r="M20" i="49"/>
  <c r="X20" i="49" s="1"/>
  <c r="P126" i="50"/>
  <c r="M126" i="49"/>
  <c r="X126" i="49" s="1"/>
  <c r="T29" i="50"/>
  <c r="P29" i="49"/>
  <c r="Z29" i="49" s="1"/>
  <c r="P15" i="49"/>
  <c r="T15" i="50"/>
  <c r="P131" i="49"/>
  <c r="Z131" i="49" s="1"/>
  <c r="T131" i="50"/>
  <c r="P30" i="49"/>
  <c r="Z30" i="49" s="1"/>
  <c r="T30" i="50"/>
  <c r="T28" i="50"/>
  <c r="P28" i="49"/>
  <c r="Z28" i="49" s="1"/>
  <c r="P79" i="49"/>
  <c r="Z79" i="49" s="1"/>
  <c r="T79" i="50"/>
  <c r="P51" i="49"/>
  <c r="Z51" i="49" s="1"/>
  <c r="T51" i="50"/>
  <c r="AM14" i="63" l="1"/>
  <c r="AO14" i="63" s="1"/>
  <c r="AK14" i="63" s="1"/>
  <c r="AP9" i="63"/>
  <c r="W15" i="63"/>
  <c r="Y15" i="63" s="1"/>
  <c r="U15" i="63" s="1"/>
  <c r="Z9" i="63"/>
  <c r="W14" i="63"/>
  <c r="Y14" i="63" s="1"/>
  <c r="U14" i="63" s="1"/>
  <c r="P15" i="63"/>
  <c r="Q15" i="63" s="1"/>
  <c r="M15" i="63" s="1"/>
  <c r="R9" i="63"/>
  <c r="H14" i="63"/>
  <c r="I14" i="63" s="1"/>
  <c r="E14" i="63" s="1"/>
  <c r="J6" i="63"/>
  <c r="H15" i="63"/>
  <c r="I15" i="63" s="1"/>
  <c r="E15" i="63" s="1"/>
  <c r="J9" i="63"/>
  <c r="P14" i="63"/>
  <c r="Q14" i="63" s="1"/>
  <c r="M14" i="63" s="1"/>
  <c r="AM15" i="63"/>
  <c r="AO15" i="63" s="1"/>
  <c r="AK15" i="63" s="1"/>
  <c r="S101" i="65"/>
  <c r="J144" i="65"/>
  <c r="J151" i="65" s="1"/>
  <c r="K151" i="65" s="1"/>
  <c r="J143" i="65"/>
  <c r="J147" i="65" s="1"/>
  <c r="K147" i="65" s="1"/>
  <c r="X98" i="49"/>
  <c r="Z98" i="49"/>
  <c r="Z15" i="49"/>
  <c r="X15"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tc={E332B017-4BBD-A74D-9981-9B6D1B601B46}</author>
    <author>KM</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H13" authorId="1" shapeId="0" xr:uid="{E332B017-4BBD-A74D-9981-9B6D1B601B46}">
      <text>
        <t xml:space="preserve">[Threaded comment]
Your version of Excel allows you to read this threaded comment; however, any edits to it will get removed if the file is opened in a newer version of Excel. Learn more: https://go.microsoft.com/fwlink/?linkid=870924
Comment:
    “Not close to rail transit.”
</t>
      </text>
    </comment>
    <comment ref="Q82"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G84" authorId="2" shapeId="0" xr:uid="{B4AFF95C-C883-BF48-AC6B-9DBC6712AE2A}">
      <text>
        <r>
          <rPr>
            <b/>
            <sz val="10"/>
            <color rgb="FF000000"/>
            <rFont val="Tahoma"/>
            <family val="2"/>
          </rPr>
          <t>While this rate appears in the 10th edition of TripGen, it is not applied in the MDMF calculator.</t>
        </r>
      </text>
    </comment>
    <comment ref="H84" authorId="2" shapeId="0" xr:uid="{E2E6F78A-91F5-3344-AA12-4647F1D67E5B}">
      <text>
        <r>
          <rPr>
            <b/>
            <sz val="10"/>
            <color rgb="FF000000"/>
            <rFont val="Tahoma"/>
            <family val="2"/>
          </rPr>
          <t>While this rate appears in the 10th edition of TripGen, it is not applied in the MDMF calculator.</t>
        </r>
      </text>
    </comment>
    <comment ref="A127" authorId="3"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<sst xmlns="http://schemas.openxmlformats.org/spreadsheetml/2006/main" count="5835" uniqueCount="1054">
  <si>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</si>
  <si>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</si>
  <si>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</si>
  <si>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</si>
  <si>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</si>
  <si>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</si>
  <si>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</si>
  <si>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</si>
  <si>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</si>
  <si>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</si>
  <si>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</si>
  <si>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</si>
  <si>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</si>
  <si>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</si>
  <si>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</si>
  <si>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</si>
  <si>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</si>
  <si>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</si>
  <si>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</si>
  <si>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</si>
  <si>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</si>
  <si>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</si>
  <si>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</si>
  <si>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</si>
  <si>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</si>
  <si>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</si>
  <si>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AutoModeSharesandPMT</t>
  </si>
  <si>
    <t>Summary of Auto Mode Shares and PMT for reference and Urban Centers adjustment</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</si>
  <si>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</si>
  <si>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</si>
  <si>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</si>
  <si>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</si>
  <si>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</si>
  <si>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</si>
  <si>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</si>
  <si>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</si>
  <si>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</si>
  <si>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</si>
  <si>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</si>
  <si>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</si>
  <si>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</si>
  <si>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</si>
  <si>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</si>
  <si>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</si>
  <si>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</si>
  <si>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</si>
  <si>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</si>
  <si>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</si>
  <si>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</si>
  <si>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</si>
  <si>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</si>
  <si>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</si>
  <si>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</si>
  <si>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</si>
  <si>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</si>
  <si>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</si>
  <si>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</si>
  <si>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</si>
  <si>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</si>
  <si>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</si>
  <si>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</si>
  <si>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</si>
  <si>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</si>
  <si>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</si>
  <si>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</si>
  <si>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</si>
  <si>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</si>
  <si>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</si>
  <si>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</si>
  <si>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</si>
  <si>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</si>
  <si>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</si>
  <si>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</si>
  <si>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</si>
  <si>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</si>
  <si>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</si>
  <si>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</si>
  <si>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</si>
  <si>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</si>
  <si>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</si>
  <si>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</si>
  <si>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</si>
  <si>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</si>
  <si>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</si>
  <si>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</si>
  <si>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</si>
  <si>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</si>
  <si>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</si>
  <si>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</si>
  <si>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</si>
  <si>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</si>
  <si>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</si>
  <si>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</si>
  <si>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</si>
  <si>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</si>
  <si>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</si>
  <si>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</si>
  <si>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</si>
  <si>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</si>
  <si>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</si>
  <si>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</si>
  <si>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</si>
  <si>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</si>
  <si>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</si>
  <si>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</si>
  <si>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</si>
  <si>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</si>
  <si>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</si>
  <si>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</si>
  <si>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</si>
  <si>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In Urban Center</t>
  </si>
  <si>
    <t>Not In Urban Center</t>
  </si>
  <si>
    <t>1000 GSF</t>
  </si>
  <si>
    <t>Ring 1 - In</t>
  </si>
  <si>
    <t>Ring 2 - In</t>
  </si>
  <si>
    <t>Ring 3 - In</t>
  </si>
  <si>
    <t>Ring 4 - In</t>
  </si>
  <si>
    <t>Ring 1 - Out</t>
  </si>
  <si>
    <t>Ring 2 - Out</t>
  </si>
  <si>
    <t>Ring 3 - Out</t>
  </si>
  <si>
    <t>Ring 4 - Out</t>
  </si>
  <si>
    <t>Road</t>
  </si>
  <si>
    <t>Code</t>
  </si>
  <si>
    <t>R1_Within Corridor_FEE</t>
  </si>
  <si>
    <t>R1_Outside Corridor_FEE</t>
  </si>
  <si>
    <t>R2_Within Corridor_FEE</t>
  </si>
  <si>
    <t>R2_Outside Corridor_FEE</t>
  </si>
  <si>
    <t>R3_Within Corridor_FEE</t>
  </si>
  <si>
    <t>R3_Outside Corridor_FEE</t>
  </si>
  <si>
    <t>R4_Within Corridor_FEE</t>
  </si>
  <si>
    <t>R4_Outside Corridor_FEE</t>
  </si>
  <si>
    <t>30-00</t>
  </si>
  <si>
    <t>Truck Terminal</t>
  </si>
  <si>
    <t> </t>
  </si>
  <si>
    <t>sf</t>
  </si>
  <si>
    <t>110-00</t>
  </si>
  <si>
    <t>General Light Industrial</t>
  </si>
  <si>
    <t>130-00</t>
  </si>
  <si>
    <t>Industrial Park</t>
  </si>
  <si>
    <t>140-00</t>
  </si>
  <si>
    <t>Manufacturing</t>
  </si>
  <si>
    <t>150-00</t>
  </si>
  <si>
    <t>Warehousing</t>
  </si>
  <si>
    <t>151-00</t>
  </si>
  <si>
    <t>Mini-Warehousing</t>
  </si>
  <si>
    <t>160-00</t>
  </si>
  <si>
    <t>Data Center</t>
  </si>
  <si>
    <t>170-00</t>
  </si>
  <si>
    <t>Utility</t>
  </si>
  <si>
    <t>210-00</t>
  </si>
  <si>
    <t>Single Family Detached</t>
  </si>
  <si>
    <t>Dwelling unit</t>
  </si>
  <si>
    <t>220-00</t>
  </si>
  <si>
    <t>Multi-family Housing (Low-Rise)</t>
  </si>
  <si>
    <t>221-00</t>
  </si>
  <si>
    <t>Multi-family Housing (Mid-Rise)</t>
  </si>
  <si>
    <t>222-00</t>
  </si>
  <si>
    <t>Multi-family Housing (High-Rise)</t>
  </si>
  <si>
    <t>230-00</t>
  </si>
  <si>
    <t xml:space="preserve">Residential Condominium/Townhouse </t>
  </si>
  <si>
    <t>231-00</t>
  </si>
  <si>
    <t>Mid Rise Apart w/ 1st Commercial</t>
  </si>
  <si>
    <t>240-00</t>
  </si>
  <si>
    <t>Mobile Home (Park)</t>
  </si>
  <si>
    <t>251-00</t>
  </si>
  <si>
    <t>Senior Adult Housing-Detached</t>
  </si>
  <si>
    <t>252-00</t>
  </si>
  <si>
    <t>Senior Adult Housing-Attached</t>
  </si>
  <si>
    <t>253-00</t>
  </si>
  <si>
    <t>Congregate Care Facility</t>
  </si>
  <si>
    <t>254-00</t>
  </si>
  <si>
    <t>Assisted Living Facility</t>
  </si>
  <si>
    <t>Bed</t>
  </si>
  <si>
    <t>255-00</t>
  </si>
  <si>
    <t>Continuing Care Retirement Community</t>
  </si>
  <si>
    <t>265-00</t>
  </si>
  <si>
    <t xml:space="preserve">Timeshare </t>
  </si>
  <si>
    <t>270-00</t>
  </si>
  <si>
    <t>Residential PUD</t>
  </si>
  <si>
    <t>310-00</t>
  </si>
  <si>
    <t>Hotel</t>
  </si>
  <si>
    <t>Hotel room</t>
  </si>
  <si>
    <t>311-00</t>
  </si>
  <si>
    <t>All Suites Hotel</t>
  </si>
  <si>
    <t>320-00</t>
  </si>
  <si>
    <t>Motel</t>
  </si>
  <si>
    <t>312-00</t>
  </si>
  <si>
    <t>Business Hotel</t>
  </si>
  <si>
    <t>420-00</t>
  </si>
  <si>
    <t>Marina</t>
  </si>
  <si>
    <t>Berth</t>
  </si>
  <si>
    <t>430-00</t>
  </si>
  <si>
    <t>Golf Course</t>
  </si>
  <si>
    <t>Hole</t>
  </si>
  <si>
    <t>444-00</t>
  </si>
  <si>
    <t>Movie Theater</t>
  </si>
  <si>
    <t>444-01</t>
  </si>
  <si>
    <t>Screens</t>
  </si>
  <si>
    <t>480-00</t>
  </si>
  <si>
    <t>Amusement Park</t>
  </si>
  <si>
    <t>Acre</t>
  </si>
  <si>
    <t>490-00</t>
  </si>
  <si>
    <t>Tennis Courts</t>
  </si>
  <si>
    <t>Court</t>
  </si>
  <si>
    <t>491-00</t>
  </si>
  <si>
    <t>Racquet Club</t>
  </si>
  <si>
    <t>492-00</t>
  </si>
  <si>
    <t>Health/Fitness</t>
  </si>
  <si>
    <t>495-00</t>
  </si>
  <si>
    <t>Recreational Community Center</t>
  </si>
  <si>
    <t>520-00</t>
  </si>
  <si>
    <t>Elementary School (30 FT/St)</t>
  </si>
  <si>
    <t>Student</t>
  </si>
  <si>
    <t>530-00</t>
  </si>
  <si>
    <t>High School (25 SF/St)</t>
  </si>
  <si>
    <t>534-00</t>
  </si>
  <si>
    <t>Private School (K-8)</t>
  </si>
  <si>
    <t>536-00</t>
  </si>
  <si>
    <t>Private School (K-12)</t>
  </si>
  <si>
    <t>537-00</t>
  </si>
  <si>
    <t>Charter Elementary School</t>
  </si>
  <si>
    <t>540-00</t>
  </si>
  <si>
    <t>Jr./Community Co</t>
  </si>
  <si>
    <t>550-00</t>
  </si>
  <si>
    <t>University (20SF/st)</t>
  </si>
  <si>
    <t>560-00</t>
  </si>
  <si>
    <t>Church</t>
  </si>
  <si>
    <t>565-00</t>
  </si>
  <si>
    <t>Day Care Center</t>
  </si>
  <si>
    <t>610-00</t>
  </si>
  <si>
    <t>Hospital</t>
  </si>
  <si>
    <t>620-00</t>
  </si>
  <si>
    <t>Nursing Home</t>
  </si>
  <si>
    <t>630-00</t>
  </si>
  <si>
    <t>Clinic</t>
  </si>
  <si>
    <t>640-00</t>
  </si>
  <si>
    <t>Animal Hospital / Veterinary Clinic</t>
  </si>
  <si>
    <t>650-00</t>
  </si>
  <si>
    <t>Free-standing Emergency Room</t>
  </si>
  <si>
    <t>710-00</t>
  </si>
  <si>
    <t>1 - 50,000</t>
  </si>
  <si>
    <t>710-01</t>
  </si>
  <si>
    <t>50,001 - 100,000</t>
  </si>
  <si>
    <t>710-02</t>
  </si>
  <si>
    <t>100,001 - 150,000</t>
  </si>
  <si>
    <t>710-03</t>
  </si>
  <si>
    <t>150,001 - 200,000</t>
  </si>
  <si>
    <t>710-04</t>
  </si>
  <si>
    <t>200,001 - 300,000</t>
  </si>
  <si>
    <t>710-05</t>
  </si>
  <si>
    <t>300,001 - 400,000</t>
  </si>
  <si>
    <t>710-06</t>
  </si>
  <si>
    <t>400,001 - 500,000</t>
  </si>
  <si>
    <t>710-07</t>
  </si>
  <si>
    <t>500,001 - 600,000</t>
  </si>
  <si>
    <t>710-08</t>
  </si>
  <si>
    <t>600,001 - 700,000</t>
  </si>
  <si>
    <t>710-09</t>
  </si>
  <si>
    <t>700,001 - more</t>
  </si>
  <si>
    <t>712-00</t>
  </si>
  <si>
    <t>Small Office Building</t>
  </si>
  <si>
    <t>714-00</t>
  </si>
  <si>
    <t>Corporate Headquarters Buildings</t>
  </si>
  <si>
    <t>715-00</t>
  </si>
  <si>
    <t>Single Tenant Office Building</t>
  </si>
  <si>
    <t>720-00</t>
  </si>
  <si>
    <t>Medical Office Building</t>
  </si>
  <si>
    <t>730-00</t>
  </si>
  <si>
    <t>Government Office Building</t>
  </si>
  <si>
    <t>731-00</t>
  </si>
  <si>
    <t>State Motor Vehicles Department</t>
  </si>
  <si>
    <t>733-00</t>
  </si>
  <si>
    <t>Government Office Complex</t>
  </si>
  <si>
    <t>750-00</t>
  </si>
  <si>
    <t>Office Park</t>
  </si>
  <si>
    <t>760-00</t>
  </si>
  <si>
    <t>Research Center</t>
  </si>
  <si>
    <t>770-00</t>
  </si>
  <si>
    <t>Business Park</t>
  </si>
  <si>
    <t>812-00</t>
  </si>
  <si>
    <t>Building Materials and Lumber Store</t>
  </si>
  <si>
    <t>813-00</t>
  </si>
  <si>
    <t>Discount Superstore (Free standing)</t>
  </si>
  <si>
    <t>816-00</t>
  </si>
  <si>
    <t>Hardware/Paint Store/Pool Suply</t>
  </si>
  <si>
    <t>817-00</t>
  </si>
  <si>
    <t>Nursery Garden Center</t>
  </si>
  <si>
    <t>820-00</t>
  </si>
  <si>
    <t>1 - 10,000</t>
  </si>
  <si>
    <t>820-01</t>
  </si>
  <si>
    <t>10,001 - 50,000</t>
  </si>
  <si>
    <t>820-02</t>
  </si>
  <si>
    <t>820-03</t>
  </si>
  <si>
    <t>100,001 - 200,000</t>
  </si>
  <si>
    <t>820-04</t>
  </si>
  <si>
    <t>820-05</t>
  </si>
  <si>
    <t>820-06</t>
  </si>
  <si>
    <t>820-07</t>
  </si>
  <si>
    <t>820-08</t>
  </si>
  <si>
    <t>600,001 - 800,000</t>
  </si>
  <si>
    <t>820-09</t>
  </si>
  <si>
    <t>800,001 - 1,000,000</t>
  </si>
  <si>
    <t>820-10</t>
  </si>
  <si>
    <t>1,000,001 - 1,200,000</t>
  </si>
  <si>
    <t>820-11</t>
  </si>
  <si>
    <t>1,200,001 - more</t>
  </si>
  <si>
    <t>823-00</t>
  </si>
  <si>
    <t>Factory Outlet Center</t>
  </si>
  <si>
    <t>840-00</t>
  </si>
  <si>
    <t>Car Sales (New &amp; Used Car Sales Area)</t>
  </si>
  <si>
    <t>843-00</t>
  </si>
  <si>
    <t>Car Sales (Parts Sales)</t>
  </si>
  <si>
    <t>848-00</t>
  </si>
  <si>
    <t>Tire Stores</t>
  </si>
  <si>
    <t>850-00</t>
  </si>
  <si>
    <t>Supermarket (free standing)</t>
  </si>
  <si>
    <t>851-00</t>
  </si>
  <si>
    <t>Convenience market</t>
  </si>
  <si>
    <t>853-00</t>
  </si>
  <si>
    <t>Convenience market with Gasoline Pump</t>
  </si>
  <si>
    <t>857-00</t>
  </si>
  <si>
    <t>Discount Club</t>
  </si>
  <si>
    <t>861-00</t>
  </si>
  <si>
    <t>Sporting Goods Store</t>
  </si>
  <si>
    <t>862-00</t>
  </si>
  <si>
    <t>Home Improvements Superstore</t>
  </si>
  <si>
    <t>863-00</t>
  </si>
  <si>
    <t>Electronics Superstore</t>
  </si>
  <si>
    <t>868-00</t>
  </si>
  <si>
    <t>Book Superstore</t>
  </si>
  <si>
    <t>869-00</t>
  </si>
  <si>
    <t>Discount Home Furnishing Superstore</t>
  </si>
  <si>
    <t>875-00</t>
  </si>
  <si>
    <t>Department Store (free standing)</t>
  </si>
  <si>
    <t>876-00</t>
  </si>
  <si>
    <t>Apparel Store</t>
  </si>
  <si>
    <t>879-00</t>
  </si>
  <si>
    <t>Arts &amp; Crafts Store</t>
  </si>
  <si>
    <t>880-00</t>
  </si>
  <si>
    <t>Pharmacy/Drugstore w/o Drive-Thru</t>
  </si>
  <si>
    <t>881-00</t>
  </si>
  <si>
    <t>Pharmacy/Drugstore w/ Drive-Thru</t>
  </si>
  <si>
    <t>882-00</t>
  </si>
  <si>
    <t>Marijuana Dispensary</t>
  </si>
  <si>
    <t>890-00</t>
  </si>
  <si>
    <t>Furniture Store (free standing)</t>
  </si>
  <si>
    <t>899-00</t>
  </si>
  <si>
    <t>Liquor Store</t>
  </si>
  <si>
    <t>911-00</t>
  </si>
  <si>
    <t>Bank (Walk-in)</t>
  </si>
  <si>
    <t>912-00</t>
  </si>
  <si>
    <t>Bank (Drive-in)</t>
  </si>
  <si>
    <t>931-00</t>
  </si>
  <si>
    <t>Quality Restaurant</t>
  </si>
  <si>
    <t>931-01</t>
  </si>
  <si>
    <t>Quality Restaurant / Seats</t>
  </si>
  <si>
    <t>Seat</t>
  </si>
  <si>
    <t>932-00</t>
  </si>
  <si>
    <t>High Turnover Rest</t>
  </si>
  <si>
    <t>932-01</t>
  </si>
  <si>
    <t>933-00</t>
  </si>
  <si>
    <t>Fast Food Rest. w/o Drive-Thru</t>
  </si>
  <si>
    <t>934-00</t>
  </si>
  <si>
    <t>Fast Food Rest. w/ Drive-Thru</t>
  </si>
  <si>
    <t>937-00</t>
  </si>
  <si>
    <t>Coffee/Donut Shop</t>
  </si>
  <si>
    <t>944-00</t>
  </si>
  <si>
    <t>Service Stations w/ Gasoline</t>
  </si>
  <si>
    <t>Pump</t>
  </si>
  <si>
    <t>CAT_CODE</t>
  </si>
  <si>
    <t>R1_Within SMART Corridor_FEE</t>
  </si>
  <si>
    <t>R1_Outside SMART Corridor_FEE</t>
  </si>
  <si>
    <t>R2_Within Smart Corridor_FEE</t>
  </si>
  <si>
    <t>R2_Outside Smart Corridor_FEE</t>
  </si>
  <si>
    <t>R3_Within Smart Corridor_FEE</t>
  </si>
  <si>
    <t>R3_Outside Smart Corridor_FEE</t>
  </si>
  <si>
    <t>R4_Within Smart Corridor_FEE</t>
  </si>
  <si>
    <t>R4_Outside Smart Corridor_FEE</t>
  </si>
  <si>
    <t xml:space="preserve"> R1_Within SMART Corridor_RATIO </t>
  </si>
  <si>
    <t xml:space="preserve"> R1_Outside SMART Corridor_RATIO </t>
  </si>
  <si>
    <t xml:space="preserve"> R2_Within Smart Corridor_RATIO </t>
  </si>
  <si>
    <t xml:space="preserve"> R2_Outside Smart Corridor_RATIO </t>
  </si>
  <si>
    <t xml:space="preserve"> R3_Within Smart Corridor_RATIO </t>
  </si>
  <si>
    <t xml:space="preserve"> R3_Outside Smart Corridor_RATIO </t>
  </si>
  <si>
    <t xml:space="preserve"> R4_Within Smart Corridor_RATIO </t>
  </si>
  <si>
    <t xml:space="preserve"> R4_Outside Smart Corridor_RATIO </t>
  </si>
  <si>
    <t>No RIF rate</t>
  </si>
  <si>
    <t>Shopping Center/General Retail…</t>
  </si>
  <si>
    <t>Net Cost / Cap Mile</t>
  </si>
  <si>
    <t>Base Development Information</t>
  </si>
  <si>
    <t>Length Adjust-ment</t>
  </si>
  <si>
    <t>Pass By Factor (1 = no pass by trips)</t>
  </si>
  <si>
    <t>`</t>
  </si>
  <si>
    <t>Out</t>
  </si>
  <si>
    <t>Urban Center Adjustment</t>
  </si>
  <si>
    <t>Shift Auto to WalkBike:</t>
  </si>
  <si>
    <t>Non-Urban Mode Share</t>
  </si>
  <si>
    <t>Non-Urban Trip Length</t>
  </si>
  <si>
    <t>Non-Urban VMT</t>
  </si>
  <si>
    <t>Urban Mode Share</t>
  </si>
  <si>
    <t>Urban VMT</t>
  </si>
  <si>
    <t>Urban Center Effect on Modal Fees</t>
  </si>
  <si>
    <t>Walk/bike</t>
  </si>
  <si>
    <t>Trip Generation Inventory</t>
  </si>
  <si>
    <t>Identified in RIF</t>
  </si>
  <si>
    <t>Updated ITE Weekday</t>
  </si>
  <si>
    <t>Daily Trip Rate
Road Impact Fee</t>
  </si>
  <si>
    <t>ITE 10
General Urban / Suburban</t>
  </si>
  <si>
    <t>ITE 11
General Urban / Suburban</t>
  </si>
  <si>
    <t>ITE 10
Multi-Use Urban</t>
  </si>
  <si>
    <t>ITE 10
Center City Core</t>
  </si>
  <si>
    <r>
      <t xml:space="preserve">ITE 10
</t>
    </r>
    <r>
      <rPr>
        <i/>
        <sz val="8"/>
        <color theme="1"/>
        <rFont val="Arial Narrow"/>
        <family val="2"/>
      </rPr>
      <t>Person Trips</t>
    </r>
    <r>
      <rPr>
        <sz val="8"/>
        <color theme="1"/>
        <rFont val="Arial Narrow"/>
        <family val="2"/>
      </rPr>
      <t xml:space="preserve">
Dense Multi-Use Urban</t>
    </r>
  </si>
  <si>
    <r>
      <t xml:space="preserve">ITE 10
</t>
    </r>
    <r>
      <rPr>
        <i/>
        <sz val="8"/>
        <color theme="1"/>
        <rFont val="Arial Narrow"/>
        <family val="2"/>
      </rPr>
      <t>Person Trips</t>
    </r>
    <r>
      <rPr>
        <sz val="8"/>
        <color theme="1"/>
        <rFont val="Arial Narrow"/>
        <family val="2"/>
      </rPr>
      <t xml:space="preserve">
Central City Core</t>
    </r>
  </si>
  <si>
    <r>
      <t xml:space="preserve">Calculated RIF Current Fee (Inflated - </t>
    </r>
    <r>
      <rPr>
        <b/>
        <sz val="10"/>
        <color theme="1"/>
        <rFont val="Arial Narrow"/>
        <family val="2"/>
      </rPr>
      <t>Within UIA)</t>
    </r>
  </si>
  <si>
    <t>Special LU Multiplier for Formula-based Calcs</t>
  </si>
  <si>
    <t>RIF Trip Length</t>
  </si>
  <si>
    <t>% New Trips</t>
  </si>
  <si>
    <t>Printed Rate</t>
  </si>
  <si>
    <t>Printed / Calculated RIF</t>
  </si>
  <si>
    <t>Vehicle Trip Effect</t>
  </si>
  <si>
    <t>Direct Trip Effect</t>
  </si>
  <si>
    <t>Trip Length Effect Using 3-OUT's 8.21 average for MF</t>
  </si>
  <si>
    <t>NET Effect</t>
  </si>
  <si>
    <t>Ring 3 Out Final Roads Assessment</t>
  </si>
  <si>
    <t>Ring 3 Out Final MDMF Assessment</t>
  </si>
  <si>
    <t>VMT: RIF</t>
  </si>
  <si>
    <t>VMT: MDMF Ring 3 Out Roads</t>
  </si>
  <si>
    <t>VMT % difference from RIF to MDMF. Lower values mean lower MDMF VMT</t>
  </si>
  <si>
    <t>TripGen Rate Change. Lower values mean lower MDMF Rates.</t>
  </si>
  <si>
    <t>Effect of MDMF Trip Length, PMT/VMT conversion, &amp; Passby on % VMT Change</t>
  </si>
  <si>
    <t>Ring 3 Out Roads Difference from Printed RIF Rate (UIA). Lower values mean lower MDMF road fees</t>
  </si>
  <si>
    <t>MDMF Total Fee Difference from Printed RIF Rate (UIA). Lower values mean lower MDMF fees</t>
  </si>
  <si>
    <t>MDMF Ring 3 Out - Trip Length</t>
  </si>
  <si>
    <t>Sortable Field</t>
  </si>
  <si>
    <t>Previous MDMF database -&gt; TripGen 11</t>
  </si>
  <si>
    <t>Port and Terminal</t>
  </si>
  <si>
    <t>No daily</t>
  </si>
  <si>
    <t>Industrial</t>
  </si>
  <si>
    <t>Residential</t>
  </si>
  <si>
    <t>6.74. "not close to rail."</t>
  </si>
  <si>
    <t>4.54. "Not close to rail"</t>
  </si>
  <si>
    <t>Low Rise Residential w/ 1st Commercial (up to 25ksf)</t>
  </si>
  <si>
    <t>Mid Rise Residential w/ 1st Commercial</t>
  </si>
  <si>
    <t>No calc for auto</t>
  </si>
  <si>
    <t>Mobile Home Park</t>
  </si>
  <si>
    <t>Senior Adult Housing - Single-Family</t>
  </si>
  <si>
    <t>Senior Adult Housing - Multifamily</t>
  </si>
  <si>
    <t>Lodging</t>
  </si>
  <si>
    <t>Recreational</t>
  </si>
  <si>
    <t xml:space="preserve">Only included code is 445, which the web defines as "movie theater," but which other sources define as "Multiplex Theater." The original 444 appears to be "movie theater with matinee." </t>
  </si>
  <si>
    <t xml:space="preserve">. Only included code is 445, which the web defines as "movie theater," but which other sources define as "Multiplex Theater." The original 444 appears to be "movie theater with matinee." </t>
  </si>
  <si>
    <t>Racquet/Tennis Club</t>
  </si>
  <si>
    <t>Institutional</t>
  </si>
  <si>
    <t>Medical</t>
  </si>
  <si>
    <t>Office</t>
  </si>
  <si>
    <t>General Office, 1 - 50,000gsf</t>
  </si>
  <si>
    <t>General Office, 50,001 - 100,000gsf</t>
  </si>
  <si>
    <t>General Office, 100,001 - 150,000gsf</t>
  </si>
  <si>
    <t>General Office, 150,001 - 200,000gsf</t>
  </si>
  <si>
    <t>General Office, 200,001 - 300,000gsf</t>
  </si>
  <si>
    <t>General Office, 300,001 - 400,000gsf</t>
  </si>
  <si>
    <t>General Office, 400,001 - 500,000gsf</t>
  </si>
  <si>
    <t>General Office, 500,001 - 600,000gsf</t>
  </si>
  <si>
    <t>General Office, 600,001 - 700,000gsf</t>
  </si>
  <si>
    <t>General Office, 700,001gsf - more</t>
  </si>
  <si>
    <t>Retail</t>
  </si>
  <si>
    <t>Shopping Center General, 1 - 10,000gsf</t>
  </si>
  <si>
    <t>Shopping Center General, 10,001 - 50,000gsf</t>
  </si>
  <si>
    <t>Shopping Center General, 50,001 - 100,000gsf</t>
  </si>
  <si>
    <t>Shopping Center General, 100,001 - 200,000gsf</t>
  </si>
  <si>
    <t>Shopping Center General, 200,001 - 300,000gsf</t>
  </si>
  <si>
    <t>Shopping Center General, 300,001 - 400,000gsf</t>
  </si>
  <si>
    <t>Shopping Center General, 400,001 - 500,000gsf</t>
  </si>
  <si>
    <t>Shopping Center General, 500,001 - 600,000gsf</t>
  </si>
  <si>
    <t>Shopping Center General, 600,001 - 800,000gsf</t>
  </si>
  <si>
    <t>Shopping Center General, 800,001 - 1,000,000gsf</t>
  </si>
  <si>
    <t>Shopping Center General, 1,000,001 - 1,200,000gsf</t>
  </si>
  <si>
    <t>Shopping Center General, 1,200,001 gsf - more</t>
  </si>
  <si>
    <t>Auto Sales (New)</t>
  </si>
  <si>
    <t>Auto Parts Sales</t>
  </si>
  <si>
    <t>Tire sales</t>
  </si>
  <si>
    <t>No code</t>
  </si>
  <si>
    <t>Sporting Goods Superstore</t>
  </si>
  <si>
    <t>Services</t>
  </si>
  <si>
    <t>Fine Dining Restaurant</t>
  </si>
  <si>
    <t>High-Turnover (Sit-Down) Restaurant</t>
  </si>
  <si>
    <t>Fast-Food Restaurant without Drive-Through Window</t>
  </si>
  <si>
    <t>Coffee/Donut Shop with Drive Through</t>
  </si>
  <si>
    <t>Gasoline/Service Station</t>
  </si>
  <si>
    <t>Orange cells</t>
  </si>
  <si>
    <t>...indicate 9th edition source from Trip Generation</t>
  </si>
  <si>
    <t>Yellow cells</t>
  </si>
  <si>
    <t>…indicate formula-based rates</t>
  </si>
  <si>
    <t>Land Use Name</t>
  </si>
  <si>
    <t>Sort</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</si>
  <si>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</si>
  <si>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</si>
  <si>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</si>
  <si>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</si>
  <si>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</si>
  <si>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</si>
  <si>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</si>
  <si>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</si>
  <si>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</si>
  <si>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</si>
  <si>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</si>
  <si>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</si>
  <si>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</si>
  <si>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</si>
  <si>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</si>
  <si>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</si>
  <si>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</si>
  <si>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</si>
  <si>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</si>
  <si>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</si>
  <si>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</si>
  <si>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</si>
  <si>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</si>
  <si>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</si>
  <si>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</si>
  <si>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</si>
  <si>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</si>
  <si>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</si>
  <si>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</si>
  <si>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</si>
  <si>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Condominium, Townhouse</t>
  </si>
  <si>
    <t>Mid Rise Apart w/ 1st Commerical</t>
  </si>
  <si>
    <t>Note: Hillsborough rates applied</t>
  </si>
  <si>
    <t>Note: Hillsborough rates applied for pass-by</t>
  </si>
  <si>
    <t>Corportate Headquarters Buildings</t>
  </si>
  <si>
    <t>Car Sales (Service and Parts Sales Area)</t>
  </si>
  <si>
    <t>Note: Hillsborough rates applied (gas station)</t>
  </si>
  <si>
    <t>Note: Hillsborough rates applied (fast food)</t>
  </si>
  <si>
    <t>Hillsborough County Mobility Fee Update Study - 2020</t>
  </si>
  <si>
    <t>LUC-specific adjustments for all sizes of development</t>
  </si>
  <si>
    <t>Double-check of LUC 820 p. A-12 data</t>
  </si>
  <si>
    <t>Assessable trip length default starting point (for SFDU, applied to other categories as well)</t>
  </si>
  <si>
    <t>presume this equates to SERPM-level trip lengths</t>
  </si>
  <si>
    <t>LUC</t>
  </si>
  <si>
    <t>Hillsborough length</t>
  </si>
  <si>
    <t>Adjustment to average</t>
  </si>
  <si>
    <t>Direct Trip Percentage</t>
  </si>
  <si>
    <t>VMT effect</t>
  </si>
  <si>
    <t>Line</t>
  </si>
  <si>
    <t>Size</t>
  </si>
  <si>
    <t>Trip length</t>
  </si>
  <si>
    <t>Direct trip %</t>
  </si>
  <si>
    <t>Congregate Care/Assisted Living</t>
  </si>
  <si>
    <t>Hotel(s)</t>
  </si>
  <si>
    <t>Movie Theatre</t>
  </si>
  <si>
    <t>Health/Fitness Club</t>
  </si>
  <si>
    <t>Medical/Dental Office Building</t>
  </si>
  <si>
    <t>840/41</t>
  </si>
  <si>
    <t>Car Sales</t>
  </si>
  <si>
    <t>Supermarket</t>
  </si>
  <si>
    <t>880/881</t>
  </si>
  <si>
    <t>Pharmacy</t>
  </si>
  <si>
    <t>Furniture Store</t>
  </si>
  <si>
    <t>Drive-In Bank</t>
  </si>
  <si>
    <t>Sit-down Restaurant</t>
  </si>
  <si>
    <t>Fast Food with Drive Thru</t>
  </si>
  <si>
    <t>Auto Care Center</t>
  </si>
  <si>
    <t>944/45/60</t>
  </si>
  <si>
    <t>Gas Station</t>
  </si>
  <si>
    <t>Self Service Car Wash</t>
  </si>
  <si>
    <t>LUC 820 assessment by size</t>
  </si>
  <si>
    <t>(visual assesment of figures A-1 and A-2</t>
  </si>
  <si>
    <t>Note that tan values based on page A-12 interpretation rather than figures A-1 and A-2</t>
  </si>
  <si>
    <t>Note that ITE removed the equations relating pass-by trips to retail GSF in the Trip Generation Handbook 3rd Edition</t>
  </si>
  <si>
    <t>The following equation from the 2nd Edition is applied as it aligned with expectations better than survey data</t>
  </si>
  <si>
    <t>Conversations with ITE staff suggest the future 4th Edition may reinstate the formulas for shopping center (LUC 820) but not for other uses in the 2nd Edition</t>
  </si>
  <si>
    <t>ITE 2nd Edition equations</t>
  </si>
  <si>
    <t>range</t>
  </si>
  <si>
    <t>KGSF</t>
  </si>
  <si>
    <t>pass-by percentage</t>
  </si>
  <si>
    <t>as decimal</t>
  </si>
  <si>
    <t>midpoint</t>
  </si>
  <si>
    <t>+100K</t>
  </si>
  <si>
    <t>Average Trip Length by Origin Activity - All Modes</t>
  </si>
  <si>
    <t>TRIP LENGTHS</t>
  </si>
  <si>
    <t xml:space="preserve">PASS BY </t>
  </si>
  <si>
    <t>Activity</t>
  </si>
  <si>
    <r>
      <t xml:space="preserve">Average Distance by </t>
    </r>
    <r>
      <rPr>
        <b/>
        <sz val="11"/>
        <color theme="1"/>
        <rFont val="Arial Narrow"/>
        <family val="2"/>
      </rPr>
      <t>Origin</t>
    </r>
    <r>
      <rPr>
        <sz val="11"/>
        <color theme="1"/>
        <rFont val="Arial Narrow"/>
        <family val="2"/>
      </rPr>
      <t xml:space="preserve"> Activity</t>
    </r>
  </si>
  <si>
    <r>
      <t xml:space="preserve">Average Distance by </t>
    </r>
    <r>
      <rPr>
        <b/>
        <sz val="11"/>
        <color theme="1"/>
        <rFont val="Arial Narrow"/>
        <family val="2"/>
      </rPr>
      <t>Destination</t>
    </r>
    <r>
      <rPr>
        <sz val="11"/>
        <color theme="1"/>
        <rFont val="Arial Narrow"/>
        <family val="2"/>
      </rPr>
      <t xml:space="preserve"> Activity</t>
    </r>
  </si>
  <si>
    <t>Type</t>
  </si>
  <si>
    <t>Average Distance</t>
  </si>
  <si>
    <t>Dist. compared to Avg. Dist.</t>
  </si>
  <si>
    <t>Version 3 Comparison</t>
  </si>
  <si>
    <t>Percent pass-by trips</t>
  </si>
  <si>
    <t>Version 3 values</t>
  </si>
  <si>
    <t>Beta test values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</si>
  <si>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</si>
  <si>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</si>
  <si>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</si>
  <si>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</si>
  <si>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</si>
  <si>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</si>
  <si>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</si>
  <si>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</si>
  <si>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</si>
  <si>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</si>
  <si>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</si>
  <si>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</si>
  <si>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</si>
  <si>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</si>
  <si>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</si>
  <si>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</si>
  <si>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</si>
  <si>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</si>
  <si>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</si>
  <si>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</si>
  <si>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</si>
  <si>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</si>
  <si>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</si>
  <si>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</si>
  <si>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</si>
  <si>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</si>
  <si>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</si>
  <si>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</si>
  <si>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</si>
  <si>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</si>
  <si>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</si>
  <si>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</si>
  <si>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</si>
  <si>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</si>
  <si>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</si>
  <si>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</si>
  <si>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</si>
  <si>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</si>
  <si>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</si>
  <si>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</si>
  <si>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</si>
  <si>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</si>
  <si>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Auto MI</t>
  </si>
  <si>
    <t>Bike MI</t>
  </si>
  <si>
    <t>Transit MI</t>
  </si>
  <si>
    <t>Walk MI</t>
  </si>
  <si>
    <t>Auto Percent</t>
  </si>
  <si>
    <t>Bike Percent</t>
  </si>
  <si>
    <t>Transit Percent</t>
  </si>
  <si>
    <t>Walk Percent</t>
  </si>
  <si>
    <t>Check of Fee District Assembly</t>
  </si>
  <si>
    <t>TOTAL Trips</t>
  </si>
  <si>
    <t>TOTAL PMT</t>
  </si>
  <si>
    <t>BW Percent</t>
  </si>
  <si>
    <t>SUM of dist</t>
  </si>
  <si>
    <t>Row Labels</t>
  </si>
  <si>
    <t>Sum of Auto Percent</t>
  </si>
  <si>
    <t>Sum of Transit Percent</t>
  </si>
  <si>
    <t>Sum of BW Percent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</si>
  <si>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</si>
  <si>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</si>
  <si>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</si>
  <si>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</si>
  <si>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</si>
  <si>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</si>
  <si>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</si>
  <si>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</si>
  <si>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</si>
  <si>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</si>
  <si>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</si>
  <si>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</si>
  <si>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</si>
  <si>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</si>
  <si>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</si>
  <si>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</si>
  <si>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</si>
  <si>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</si>
  <si>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</si>
  <si>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</si>
  <si>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</si>
  <si>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</si>
  <si>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</si>
  <si>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</si>
  <si>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</si>
  <si>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</si>
  <si>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</si>
  <si>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</si>
  <si>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</si>
  <si>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</si>
  <si>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</si>
  <si>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</si>
  <si>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</si>
  <si>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</si>
  <si>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</si>
  <si>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</si>
  <si>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</si>
  <si>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</si>
  <si>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</si>
  <si>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</si>
  <si>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</si>
  <si>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</si>
  <si>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</si>
  <si>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</si>
  <si>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</si>
  <si>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</si>
  <si>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</si>
  <si>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</si>
  <si>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</si>
  <si>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</si>
  <si>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</si>
  <si>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</si>
  <si>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</si>
  <si>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</si>
  <si>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</si>
  <si>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</si>
  <si>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</si>
  <si>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</si>
  <si>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</si>
  <si>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</si>
  <si>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</si>
  <si>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</si>
  <si>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</si>
  <si>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</si>
  <si>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</si>
  <si>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</si>
  <si>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</si>
  <si>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</si>
  <si>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</si>
  <si>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</si>
  <si>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</si>
  <si>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</si>
  <si>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</si>
  <si>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</si>
  <si>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</si>
  <si>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</si>
  <si>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</si>
  <si>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</si>
  <si>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</si>
  <si>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</si>
  <si>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</si>
  <si>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</si>
  <si>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</si>
  <si>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</si>
  <si>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</si>
  <si>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</si>
  <si>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</si>
  <si>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</si>
  <si>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</si>
  <si>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</si>
  <si>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</si>
  <si>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</si>
  <si>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</si>
  <si>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</si>
  <si>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</si>
  <si>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</si>
  <si>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</si>
  <si>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</si>
  <si>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</si>
  <si>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</si>
  <si>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</si>
  <si>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</si>
  <si>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</si>
  <si>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</si>
  <si>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</si>
  <si>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</si>
  <si>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</si>
  <si>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</si>
  <si>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</si>
  <si>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</si>
  <si>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</si>
  <si>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</si>
  <si>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</si>
  <si>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</si>
  <si>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</si>
  <si>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</si>
  <si>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</si>
  <si>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</si>
  <si>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</si>
  <si>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</si>
  <si>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</si>
  <si>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</si>
  <si>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</si>
  <si>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</si>
  <si>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</si>
  <si>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</si>
  <si>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</si>
  <si>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</si>
  <si>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</si>
  <si>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</si>
  <si>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</si>
  <si>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</si>
  <si>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</si>
  <si>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</si>
  <si>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</si>
  <si>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</si>
  <si>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</si>
  <si>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</si>
  <si>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</si>
  <si>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</si>
  <si>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</si>
  <si>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</si>
  <si>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</si>
  <si>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</si>
  <si>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</si>
  <si>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</si>
  <si>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</si>
  <si>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</si>
  <si>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</si>
  <si>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</si>
  <si>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</si>
  <si>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</si>
  <si>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</si>
  <si>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</si>
  <si>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</si>
  <si>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</si>
  <si>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</si>
  <si>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</si>
  <si>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</si>
  <si>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</si>
  <si>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</si>
  <si>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</si>
  <si>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</si>
  <si>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</si>
  <si>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</si>
  <si>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</si>
  <si>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</si>
  <si>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</si>
  <si>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</si>
  <si>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</si>
  <si>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</si>
  <si>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</si>
  <si>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</si>
  <si>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</si>
  <si>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</si>
  <si>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</si>
  <si>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</si>
  <si>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</si>
  <si>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</si>
  <si>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</si>
  <si>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</si>
  <si>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</si>
  <si>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</si>
  <si>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</si>
  <si>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</si>
  <si>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</si>
  <si>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</si>
  <si>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</si>
  <si>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</si>
  <si>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</si>
  <si>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</si>
  <si>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</si>
  <si>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</si>
  <si>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</si>
  <si>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</si>
  <si>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</si>
  <si>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</si>
  <si>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</si>
  <si>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</si>
  <si>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</si>
  <si>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</si>
  <si>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</si>
  <si>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</si>
  <si>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</si>
  <si>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</si>
  <si>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</si>
  <si>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</si>
  <si>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</si>
  <si>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</si>
  <si>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</si>
  <si>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</si>
  <si>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</si>
  <si>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</si>
  <si>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</si>
  <si>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</si>
  <si>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</si>
  <si>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</si>
  <si>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</si>
  <si>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</si>
  <si>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</si>
  <si>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</si>
  <si>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</si>
  <si>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</si>
  <si>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</si>
  <si>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</si>
  <si>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</si>
  <si>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</si>
  <si>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</si>
  <si>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</si>
  <si>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</si>
  <si>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</si>
  <si>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</si>
  <si>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</si>
  <si>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</si>
  <si>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</si>
  <si>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</si>
  <si>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</si>
  <si>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</si>
  <si>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</si>
  <si>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</si>
  <si>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</si>
  <si>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</si>
  <si>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</si>
  <si>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</si>
  <si>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</si>
  <si>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</si>
  <si>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</si>
  <si>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</si>
  <si>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</si>
  <si>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</si>
  <si>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</si>
  <si>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ITE Code</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</si>
  <si>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</si>
  <si>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</si>
  <si>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</si>
  <si>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</si>
  <si>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</si>
  <si>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</si>
  <si>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</si>
  <si>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</si>
  <si>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</si>
  <si>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</si>
  <si>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</si>
  <si>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</si>
  <si>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</si>
  <si>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</si>
  <si>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Impact Fee</t>
  </si>
  <si>
    <t>Calculated Rate</t>
  </si>
  <si>
    <t>Printed Rate (non UIA)</t>
  </si>
  <si>
    <t>Printed Rate (UIA)</t>
  </si>
  <si>
    <t>Ratio</t>
  </si>
  <si>
    <t>Updated Net Cost</t>
  </si>
  <si>
    <t>N/A</t>
  </si>
  <si>
    <t>-</t>
  </si>
  <si>
    <t>Apartment (Rentals)</t>
  </si>
  <si>
    <t>High-Rise Apart or Condo over 3 floors</t>
  </si>
  <si>
    <t>Condominium / Townhouse / Duplex</t>
  </si>
  <si>
    <t>Mobile Home</t>
  </si>
  <si>
    <t>Resort Hotel</t>
  </si>
  <si>
    <t>Multipurpose Recreational</t>
  </si>
  <si>
    <t>Church / Synagogue</t>
  </si>
  <si>
    <t>Fire Rescue</t>
  </si>
  <si>
    <t>General Office Building</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</si>
  <si>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</si>
  <si>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</si>
  <si>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</si>
  <si>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</si>
  <si>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</si>
  <si>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</si>
  <si>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</si>
  <si>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</si>
  <si>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</si>
  <si>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</si>
  <si>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Trip Length</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</si>
  <si>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</si>
  <si>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</si>
  <si>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</si>
  <si>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</si>
  <si>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</si>
  <si>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</si>
  <si>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</si>
  <si>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</si>
  <si>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</si>
  <si>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</si>
  <si>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</si>
  <si>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</si>
  <si>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</si>
  <si>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</si>
  <si>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</si>
  <si>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</si>
  <si>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</si>
  <si>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</si>
  <si>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</si>
  <si>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</si>
  <si>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</si>
  <si>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 xml:space="preserve">50-100ksf </t>
  </si>
  <si>
    <t>Warehouse by Context Area (1,000 sf)</t>
  </si>
  <si>
    <t>RIF UIA vs RIF OIA difference, used to estimate difference in aggregate</t>
  </si>
  <si>
    <t>RIF</t>
  </si>
  <si>
    <t>%Change</t>
  </si>
  <si>
    <t>RIF IN</t>
  </si>
  <si>
    <t>UIA</t>
  </si>
  <si>
    <t>Ring 1 In SMART Plan</t>
  </si>
  <si>
    <t>x</t>
  </si>
  <si>
    <t>RIF OUT</t>
  </si>
  <si>
    <t>Ring 2 In SMART Plan</t>
  </si>
  <si>
    <t>Ring 2 Out SMART Plan</t>
  </si>
  <si>
    <t>OIA</t>
  </si>
  <si>
    <t>Ring 3 In SMART Plan</t>
  </si>
  <si>
    <t>Ring 4 In SMART Plan</t>
  </si>
  <si>
    <t>Ring 3 Out SMART Plan</t>
  </si>
  <si>
    <t>Ring 4 Out SMART Plan</t>
  </si>
  <si>
    <t>AVG Change from UIA IN</t>
  </si>
  <si>
    <t>AVG Change from OIA Avg</t>
  </si>
  <si>
    <t xml:space="preserve"> </t>
  </si>
  <si>
    <t>Transit Adj.</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</si>
  <si>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</si>
  <si>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</si>
  <si>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</si>
  <si>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</si>
  <si>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</si>
  <si>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</si>
  <si>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</si>
  <si>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</si>
  <si>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</si>
  <si>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</si>
  <si>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</si>
  <si>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</si>
  <si>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</si>
  <si>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</si>
  <si>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Within SMART Corridor</t>
  </si>
  <si>
    <t>Outside SMART Corridor</t>
  </si>
  <si>
    <t xml:space="preserve">Average </t>
  </si>
  <si>
    <t>Name</t>
  </si>
  <si>
    <t>RIF UIA EST</t>
  </si>
  <si>
    <t>Sum/Total</t>
  </si>
  <si>
    <t>Area</t>
  </si>
  <si>
    <t>Average</t>
  </si>
  <si>
    <t>% Change</t>
  </si>
  <si>
    <t>Average Change</t>
  </si>
  <si>
    <t>RIF UIA</t>
  </si>
  <si>
    <t>MDMF UIA</t>
  </si>
  <si>
    <t>RIF OIA</t>
  </si>
  <si>
    <t>MDMF OIA</t>
  </si>
  <si>
    <t>Average Land Use</t>
  </si>
  <si>
    <t>83 unique RIF rates in spreadsheet</t>
  </si>
  <si>
    <t>114 unique MDMF rates in spreadsheet</t>
  </si>
  <si>
    <t>83 uses</t>
  </si>
  <si>
    <t>116 uses</t>
  </si>
  <si>
    <t>road</t>
  </si>
  <si>
    <t>transit</t>
  </si>
  <si>
    <t>ped</t>
  </si>
  <si>
    <t>R1_In</t>
  </si>
  <si>
    <t>R1_In_Road</t>
  </si>
  <si>
    <t>R1_In_Transit</t>
  </si>
  <si>
    <t>R1_In_Walk_Bike</t>
  </si>
  <si>
    <t>R2_In</t>
  </si>
  <si>
    <t>R2_In_Road</t>
  </si>
  <si>
    <t>R2_In_Transit</t>
  </si>
  <si>
    <t>R2_In_Walk_Bike</t>
  </si>
  <si>
    <t>R3_In</t>
  </si>
  <si>
    <t>R3_In_Road</t>
  </si>
  <si>
    <t>R3_In_Transit</t>
  </si>
  <si>
    <t>R3_In_Walk_Bike</t>
  </si>
  <si>
    <t>R4_In</t>
  </si>
  <si>
    <t>R4_In_Road</t>
  </si>
  <si>
    <t>R4_In_Transit</t>
  </si>
  <si>
    <t>R4_In_Walk_Bike</t>
  </si>
  <si>
    <t>R1_Out</t>
  </si>
  <si>
    <t>R1_Out_Road</t>
  </si>
  <si>
    <t>R1_Out_Transit</t>
  </si>
  <si>
    <t>R1_Out_Walk_Bike</t>
  </si>
  <si>
    <t>R2_Out</t>
  </si>
  <si>
    <t>R2_Out_Road</t>
  </si>
  <si>
    <t>R2_Out_Transit</t>
  </si>
  <si>
    <t>R2_Out_Walk_Bike</t>
  </si>
  <si>
    <t>R3_Out</t>
  </si>
  <si>
    <t>R3_Out_Road</t>
  </si>
  <si>
    <t>R3_Out_Transit</t>
  </si>
  <si>
    <t>R3_Out_Walk_Bike</t>
  </si>
  <si>
    <t>R4_Out</t>
  </si>
  <si>
    <t>R4_Out_Road</t>
  </si>
  <si>
    <t>R4_Out_Transit</t>
  </si>
  <si>
    <t>R4_Out_Walk_Bike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</si>
</sst>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68"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b/>
      <sz val="10"/>
      <color rgb="FF000000"/>
      <name val="Tahoma"/>
      <family val="2"/>
    </font>
    <font>
      <sz val="12"/>
      <color theme="0"/>
      <name val="Arial Narrow"/>
      <family val="2"/>
    </font>
    <font>
      <sz val="14"/>
      <color theme="0"/>
      <name val="Arial Narrow"/>
      <family val="2"/>
    </font>
    <font>
      <sz val="20"/>
      <color theme="0"/>
      <name val="Arial Narrow"/>
      <family val="2"/>
    </font>
    <font>
      <b/>
      <sz val="20"/>
      <color theme="0"/>
      <name val="Arial Narrow"/>
      <family val="2"/>
    </font>
    <font>
      <sz val="20"/>
      <color theme="1"/>
      <name val="Arial Narrow"/>
      <family val="2"/>
    </font>
    <font>
      <sz val="12"/>
      <color theme="0" tint="-0.249977111117893"/>
      <name val="Arial Narrow"/>
      <family val="2"/>
    </font>
    <font>
      <b/>
      <sz val="12"/>
      <color rgb="FF000000"/>
      <name val="Arial Narrow"/>
      <family val="2"/>
    </font>
    <font>
      <sz val="11"/>
      <color rgb="FF3F3F76"/>
      <name val="Calibri"/>
      <family val="2"/>
    </font>
  </fonts>
  <fills count="29">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theme="1"/>
        <bgColor indexed="64"/>
      </patternFill>
    </fill>
    <fill>
      <patternFill patternType="solid">
        <fgColor rgb="FFD6DCE4"/>
        <bgColor rgb="FF000000"/>
      </patternFill>
    </fill>
    <fill>
      <patternFill patternType="solid">
        <fgColor rgb="FFFFCC99"/>
        <bgColor rgb="FF000000"/>
      </patternFill>
    </fill>
    <fill>
      <patternFill patternType="solid">
        <fgColor rgb="FFFFFF00"/>
        <bgColor rgb="FF000000"/>
      </patternFill>
    </fill>
  </fills>
  <borders count="125">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1"/>
      </left>
      <right style="thin">
        <color theme="1"/>
      </right>
      <top style="thin">
        <color theme="0" tint="-0.14999847407452621"/>
      </top>
      <bottom/>
      <diagonal/>
    </border>
    <border>
      <left style="thin">
        <color theme="1"/>
      </left>
      <right/>
      <top style="thin">
        <color theme="0" tint="-0.14999847407452621"/>
      </top>
      <bottom/>
      <diagonal/>
    </border>
    <border>
      <left style="medium">
        <color theme="2" tint="-0.499984740745262"/>
      </left>
      <right/>
      <top style="thin">
        <color theme="0" tint="-0.14999847407452621"/>
      </top>
      <bottom/>
      <diagonal/>
    </border>
    <border>
      <left style="medium">
        <color theme="2" tint="-0.499984740745262"/>
      </left>
      <right style="thin">
        <color theme="1"/>
      </right>
      <top style="thin">
        <color theme="0" tint="-0.14999847407452621"/>
      </top>
      <bottom/>
      <diagonal/>
    </border>
    <border>
      <left style="thin">
        <color theme="1"/>
      </left>
      <right style="medium">
        <color theme="2" tint="-0.499984740745262"/>
      </right>
      <top style="thin">
        <color theme="0" tint="-0.14999847407452621"/>
      </top>
      <bottom/>
      <diagonal/>
    </border>
    <border>
      <left/>
      <right style="medium">
        <color indexed="64"/>
      </right>
      <top/>
      <bottom/>
      <diagonal/>
    </border>
    <border>
      <left style="medium">
        <color theme="2" tint="-0.499984740745262"/>
      </left>
      <right style="thin">
        <color theme="1"/>
      </right>
      <top style="medium">
        <color indexed="64"/>
      </top>
      <bottom/>
      <diagonal/>
    </border>
    <border>
      <left style="thin">
        <color theme="1"/>
      </left>
      <right style="thin">
        <color theme="1"/>
      </right>
      <top style="medium">
        <color indexed="64"/>
      </top>
      <bottom/>
      <diagonal/>
    </border>
    <border>
      <left style="thin">
        <color theme="1"/>
      </left>
      <right style="medium">
        <color theme="2" tint="-0.499984740745262"/>
      </right>
      <top style="medium">
        <color indexed="64"/>
      </top>
      <bottom/>
      <diagonal/>
    </border>
    <border>
      <left style="thin">
        <color theme="1"/>
      </left>
      <right style="medium">
        <color indexed="64"/>
      </right>
      <top style="medium">
        <color indexed="64"/>
      </top>
      <bottom/>
      <diagonal/>
    </border>
    <border>
      <left style="medium">
        <color indexed="64"/>
      </left>
      <right style="thin">
        <color theme="1"/>
      </right>
      <top/>
      <bottom style="thin">
        <color theme="0" tint="-0.14999847407452621"/>
      </bottom>
      <diagonal/>
    </border>
    <border>
      <left style="thin">
        <color theme="1"/>
      </left>
      <right style="medium">
        <color indexed="64"/>
      </right>
      <top/>
      <bottom style="thin">
        <color theme="0" tint="-0.14999847407452621"/>
      </bottom>
      <diagonal/>
    </border>
    <border>
      <left style="medium">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indexed="64"/>
      </right>
      <top style="thin">
        <color theme="0" tint="-0.14999847407452621"/>
      </top>
      <bottom style="thin">
        <color theme="0" tint="-0.14999847407452621"/>
      </bottom>
      <diagonal/>
    </border>
    <border>
      <left style="medium">
        <color indexed="64"/>
      </left>
      <right style="thin">
        <color theme="1"/>
      </right>
      <top style="thin">
        <color theme="0" tint="-0.14999847407452621"/>
      </top>
      <bottom style="thin">
        <color theme="0" tint="-0.14999847407452621"/>
      </bottom>
      <diagonal/>
    </border>
    <border>
      <left style="thin">
        <color theme="1"/>
      </left>
      <right style="medium">
        <color indexed="64"/>
      </right>
      <top style="thin">
        <color theme="0" tint="-0.14999847407452621"/>
      </top>
      <bottom style="thin">
        <color theme="0" tint="-0.14999847407452621"/>
      </bottom>
      <diagonal/>
    </border>
    <border>
      <left style="thin">
        <color theme="1"/>
      </left>
      <right style="medium">
        <color indexed="64"/>
      </right>
      <top style="thin">
        <color theme="0" tint="-0.14999847407452621"/>
      </top>
      <bottom/>
      <diagonal/>
    </border>
    <border>
      <left style="medium">
        <color indexed="64"/>
      </left>
      <right style="thin">
        <color theme="1"/>
      </right>
      <top style="thin">
        <color theme="0" tint="-0.14999847407452621"/>
      </top>
      <bottom style="medium">
        <color indexed="64"/>
      </bottom>
      <diagonal/>
    </border>
    <border>
      <left style="thin">
        <color theme="1"/>
      </left>
      <right style="thin">
        <color theme="1"/>
      </right>
      <top style="thin">
        <color theme="0" tint="-0.14999847407452621"/>
      </top>
      <bottom style="medium">
        <color indexed="64"/>
      </bottom>
      <diagonal/>
    </border>
    <border>
      <left style="thin">
        <color theme="1"/>
      </left>
      <right/>
      <top style="thin">
        <color theme="0" tint="-0.14999847407452621"/>
      </top>
      <bottom style="medium">
        <color indexed="64"/>
      </bottom>
      <diagonal/>
    </border>
    <border>
      <left style="medium">
        <color theme="2" tint="-0.499984740745262"/>
      </left>
      <right/>
      <top style="thin">
        <color theme="0" tint="-0.14999847407452621"/>
      </top>
      <bottom style="medium">
        <color indexed="64"/>
      </bottom>
      <diagonal/>
    </border>
    <border>
      <left style="medium">
        <color theme="2" tint="-0.499984740745262"/>
      </left>
      <right style="thin">
        <color theme="1"/>
      </right>
      <top style="thin">
        <color theme="0" tint="-0.14999847407452621"/>
      </top>
      <bottom style="medium">
        <color indexed="64"/>
      </bottom>
      <diagonal/>
    </border>
    <border>
      <left style="thin">
        <color theme="1"/>
      </left>
      <right style="medium">
        <color theme="2" tint="-0.499984740745262"/>
      </right>
      <top style="thin">
        <color theme="0" tint="-0.14999847407452621"/>
      </top>
      <bottom style="medium">
        <color indexed="64"/>
      </bottom>
      <diagonal/>
    </border>
    <border>
      <left style="thin">
        <color theme="1"/>
      </left>
      <right style="medium">
        <color indexed="64"/>
      </right>
      <top style="thin">
        <color theme="0" tint="-0.14999847407452621"/>
      </top>
      <bottom style="medium">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rgb="FF7F7F7F"/>
      </left>
      <right style="thin">
        <color rgb="FF7F7F7F"/>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bottom style="thin">
        <color rgb="FF7F7F7F"/>
      </bottom>
      <diagonal/>
    </border>
    <border>
      <left/>
      <right style="thin">
        <color rgb="FF7F7F7F"/>
      </right>
      <top/>
      <bottom style="thin">
        <color rgb="FF7F7F7F"/>
      </bottom>
      <diagonal/>
    </border>
    <border>
      <left/>
      <right style="thin">
        <color rgb="FFAEAAAA"/>
      </right>
      <top/>
      <bottom/>
      <diagonal/>
    </border>
  </borders>
  <cellStyleXfs count="7">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cellStyleXfs>
  <cellXfs count="1047">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167" fontId="7" fillId="0" borderId="12" xfId="1" applyNumberFormat="1" applyFont="1" applyFill="1" applyBorder="1" applyAlignment="1">
      <alignment vertical="center"/>
    </xf>
    <xf numFmtId="0" fontId="7" fillId="0" borderId="12" xfId="0" applyFont="1" applyBorder="1" applyAlignment="1">
      <alignment vertical="center"/>
    </xf>
    <xf numFmtId="2" fontId="7" fillId="0" borderId="0" xfId="0" applyNumberFormat="1" applyFont="1" applyAlignment="1">
      <alignment horizontal="center" vertical="center"/>
    </xf>
    <xf numFmtId="167" fontId="7" fillId="0" borderId="0" xfId="1"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Border="1" applyAlignment="1">
      <alignment vertical="center"/>
    </xf>
    <xf numFmtId="0" fontId="7" fillId="0" borderId="8" xfId="0" applyFont="1" applyBorder="1" applyAlignment="1">
      <alignment horizontal="left" vertical="center"/>
    </xf>
    <xf numFmtId="0" fontId="7" fillId="0" borderId="8" xfId="0" applyFont="1" applyBorder="1" applyAlignment="1">
      <alignment horizontal="center" vertical="center"/>
    </xf>
    <xf numFmtId="167" fontId="7" fillId="0" borderId="0" xfId="1" applyNumberFormat="1" applyFont="1" applyFill="1" applyBorder="1" applyAlignment="1">
      <alignment vertical="center"/>
    </xf>
    <xf numFmtId="169" fontId="7" fillId="0" borderId="8" xfId="0" applyNumberFormat="1" applyFont="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Border="1" applyAlignment="1">
      <alignment vertical="center"/>
    </xf>
    <xf numFmtId="4" fontId="7" fillId="0" borderId="0" xfId="0" applyNumberFormat="1" applyFont="1" applyAlignment="1">
      <alignment vertical="center"/>
    </xf>
    <xf numFmtId="2" fontId="7" fillId="0" borderId="0" xfId="0" applyNumberFormat="1" applyFont="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Alignment="1">
      <alignment horizontal="center" vertical="center"/>
    </xf>
    <xf numFmtId="0" fontId="7" fillId="0" borderId="17" xfId="0" applyFont="1" applyBorder="1" applyAlignment="1">
      <alignment vertical="center"/>
    </xf>
    <xf numFmtId="169" fontId="7" fillId="0" borderId="15" xfId="0" applyNumberFormat="1" applyFont="1" applyBorder="1" applyAlignment="1">
      <alignment vertical="center"/>
    </xf>
    <xf numFmtId="0" fontId="6" fillId="7" borderId="7" xfId="0" applyFont="1" applyFill="1" applyBorder="1" applyAlignment="1">
      <alignment vertical="center"/>
    </xf>
    <xf numFmtId="0" fontId="7" fillId="7" borderId="0" xfId="0" applyFont="1" applyFill="1" applyAlignment="1">
      <alignment vertical="center"/>
    </xf>
    <xf numFmtId="0" fontId="7" fillId="7" borderId="8" xfId="0" applyFont="1" applyFill="1" applyBorder="1" applyAlignment="1">
      <alignment horizontal="lef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Alignment="1">
      <alignment horizontal="left" vertical="center"/>
    </xf>
    <xf numFmtId="166" fontId="7" fillId="0" borderId="0" xfId="2" applyNumberFormat="1" applyFont="1" applyFill="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6" fillId="2" borderId="7" xfId="0" applyFont="1" applyFill="1" applyBorder="1" applyAlignment="1">
      <alignment vertical="center"/>
    </xf>
    <xf numFmtId="0" fontId="7" fillId="2" borderId="0" xfId="0" applyFont="1" applyFill="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Border="1" applyAlignment="1">
      <alignment horizontal="right" vertical="center"/>
    </xf>
    <xf numFmtId="0" fontId="7" fillId="0" borderId="3" xfId="0" applyFont="1" applyBorder="1" applyAlignment="1">
      <alignment vertical="center"/>
    </xf>
    <xf numFmtId="3" fontId="7" fillId="0" borderId="3" xfId="0" applyNumberFormat="1" applyFont="1" applyBorder="1" applyAlignment="1">
      <alignment vertical="center"/>
    </xf>
    <xf numFmtId="169" fontId="7" fillId="0" borderId="3" xfId="0" applyNumberFormat="1" applyFont="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166" fontId="13" fillId="0" borderId="0" xfId="2" applyNumberFormat="1" applyFont="1"/>
    <xf numFmtId="0" fontId="0" fillId="0" borderId="0" xfId="1" applyNumberFormat="1" applyFont="1"/>
    <xf numFmtId="166" fontId="7" fillId="0" borderId="0" xfId="0" applyNumberFormat="1" applyFont="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Alignment="1">
      <alignment horizontal="center" wrapText="1" readingOrder="1"/>
    </xf>
    <xf numFmtId="10" fontId="0" fillId="0" borderId="0" xfId="1" applyNumberFormat="1" applyFont="1"/>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xf numFmtId="0" fontId="3" fillId="19" borderId="0" xfId="0" applyFont="1" applyFill="1"/>
    <xf numFmtId="0" fontId="3" fillId="15" borderId="0" xfId="0" applyFont="1" applyFill="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Alignment="1">
      <alignment vertical="center"/>
    </xf>
    <xf numFmtId="0" fontId="27" fillId="0" borderId="0" xfId="0" applyFont="1" applyAlignment="1">
      <alignment vertical="center"/>
    </xf>
    <xf numFmtId="169" fontId="7" fillId="0" borderId="7" xfId="0" applyNumberFormat="1" applyFont="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Border="1" applyAlignment="1">
      <alignment vertical="center"/>
    </xf>
    <xf numFmtId="169" fontId="7" fillId="0" borderId="6" xfId="0" applyNumberFormat="1" applyFont="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3" fontId="1" fillId="0" borderId="0" xfId="0" applyNumberFormat="1" applyFont="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0" fontId="35" fillId="0" borderId="0" xfId="3"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Alignment="1">
      <alignment horizontal="center" wrapText="1"/>
    </xf>
    <xf numFmtId="9" fontId="1" fillId="12" borderId="0" xfId="1" applyFont="1" applyFill="1" applyBorder="1" applyAlignment="1">
      <alignment horizontal="center" wrapText="1"/>
    </xf>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Alignment="1">
      <alignment horizontal="center"/>
    </xf>
    <xf numFmtId="3" fontId="1" fillId="0" borderId="8" xfId="0" applyNumberFormat="1" applyFont="1" applyBorder="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xf numFmtId="0" fontId="8" fillId="2" borderId="9" xfId="0" applyFont="1" applyFill="1" applyBorder="1"/>
    <xf numFmtId="0" fontId="1" fillId="11" borderId="0" xfId="0" applyFont="1" applyFill="1"/>
    <xf numFmtId="0" fontId="1" fillId="0" borderId="21" xfId="0" applyFont="1" applyBorder="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6" fillId="2" borderId="0" xfId="0" applyFont="1" applyFill="1" applyAlignment="1">
      <alignment horizontal="center" vertical="center"/>
    </xf>
    <xf numFmtId="169" fontId="6" fillId="2" borderId="0" xfId="0" applyNumberFormat="1" applyFont="1" applyFill="1" applyAlignment="1">
      <alignment horizontal="center" vertical="center"/>
    </xf>
    <xf numFmtId="4" fontId="7" fillId="0" borderId="43" xfId="0" applyNumberFormat="1" applyFont="1" applyBorder="1" applyAlignment="1">
      <alignment horizontal="right" vertical="center"/>
    </xf>
    <xf numFmtId="0" fontId="7" fillId="0" borderId="43" xfId="0" applyFont="1" applyBorder="1" applyAlignment="1">
      <alignment horizontal="center" vertical="center"/>
    </xf>
    <xf numFmtId="0" fontId="7" fillId="0" borderId="43" xfId="0" applyFont="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Border="1" applyAlignment="1">
      <alignment horizontal="righ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Alignment="1">
      <alignment vertical="center"/>
    </xf>
    <xf numFmtId="0" fontId="6" fillId="0" borderId="17" xfId="0" applyFont="1" applyBorder="1" applyAlignment="1">
      <alignment vertical="center"/>
    </xf>
    <xf numFmtId="0" fontId="37" fillId="0" borderId="17" xfId="0" applyFont="1" applyBorder="1" applyAlignment="1">
      <alignment vertical="center"/>
    </xf>
    <xf numFmtId="169" fontId="0" fillId="0" borderId="0" xfId="0" applyNumberFormat="1" applyAlignment="1">
      <alignment vertical="center"/>
    </xf>
    <xf numFmtId="169" fontId="38" fillId="0" borderId="0" xfId="0" applyNumberFormat="1" applyFont="1" applyAlignment="1">
      <alignment vertical="center"/>
    </xf>
    <xf numFmtId="0" fontId="0" fillId="0" borderId="0" xfId="0" applyAlignment="1">
      <alignment vertical="center"/>
    </xf>
    <xf numFmtId="0" fontId="38" fillId="0" borderId="0" xfId="0" applyFont="1" applyAlignment="1">
      <alignment vertical="center"/>
    </xf>
    <xf numFmtId="167" fontId="7" fillId="0" borderId="0" xfId="0" applyNumberFormat="1" applyFont="1" applyAlignment="1">
      <alignment horizontal="center" vertical="center"/>
    </xf>
    <xf numFmtId="167" fontId="0" fillId="0" borderId="0" xfId="0" applyNumberFormat="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Border="1" applyAlignment="1">
      <alignment horizontal="right" vertical="center"/>
    </xf>
    <xf numFmtId="0" fontId="7" fillId="0" borderId="41" xfId="0" applyFont="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20" borderId="0" xfId="0"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Alignment="1">
      <alignment horizontal="center"/>
    </xf>
    <xf numFmtId="3" fontId="0" fillId="11" borderId="15" xfId="0" applyNumberFormat="1" applyFill="1" applyBorder="1" applyAlignment="1">
      <alignment horizontal="center"/>
    </xf>
    <xf numFmtId="3" fontId="0" fillId="0" borderId="2" xfId="0" applyNumberFormat="1" applyBorder="1"/>
    <xf numFmtId="3" fontId="0" fillId="0" borderId="13" xfId="0" applyNumberFormat="1" applyBorder="1"/>
    <xf numFmtId="169" fontId="0" fillId="0" borderId="13" xfId="0" applyNumberFormat="1" applyBorder="1"/>
    <xf numFmtId="169" fontId="0" fillId="11" borderId="13" xfId="0" applyNumberFormat="1" applyFill="1" applyBorder="1" applyAlignment="1">
      <alignment horizontal="center"/>
    </xf>
    <xf numFmtId="3" fontId="0" fillId="0" borderId="15" xfId="0" applyNumberFormat="1" applyBorder="1"/>
    <xf numFmtId="3" fontId="0" fillId="0" borderId="7" xfId="0" applyNumberFormat="1" applyBorder="1"/>
    <xf numFmtId="169" fontId="0" fillId="0" borderId="15" xfId="0" applyNumberFormat="1" applyBorder="1"/>
    <xf numFmtId="169" fontId="0" fillId="11" borderId="15" xfId="0" applyNumberFormat="1" applyFill="1" applyBorder="1" applyAlignment="1">
      <alignment horizontal="center"/>
    </xf>
    <xf numFmtId="169" fontId="0" fillId="0" borderId="0" xfId="0" applyNumberFormat="1" applyAlignment="1">
      <alignment horizontal="center"/>
    </xf>
    <xf numFmtId="169" fontId="0" fillId="0" borderId="0" xfId="0" applyNumberFormat="1"/>
    <xf numFmtId="3" fontId="0" fillId="0" borderId="0" xfId="0" applyNumberFormat="1"/>
    <xf numFmtId="0" fontId="0" fillId="11" borderId="0" xfId="0" applyFill="1"/>
    <xf numFmtId="1" fontId="0" fillId="0" borderId="0" xfId="0" applyNumberFormat="1"/>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Border="1"/>
    <xf numFmtId="169" fontId="0" fillId="0" borderId="58" xfId="0" applyNumberFormat="1" applyBorder="1"/>
    <xf numFmtId="3" fontId="0" fillId="0" borderId="59" xfId="0" applyNumberFormat="1" applyBorder="1"/>
    <xf numFmtId="169" fontId="0" fillId="0" borderId="60" xfId="0" applyNumberFormat="1" applyBorder="1"/>
    <xf numFmtId="3" fontId="0" fillId="0" borderId="61" xfId="0" applyNumberFormat="1" applyBorder="1"/>
    <xf numFmtId="3" fontId="0" fillId="11" borderId="22" xfId="0" applyNumberFormat="1" applyFill="1" applyBorder="1" applyAlignment="1">
      <alignment horizontal="center"/>
    </xf>
    <xf numFmtId="9" fontId="0" fillId="11" borderId="22" xfId="1" applyFont="1" applyFill="1" applyBorder="1" applyAlignment="1">
      <alignment horizontal="center"/>
    </xf>
    <xf numFmtId="3" fontId="0" fillId="0" borderId="21" xfId="0" applyNumberFormat="1" applyBorder="1"/>
    <xf numFmtId="3" fontId="0" fillId="0" borderId="22" xfId="0" applyNumberFormat="1" applyBorder="1"/>
    <xf numFmtId="169" fontId="0" fillId="11" borderId="22" xfId="2" applyNumberFormat="1" applyFont="1" applyFill="1" applyBorder="1"/>
    <xf numFmtId="9" fontId="0" fillId="11" borderId="24" xfId="1" applyFont="1" applyFill="1" applyBorder="1"/>
    <xf numFmtId="169" fontId="0" fillId="0" borderId="22" xfId="0" applyNumberFormat="1" applyBorder="1"/>
    <xf numFmtId="9" fontId="0" fillId="0" borderId="22" xfId="1" applyFont="1" applyBorder="1"/>
    <xf numFmtId="169" fontId="0" fillId="11" borderId="22" xfId="0" applyNumberForma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Border="1"/>
    <xf numFmtId="0" fontId="41" fillId="0" borderId="0" xfId="0" applyFont="1" applyAlignment="1">
      <alignment horizontal="center" vertical="center" wrapText="1"/>
    </xf>
    <xf numFmtId="0" fontId="41" fillId="17" borderId="0" xfId="0" applyFont="1" applyFill="1" applyAlignment="1">
      <alignment horizontal="center" vertical="center" wrapText="1"/>
    </xf>
    <xf numFmtId="0" fontId="42" fillId="17" borderId="0" xfId="0" applyFont="1" applyFill="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Alignment="1">
      <alignment horizontal="center" vertical="center"/>
    </xf>
    <xf numFmtId="10" fontId="38" fillId="0" borderId="0" xfId="0" applyNumberFormat="1" applyFont="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Alignment="1">
      <alignment horizontal="center" vertical="center"/>
    </xf>
    <xf numFmtId="10" fontId="7" fillId="16" borderId="0" xfId="0" applyNumberFormat="1" applyFont="1" applyFill="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68" xfId="0" applyNumberFormat="1" applyFont="1" applyFill="1" applyBorder="1" applyAlignment="1">
      <alignment horizontal="center" wrapText="1"/>
    </xf>
    <xf numFmtId="169" fontId="37" fillId="2" borderId="68" xfId="0" applyNumberFormat="1" applyFont="1" applyFill="1" applyBorder="1" applyAlignment="1">
      <alignment horizontal="center" wrapText="1"/>
    </xf>
    <xf numFmtId="0" fontId="6" fillId="2" borderId="74" xfId="0" applyFont="1" applyFill="1" applyBorder="1" applyAlignment="1">
      <alignment horizontal="center" vertical="center"/>
    </xf>
    <xf numFmtId="169" fontId="38" fillId="0" borderId="78" xfId="0" applyNumberFormat="1" applyFont="1" applyBorder="1" applyAlignment="1">
      <alignment horizontal="right" vertical="center"/>
    </xf>
    <xf numFmtId="0" fontId="7" fillId="0" borderId="76" xfId="0" applyFont="1" applyBorder="1" applyAlignment="1">
      <alignment horizontal="left" vertical="center"/>
    </xf>
    <xf numFmtId="0" fontId="0" fillId="0" borderId="76" xfId="0" applyBorder="1" applyAlignment="1">
      <alignment horizontal="left" vertical="center"/>
    </xf>
    <xf numFmtId="169" fontId="0" fillId="0" borderId="78" xfId="0" applyNumberFormat="1" applyBorder="1" applyAlignment="1">
      <alignment horizontal="right" vertical="center"/>
    </xf>
    <xf numFmtId="3" fontId="8" fillId="2" borderId="0" xfId="0" applyNumberFormat="1" applyFont="1" applyFill="1" applyAlignment="1">
      <alignment horizontal="center" vertical="center" wrapText="1"/>
    </xf>
    <xf numFmtId="170" fontId="8" fillId="2" borderId="0" xfId="0" applyNumberFormat="1" applyFont="1" applyFill="1" applyAlignment="1">
      <alignment horizontal="center" vertical="center" wrapText="1"/>
    </xf>
    <xf numFmtId="169" fontId="10" fillId="2" borderId="75" xfId="0" applyNumberFormat="1" applyFont="1" applyFill="1" applyBorder="1" applyAlignment="1">
      <alignment horizontal="center" vertical="center" wrapText="1"/>
    </xf>
    <xf numFmtId="0" fontId="6" fillId="2" borderId="80" xfId="0" applyFont="1" applyFill="1" applyBorder="1" applyAlignment="1">
      <alignment horizontal="center" wrapText="1"/>
    </xf>
    <xf numFmtId="0" fontId="37" fillId="2" borderId="80" xfId="0" applyFont="1" applyFill="1" applyBorder="1" applyAlignment="1">
      <alignment horizontal="center" wrapText="1"/>
    </xf>
    <xf numFmtId="167" fontId="20" fillId="2" borderId="68" xfId="1" applyNumberFormat="1" applyFont="1" applyFill="1" applyBorder="1" applyAlignment="1">
      <alignment horizontal="center" wrapText="1"/>
    </xf>
    <xf numFmtId="2" fontId="7" fillId="0" borderId="72" xfId="1" applyNumberFormat="1" applyFont="1" applyFill="1" applyBorder="1" applyAlignment="1">
      <alignment horizontal="right" vertical="center"/>
    </xf>
    <xf numFmtId="0" fontId="0" fillId="7" borderId="81" xfId="0" applyFill="1" applyBorder="1" applyAlignment="1">
      <alignment vertical="center"/>
    </xf>
    <xf numFmtId="0" fontId="0" fillId="7" borderId="69" xfId="0" applyFill="1" applyBorder="1" applyAlignment="1">
      <alignment vertical="center"/>
    </xf>
    <xf numFmtId="0" fontId="0" fillId="7" borderId="42" xfId="0" applyFill="1" applyBorder="1" applyAlignment="1">
      <alignment vertical="center"/>
    </xf>
    <xf numFmtId="0" fontId="0" fillId="7" borderId="70" xfId="0" applyFill="1" applyBorder="1" applyAlignment="1">
      <alignment vertical="center"/>
    </xf>
    <xf numFmtId="168" fontId="7" fillId="0" borderId="81" xfId="2" applyNumberFormat="1" applyFont="1" applyFill="1" applyBorder="1" applyAlignment="1">
      <alignment horizontal="right" vertical="center"/>
    </xf>
    <xf numFmtId="165" fontId="0" fillId="0" borderId="71" xfId="0" applyNumberFormat="1" applyBorder="1" applyAlignment="1">
      <alignment horizontal="right" vertical="center"/>
    </xf>
    <xf numFmtId="2" fontId="0" fillId="0" borderId="43" xfId="0" applyNumberFormat="1" applyBorder="1" applyAlignment="1">
      <alignment horizontal="right" vertical="center"/>
    </xf>
    <xf numFmtId="4" fontId="0" fillId="0" borderId="71" xfId="0" applyNumberFormat="1" applyBorder="1" applyAlignment="1">
      <alignment horizontal="right" vertical="center"/>
    </xf>
    <xf numFmtId="4" fontId="0" fillId="0" borderId="43" xfId="0" applyNumberFormat="1" applyBorder="1" applyAlignment="1">
      <alignment horizontal="right" vertical="center"/>
    </xf>
    <xf numFmtId="168" fontId="0" fillId="0" borderId="43" xfId="0" applyNumberFormat="1" applyBorder="1" applyAlignment="1">
      <alignment horizontal="right" vertical="center"/>
    </xf>
    <xf numFmtId="169" fontId="0" fillId="0" borderId="72" xfId="0" applyNumberFormat="1" applyBorder="1" applyAlignment="1">
      <alignment horizontal="right" vertical="center"/>
    </xf>
    <xf numFmtId="169" fontId="0" fillId="0" borderId="43" xfId="0" applyNumberFormat="1" applyBorder="1" applyAlignment="1">
      <alignment horizontal="right" vertical="center"/>
    </xf>
    <xf numFmtId="4" fontId="0" fillId="0" borderId="0" xfId="0" applyNumberFormat="1" applyAlignment="1">
      <alignment vertical="center"/>
    </xf>
    <xf numFmtId="0" fontId="0" fillId="0" borderId="43" xfId="0" applyBorder="1" applyAlignment="1">
      <alignment horizontal="right" vertical="center"/>
    </xf>
    <xf numFmtId="0" fontId="0" fillId="0" borderId="0" xfId="0" applyAlignment="1">
      <alignment horizontal="center" vertical="center"/>
    </xf>
    <xf numFmtId="168" fontId="0" fillId="0" borderId="0" xfId="0" applyNumberFormat="1" applyAlignment="1">
      <alignment vertical="center"/>
    </xf>
    <xf numFmtId="0" fontId="0" fillId="0" borderId="17" xfId="0" applyBorder="1" applyAlignment="1">
      <alignment vertical="center"/>
    </xf>
    <xf numFmtId="168" fontId="38" fillId="0" borderId="81" xfId="2" applyNumberFormat="1" applyFont="1" applyFill="1" applyBorder="1" applyAlignment="1">
      <alignment horizontal="right" vertical="center"/>
    </xf>
    <xf numFmtId="169" fontId="38" fillId="0" borderId="72" xfId="0" applyNumberFormat="1" applyFont="1" applyBorder="1" applyAlignment="1">
      <alignment horizontal="right" vertical="center"/>
    </xf>
    <xf numFmtId="166" fontId="38" fillId="0" borderId="0" xfId="2" applyNumberFormat="1" applyFont="1" applyFill="1" applyBorder="1" applyAlignment="1">
      <alignment vertical="center"/>
    </xf>
    <xf numFmtId="0" fontId="38" fillId="0" borderId="17" xfId="0" applyFont="1" applyBorder="1" applyAlignment="1">
      <alignment vertical="center"/>
    </xf>
    <xf numFmtId="0" fontId="49" fillId="0" borderId="0" xfId="0" applyFont="1" applyAlignment="1">
      <alignment vertical="center"/>
    </xf>
    <xf numFmtId="0" fontId="50" fillId="23" borderId="82" xfId="0" applyFont="1" applyFill="1" applyBorder="1" applyAlignment="1">
      <alignment horizontal="center" wrapText="1"/>
    </xf>
    <xf numFmtId="0" fontId="9" fillId="14" borderId="74" xfId="0" applyFont="1" applyFill="1" applyBorder="1"/>
    <xf numFmtId="0" fontId="12" fillId="14" borderId="0" xfId="0" applyFont="1" applyFill="1" applyAlignment="1">
      <alignment horizontal="left"/>
    </xf>
    <xf numFmtId="0" fontId="12" fillId="14" borderId="0" xfId="0" applyFont="1" applyFill="1"/>
    <xf numFmtId="0" fontId="12" fillId="14" borderId="0" xfId="0" applyFont="1" applyFill="1" applyAlignment="1">
      <alignment horizontal="center"/>
    </xf>
    <xf numFmtId="4" fontId="9" fillId="14" borderId="0" xfId="0" applyNumberFormat="1" applyFont="1" applyFill="1"/>
    <xf numFmtId="4" fontId="12" fillId="14" borderId="0" xfId="0" applyNumberFormat="1" applyFont="1" applyFill="1"/>
    <xf numFmtId="0" fontId="18" fillId="14" borderId="0" xfId="0" applyFont="1" applyFill="1" applyAlignment="1">
      <alignment horizontal="right"/>
    </xf>
    <xf numFmtId="0" fontId="18" fillId="14" borderId="0" xfId="0" applyFont="1" applyFill="1"/>
    <xf numFmtId="0" fontId="21" fillId="14" borderId="0" xfId="0" applyFont="1" applyFill="1"/>
    <xf numFmtId="9" fontId="18" fillId="14" borderId="75" xfId="1" applyFont="1" applyFill="1" applyBorder="1"/>
    <xf numFmtId="0" fontId="9" fillId="0" borderId="74" xfId="0" applyFont="1" applyBorder="1"/>
    <xf numFmtId="0" fontId="12" fillId="0" borderId="0" xfId="0" applyFont="1" applyAlignment="1">
      <alignment horizontal="left"/>
    </xf>
    <xf numFmtId="0" fontId="12" fillId="0" borderId="0" xfId="0" applyFont="1" applyAlignment="1">
      <alignment horizontal="center"/>
    </xf>
    <xf numFmtId="4" fontId="9" fillId="0" borderId="0" xfId="0" applyNumberFormat="1" applyFont="1" applyAlignment="1">
      <alignment horizontal="center"/>
    </xf>
    <xf numFmtId="4" fontId="12" fillId="13" borderId="0" xfId="0" applyNumberFormat="1" applyFont="1" applyFill="1" applyAlignment="1">
      <alignment horizontal="center"/>
    </xf>
    <xf numFmtId="4" fontId="12" fillId="0" borderId="0" xfId="0" applyNumberFormat="1" applyFont="1" applyAlignment="1">
      <alignment horizontal="center"/>
    </xf>
    <xf numFmtId="9" fontId="18" fillId="0" borderId="0" xfId="0" applyNumberFormat="1" applyFont="1"/>
    <xf numFmtId="166" fontId="21" fillId="0" borderId="0" xfId="2" applyNumberFormat="1" applyFont="1" applyBorder="1"/>
    <xf numFmtId="9" fontId="18" fillId="0" borderId="75" xfId="1" applyFont="1" applyBorder="1"/>
    <xf numFmtId="0" fontId="9" fillId="3" borderId="74" xfId="0" applyFont="1" applyFill="1" applyBorder="1"/>
    <xf numFmtId="0" fontId="12" fillId="3" borderId="0" xfId="0" applyFont="1" applyFill="1" applyAlignment="1">
      <alignment horizontal="left"/>
    </xf>
    <xf numFmtId="0" fontId="12" fillId="3" borderId="0" xfId="0" applyFont="1" applyFill="1"/>
    <xf numFmtId="0" fontId="12" fillId="3" borderId="0" xfId="0" applyFont="1" applyFill="1" applyAlignment="1">
      <alignment horizontal="center"/>
    </xf>
    <xf numFmtId="4" fontId="9" fillId="3" borderId="0" xfId="0" applyNumberFormat="1" applyFont="1" applyFill="1" applyAlignment="1">
      <alignment horizontal="center"/>
    </xf>
    <xf numFmtId="4" fontId="12" fillId="3" borderId="0" xfId="0" applyNumberFormat="1" applyFont="1" applyFill="1" applyAlignment="1">
      <alignment horizontal="center"/>
    </xf>
    <xf numFmtId="0" fontId="18" fillId="3" borderId="0" xfId="0" applyFont="1" applyFill="1" applyAlignment="1">
      <alignment horizontal="right"/>
    </xf>
    <xf numFmtId="0" fontId="18" fillId="3" borderId="0" xfId="0" applyFont="1" applyFill="1"/>
    <xf numFmtId="166" fontId="21" fillId="3" borderId="0" xfId="2" applyNumberFormat="1" applyFont="1" applyFill="1" applyBorder="1"/>
    <xf numFmtId="9" fontId="18" fillId="3" borderId="75" xfId="1" applyFont="1" applyFill="1" applyBorder="1"/>
    <xf numFmtId="4" fontId="9" fillId="14" borderId="0" xfId="0" applyNumberFormat="1" applyFont="1" applyFill="1" applyAlignment="1">
      <alignment horizontal="center"/>
    </xf>
    <xf numFmtId="4" fontId="12" fillId="14" borderId="0" xfId="0" applyNumberFormat="1" applyFont="1" applyFill="1" applyAlignment="1">
      <alignment horizontal="center"/>
    </xf>
    <xf numFmtId="166" fontId="21" fillId="14" borderId="0" xfId="2" applyNumberFormat="1" applyFont="1" applyFill="1" applyBorder="1"/>
    <xf numFmtId="0" fontId="9" fillId="14" borderId="0" xfId="0" applyFont="1" applyFill="1" applyAlignment="1">
      <alignment horizontal="center"/>
    </xf>
    <xf numFmtId="0" fontId="12" fillId="0" borderId="0" xfId="0" applyFont="1" applyAlignment="1">
      <alignment horizontal="left" indent="2"/>
    </xf>
    <xf numFmtId="4" fontId="12" fillId="11" borderId="0" xfId="0" applyNumberFormat="1" applyFont="1" applyFill="1" applyAlignment="1">
      <alignment horizontal="center"/>
    </xf>
    <xf numFmtId="4" fontId="16" fillId="0" borderId="0" xfId="0" applyNumberFormat="1" applyFont="1" applyAlignment="1">
      <alignment horizontal="center" vertical="center"/>
    </xf>
    <xf numFmtId="0" fontId="9" fillId="0" borderId="76" xfId="0" applyFont="1" applyBorder="1"/>
    <xf numFmtId="0" fontId="12" fillId="0" borderId="77" xfId="0" applyFont="1" applyBorder="1" applyAlignment="1">
      <alignment horizontal="left"/>
    </xf>
    <xf numFmtId="0" fontId="12" fillId="0" borderId="77" xfId="0" applyFont="1" applyBorder="1"/>
    <xf numFmtId="0" fontId="12" fillId="0" borderId="77" xfId="0" applyFont="1" applyBorder="1" applyAlignment="1">
      <alignment horizontal="center"/>
    </xf>
    <xf numFmtId="4" fontId="9" fillId="0" borderId="77" xfId="0" applyNumberFormat="1" applyFont="1" applyBorder="1" applyAlignment="1">
      <alignment horizontal="center"/>
    </xf>
    <xf numFmtId="4" fontId="12" fillId="0" borderId="77" xfId="0" applyNumberFormat="1" applyFont="1" applyBorder="1" applyAlignment="1">
      <alignment horizontal="center"/>
    </xf>
    <xf numFmtId="0" fontId="18" fillId="0" borderId="77" xfId="0" applyFont="1" applyBorder="1"/>
    <xf numFmtId="9" fontId="18" fillId="0" borderId="77" xfId="0" applyNumberFormat="1" applyFont="1" applyBorder="1"/>
    <xf numFmtId="166" fontId="21" fillId="0" borderId="77" xfId="2" applyNumberFormat="1" applyFont="1" applyBorder="1"/>
    <xf numFmtId="9" fontId="18" fillId="0" borderId="78" xfId="1" applyFont="1" applyBorder="1"/>
    <xf numFmtId="0" fontId="1" fillId="8" borderId="0" xfId="0" applyFont="1" applyFill="1"/>
    <xf numFmtId="0" fontId="32" fillId="0" borderId="0" xfId="0" applyFont="1"/>
    <xf numFmtId="0" fontId="8" fillId="0" borderId="0" xfId="0" applyFont="1" applyAlignment="1">
      <alignment wrapText="1"/>
    </xf>
    <xf numFmtId="43" fontId="0" fillId="0" borderId="0" xfId="0" applyNumberForma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xf numFmtId="171" fontId="1" fillId="11" borderId="0" xfId="0" applyNumberFormat="1" applyFont="1" applyFill="1"/>
    <xf numFmtId="168" fontId="6" fillId="0" borderId="81" xfId="2" applyNumberFormat="1" applyFont="1" applyFill="1" applyBorder="1" applyAlignment="1">
      <alignment horizontal="right" vertical="center"/>
    </xf>
    <xf numFmtId="168" fontId="37" fillId="0" borderId="81" xfId="2" applyNumberFormat="1" applyFont="1" applyFill="1" applyBorder="1" applyAlignment="1">
      <alignment horizontal="right" vertical="center"/>
    </xf>
    <xf numFmtId="169" fontId="0" fillId="16" borderId="0" xfId="0" applyNumberFormat="1" applyFill="1"/>
    <xf numFmtId="0" fontId="0" fillId="7" borderId="0" xfId="0" applyFill="1"/>
    <xf numFmtId="9" fontId="0" fillId="7" borderId="0" xfId="0" applyNumberFormat="1" applyFill="1"/>
    <xf numFmtId="9" fontId="0" fillId="0" borderId="0" xfId="0" applyNumberFormat="1"/>
    <xf numFmtId="0" fontId="0" fillId="14" borderId="0" xfId="0"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ill="1"/>
    <xf numFmtId="0" fontId="12" fillId="23" borderId="83" xfId="0" applyFont="1" applyFill="1" applyBorder="1" applyAlignment="1">
      <alignment horizontal="center" wrapText="1"/>
    </xf>
    <xf numFmtId="4" fontId="12" fillId="23" borderId="83" xfId="0" applyNumberFormat="1" applyFont="1" applyFill="1" applyBorder="1" applyAlignment="1">
      <alignment horizontal="center" wrapText="1"/>
    </xf>
    <xf numFmtId="4" fontId="54" fillId="23" borderId="83" xfId="0" applyNumberFormat="1" applyFont="1" applyFill="1" applyBorder="1" applyAlignment="1">
      <alignment horizontal="center" wrapText="1"/>
    </xf>
    <xf numFmtId="4" fontId="56" fillId="23" borderId="83" xfId="0" applyNumberFormat="1" applyFont="1" applyFill="1" applyBorder="1" applyAlignment="1">
      <alignment horizontal="center" wrapText="1"/>
    </xf>
    <xf numFmtId="9" fontId="57" fillId="23" borderId="84" xfId="1" applyFont="1" applyFill="1" applyBorder="1" applyAlignment="1">
      <alignment horizontal="center" wrapText="1"/>
    </xf>
    <xf numFmtId="3" fontId="1" fillId="0" borderId="0" xfId="0" applyNumberFormat="1" applyFont="1" applyAlignment="1">
      <alignment horizontal="center"/>
    </xf>
    <xf numFmtId="172" fontId="38" fillId="0" borderId="78"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77" xfId="0" applyFont="1" applyBorder="1" applyAlignment="1">
      <alignment vertical="center"/>
    </xf>
    <xf numFmtId="169" fontId="7" fillId="0" borderId="77" xfId="0" applyNumberFormat="1" applyFont="1" applyBorder="1" applyAlignment="1">
      <alignment horizontal="right" vertical="center"/>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7"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7"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79" xfId="0" applyFont="1" applyFill="1" applyBorder="1" applyAlignment="1">
      <alignment horizontal="center" wrapText="1"/>
    </xf>
    <xf numFmtId="169" fontId="6" fillId="2" borderId="46" xfId="0" applyNumberFormat="1" applyFont="1" applyFill="1" applyBorder="1" applyAlignment="1">
      <alignment horizontal="center" wrapText="1"/>
    </xf>
    <xf numFmtId="172" fontId="7" fillId="0" borderId="77" xfId="0" applyNumberFormat="1" applyFont="1" applyBorder="1" applyAlignment="1">
      <alignment horizontal="right" vertical="center"/>
    </xf>
    <xf numFmtId="166" fontId="1" fillId="14" borderId="0" xfId="2" applyNumberFormat="1" applyFont="1" applyFill="1" applyBorder="1"/>
    <xf numFmtId="0" fontId="1" fillId="14" borderId="0" xfId="0" applyFont="1" applyFill="1"/>
    <xf numFmtId="166" fontId="1" fillId="0" borderId="0" xfId="2" applyNumberFormat="1" applyFont="1" applyBorder="1"/>
    <xf numFmtId="166" fontId="1" fillId="3" borderId="0" xfId="2" applyNumberFormat="1" applyFont="1" applyFill="1" applyBorder="1"/>
    <xf numFmtId="0" fontId="1" fillId="3" borderId="0" xfId="0" applyFont="1" applyFill="1"/>
    <xf numFmtId="166" fontId="1" fillId="10" borderId="0" xfId="2" applyNumberFormat="1" applyFont="1" applyFill="1" applyBorder="1"/>
    <xf numFmtId="0" fontId="1" fillId="11" borderId="0" xfId="0" applyFont="1" applyFill="1" applyAlignment="1">
      <alignment horizontal="center"/>
    </xf>
    <xf numFmtId="166" fontId="1" fillId="0" borderId="77" xfId="2" applyNumberFormat="1" applyFont="1" applyBorder="1"/>
    <xf numFmtId="0" fontId="1" fillId="0" borderId="77"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ill="1"/>
    <xf numFmtId="169" fontId="0" fillId="18" borderId="0" xfId="0" applyNumberForma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xf numFmtId="0" fontId="0" fillId="0" borderId="0" xfId="0" applyAlignment="1">
      <alignment horizontal="center" vertical="center" wrapText="1"/>
    </xf>
    <xf numFmtId="6" fontId="0" fillId="0" borderId="0" xfId="0" applyNumberFormat="1" applyAlignment="1">
      <alignment horizontal="center" vertical="center" wrapText="1"/>
    </xf>
    <xf numFmtId="6" fontId="0" fillId="0" borderId="0" xfId="0" applyNumberFormat="1" applyAlignment="1">
      <alignment horizontal="center" vertical="center"/>
    </xf>
    <xf numFmtId="0" fontId="6" fillId="7" borderId="0" xfId="0" applyFont="1" applyFill="1" applyAlignment="1">
      <alignment vertical="center"/>
    </xf>
    <xf numFmtId="0" fontId="7" fillId="7" borderId="0" xfId="0" applyFont="1" applyFill="1" applyAlignment="1">
      <alignment horizontal="left" vertical="center"/>
    </xf>
    <xf numFmtId="9" fontId="7" fillId="7" borderId="0" xfId="1" applyFont="1" applyFill="1" applyBorder="1" applyAlignment="1">
      <alignment vertical="center"/>
    </xf>
    <xf numFmtId="166" fontId="7" fillId="7" borderId="0" xfId="2" applyNumberFormat="1" applyFont="1" applyFill="1" applyBorder="1" applyAlignment="1">
      <alignment horizontal="right" vertical="center"/>
    </xf>
    <xf numFmtId="166" fontId="7" fillId="7" borderId="0" xfId="0" applyNumberFormat="1" applyFont="1" applyFill="1" applyAlignment="1">
      <alignment vertical="center"/>
    </xf>
    <xf numFmtId="166" fontId="7" fillId="7" borderId="0" xfId="2" applyNumberFormat="1" applyFont="1" applyFill="1" applyBorder="1" applyAlignment="1">
      <alignment vertical="center"/>
    </xf>
    <xf numFmtId="0" fontId="6" fillId="7" borderId="0" xfId="0" applyFont="1" applyFill="1" applyAlignment="1">
      <alignment horizontal="left" vertical="center"/>
    </xf>
    <xf numFmtId="9" fontId="6" fillId="7" borderId="0" xfId="1" applyFont="1" applyFill="1" applyBorder="1" applyAlignment="1">
      <alignment vertical="center"/>
    </xf>
    <xf numFmtId="43" fontId="1" fillId="0" borderId="0" xfId="4" applyFont="1" applyAlignment="1">
      <alignment vertical="center" wrapText="1"/>
    </xf>
    <xf numFmtId="43" fontId="1" fillId="0" borderId="0" xfId="4" applyFont="1" applyAlignment="1">
      <alignment horizontal="left" vertical="center" wrapText="1"/>
    </xf>
    <xf numFmtId="0" fontId="0" fillId="0" borderId="0" xfId="0" applyAlignment="1">
      <alignment vertical="center" wrapText="1"/>
    </xf>
    <xf numFmtId="0" fontId="27" fillId="0" borderId="28" xfId="0" applyFont="1" applyBorder="1"/>
    <xf numFmtId="43" fontId="27" fillId="0" borderId="93" xfId="4" applyFont="1" applyBorder="1"/>
    <xf numFmtId="9" fontId="27" fillId="0" borderId="93" xfId="1" applyFont="1" applyBorder="1"/>
    <xf numFmtId="0" fontId="27" fillId="0" borderId="93" xfId="0" applyFont="1" applyBorder="1"/>
    <xf numFmtId="0" fontId="27" fillId="0" borderId="94" xfId="0" applyFont="1" applyBorder="1"/>
    <xf numFmtId="0" fontId="12" fillId="0" borderId="0" xfId="0" applyFont="1" applyAlignment="1">
      <alignment vertic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0" fontId="0" fillId="0" borderId="0" xfId="0" pivotButton="1"/>
    <xf numFmtId="0" fontId="0" fillId="0" borderId="0" xfId="0" applyAlignment="1">
      <alignment horizontal="left"/>
    </xf>
    <xf numFmtId="0" fontId="0" fillId="0" borderId="0" xfId="0" applyAlignment="1">
      <alignment horizontal="left" indent="1"/>
    </xf>
    <xf numFmtId="9" fontId="46" fillId="0" borderId="0" xfId="1" applyFont="1"/>
    <xf numFmtId="2" fontId="46" fillId="0" borderId="0" xfId="5" applyNumberFormat="1" applyFont="1"/>
    <xf numFmtId="0" fontId="7" fillId="0" borderId="45" xfId="0" applyFont="1" applyBorder="1" applyAlignment="1">
      <alignment horizontal="center" vertical="center"/>
    </xf>
    <xf numFmtId="4" fontId="7" fillId="0" borderId="45" xfId="0" applyNumberFormat="1" applyFont="1" applyBorder="1" applyAlignment="1">
      <alignment horizontal="right" vertical="center"/>
    </xf>
    <xf numFmtId="169" fontId="7" fillId="0" borderId="63" xfId="0" applyNumberFormat="1" applyFont="1" applyBorder="1" applyAlignment="1">
      <alignment horizontal="right" vertical="center"/>
    </xf>
    <xf numFmtId="168" fontId="7" fillId="0" borderId="80" xfId="2" applyNumberFormat="1" applyFont="1" applyFill="1" applyBorder="1" applyAlignment="1">
      <alignment horizontal="right" vertical="center"/>
    </xf>
    <xf numFmtId="165" fontId="0" fillId="0" borderId="67" xfId="0" applyNumberFormat="1" applyBorder="1" applyAlignment="1">
      <alignment horizontal="right" vertical="center"/>
    </xf>
    <xf numFmtId="0" fontId="0" fillId="0" borderId="45" xfId="0" applyBorder="1" applyAlignment="1">
      <alignment horizontal="right" vertical="center"/>
    </xf>
    <xf numFmtId="167" fontId="7" fillId="0" borderId="45" xfId="1" applyNumberFormat="1" applyFont="1" applyFill="1" applyBorder="1" applyAlignment="1">
      <alignment horizontal="right" vertical="center"/>
    </xf>
    <xf numFmtId="2" fontId="0" fillId="0" borderId="45" xfId="0" applyNumberFormat="1" applyBorder="1" applyAlignment="1">
      <alignment horizontal="right" vertical="center"/>
    </xf>
    <xf numFmtId="2" fontId="7" fillId="0" borderId="68" xfId="1" applyNumberFormat="1" applyFont="1" applyFill="1" applyBorder="1" applyAlignment="1">
      <alignment horizontal="right" vertical="center"/>
    </xf>
    <xf numFmtId="4" fontId="0" fillId="0" borderId="67" xfId="0" applyNumberFormat="1" applyBorder="1" applyAlignment="1">
      <alignment horizontal="right" vertical="center"/>
    </xf>
    <xf numFmtId="4" fontId="0" fillId="0" borderId="45" xfId="0" applyNumberFormat="1" applyBorder="1" applyAlignment="1">
      <alignment horizontal="right" vertical="center"/>
    </xf>
    <xf numFmtId="168" fontId="0" fillId="0" borderId="45" xfId="0" applyNumberFormat="1" applyBorder="1" applyAlignment="1">
      <alignment horizontal="right" vertical="center"/>
    </xf>
    <xf numFmtId="169" fontId="0" fillId="0" borderId="68" xfId="0" applyNumberFormat="1" applyBorder="1" applyAlignment="1">
      <alignment horizontal="right" vertical="center"/>
    </xf>
    <xf numFmtId="169" fontId="0" fillId="0" borderId="45" xfId="0" applyNumberFormat="1" applyBorder="1" applyAlignment="1">
      <alignment horizontal="right" vertical="center"/>
    </xf>
    <xf numFmtId="168" fontId="38" fillId="0" borderId="80" xfId="2" applyNumberFormat="1" applyFont="1" applyFill="1" applyBorder="1" applyAlignment="1">
      <alignment horizontal="right" vertical="center"/>
    </xf>
    <xf numFmtId="169" fontId="38" fillId="0" borderId="68" xfId="0" applyNumberFormat="1" applyFont="1" applyBorder="1" applyAlignment="1">
      <alignment horizontal="right" vertical="center"/>
    </xf>
    <xf numFmtId="0" fontId="7" fillId="0" borderId="44" xfId="0" applyFont="1" applyBorder="1" applyAlignment="1">
      <alignment horizontal="left" vertical="center"/>
    </xf>
    <xf numFmtId="0" fontId="7" fillId="0" borderId="95" xfId="0" applyFont="1" applyBorder="1" applyAlignment="1">
      <alignment horizontal="center" vertical="center"/>
    </xf>
    <xf numFmtId="4" fontId="7" fillId="0" borderId="95" xfId="0" applyNumberFormat="1" applyFont="1" applyBorder="1" applyAlignment="1">
      <alignment horizontal="right" vertical="center"/>
    </xf>
    <xf numFmtId="169" fontId="7" fillId="0" borderId="96" xfId="0" applyNumberFormat="1" applyFont="1" applyBorder="1" applyAlignment="1">
      <alignment horizontal="right" vertical="center"/>
    </xf>
    <xf numFmtId="168" fontId="7" fillId="0" borderId="97" xfId="2" applyNumberFormat="1" applyFont="1" applyFill="1" applyBorder="1" applyAlignment="1">
      <alignment horizontal="right" vertical="center"/>
    </xf>
    <xf numFmtId="165" fontId="0" fillId="0" borderId="98" xfId="0" applyNumberFormat="1" applyBorder="1" applyAlignment="1">
      <alignment horizontal="right" vertical="center"/>
    </xf>
    <xf numFmtId="0" fontId="0" fillId="0" borderId="95" xfId="0" applyBorder="1" applyAlignment="1">
      <alignment horizontal="right" vertical="center"/>
    </xf>
    <xf numFmtId="167" fontId="7" fillId="0" borderId="95" xfId="1" applyNumberFormat="1" applyFont="1" applyFill="1" applyBorder="1" applyAlignment="1">
      <alignment horizontal="right" vertical="center"/>
    </xf>
    <xf numFmtId="2" fontId="0" fillId="0" borderId="95" xfId="0" applyNumberFormat="1" applyBorder="1" applyAlignment="1">
      <alignment horizontal="right" vertical="center"/>
    </xf>
    <xf numFmtId="2" fontId="7" fillId="0" borderId="99" xfId="1" applyNumberFormat="1" applyFont="1" applyFill="1" applyBorder="1" applyAlignment="1">
      <alignment horizontal="right" vertical="center"/>
    </xf>
    <xf numFmtId="4" fontId="0" fillId="0" borderId="98" xfId="0" applyNumberFormat="1" applyBorder="1" applyAlignment="1">
      <alignment horizontal="right" vertical="center"/>
    </xf>
    <xf numFmtId="4" fontId="0" fillId="0" borderId="95" xfId="0" applyNumberFormat="1" applyBorder="1" applyAlignment="1">
      <alignment horizontal="right" vertical="center"/>
    </xf>
    <xf numFmtId="168" fontId="0" fillId="0" borderId="95" xfId="0" applyNumberFormat="1" applyBorder="1" applyAlignment="1">
      <alignment horizontal="right" vertical="center"/>
    </xf>
    <xf numFmtId="169" fontId="0" fillId="0" borderId="99" xfId="0" applyNumberFormat="1" applyBorder="1" applyAlignment="1">
      <alignment horizontal="right" vertical="center"/>
    </xf>
    <xf numFmtId="169" fontId="0" fillId="0" borderId="95" xfId="0" applyNumberFormat="1" applyBorder="1" applyAlignment="1">
      <alignment horizontal="right" vertical="center"/>
    </xf>
    <xf numFmtId="168" fontId="38" fillId="0" borderId="97" xfId="2" applyNumberFormat="1" applyFont="1" applyFill="1" applyBorder="1" applyAlignment="1">
      <alignment horizontal="right" vertical="center"/>
    </xf>
    <xf numFmtId="169" fontId="38" fillId="0" borderId="99" xfId="0" applyNumberFormat="1" applyFont="1" applyBorder="1" applyAlignment="1">
      <alignment horizontal="right" vertical="center"/>
    </xf>
    <xf numFmtId="4" fontId="7" fillId="7" borderId="0" xfId="0" applyNumberFormat="1" applyFont="1" applyFill="1" applyAlignment="1">
      <alignment horizontal="right" vertical="center"/>
    </xf>
    <xf numFmtId="169" fontId="7" fillId="7" borderId="0" xfId="0" applyNumberFormat="1" applyFont="1" applyFill="1" applyAlignment="1">
      <alignment horizontal="right" vertical="center"/>
    </xf>
    <xf numFmtId="168" fontId="7" fillId="7" borderId="0" xfId="2" applyNumberFormat="1" applyFont="1" applyFill="1" applyBorder="1" applyAlignment="1">
      <alignment horizontal="right" vertical="center"/>
    </xf>
    <xf numFmtId="165" fontId="0" fillId="7" borderId="0" xfId="0" applyNumberFormat="1" applyFill="1" applyAlignment="1">
      <alignment horizontal="right" vertical="center"/>
    </xf>
    <xf numFmtId="0" fontId="0" fillId="7" borderId="0" xfId="0" applyFill="1" applyAlignment="1">
      <alignment horizontal="right" vertical="center"/>
    </xf>
    <xf numFmtId="167" fontId="7" fillId="7" borderId="0" xfId="1" applyNumberFormat="1" applyFont="1" applyFill="1" applyBorder="1" applyAlignment="1">
      <alignment horizontal="right" vertical="center"/>
    </xf>
    <xf numFmtId="2" fontId="0" fillId="7" borderId="0" xfId="0" applyNumberFormat="1" applyFill="1" applyAlignment="1">
      <alignment horizontal="right" vertical="center"/>
    </xf>
    <xf numFmtId="2" fontId="7" fillId="7" borderId="0" xfId="1" applyNumberFormat="1" applyFont="1" applyFill="1" applyBorder="1" applyAlignment="1">
      <alignment horizontal="right" vertical="center"/>
    </xf>
    <xf numFmtId="4" fontId="0" fillId="7" borderId="0" xfId="0" applyNumberFormat="1" applyFill="1" applyAlignment="1">
      <alignment horizontal="right" vertical="center"/>
    </xf>
    <xf numFmtId="168" fontId="0" fillId="7" borderId="0" xfId="0" applyNumberFormat="1" applyFill="1" applyAlignment="1">
      <alignment horizontal="right" vertical="center"/>
    </xf>
    <xf numFmtId="169" fontId="0" fillId="7" borderId="0" xfId="0" applyNumberFormat="1" applyFill="1" applyAlignment="1">
      <alignment horizontal="right" vertical="center"/>
    </xf>
    <xf numFmtId="168" fontId="38" fillId="7" borderId="0" xfId="2" applyNumberFormat="1" applyFont="1" applyFill="1" applyBorder="1" applyAlignment="1">
      <alignment horizontal="right" vertical="center"/>
    </xf>
    <xf numFmtId="169" fontId="38" fillId="7" borderId="0" xfId="0" applyNumberFormat="1" applyFont="1" applyFill="1" applyAlignment="1">
      <alignment horizontal="right" vertical="center"/>
    </xf>
    <xf numFmtId="169" fontId="0" fillId="7" borderId="100" xfId="0" applyNumberFormat="1" applyFill="1" applyBorder="1" applyAlignment="1">
      <alignment horizontal="right" vertical="center"/>
    </xf>
    <xf numFmtId="169" fontId="38" fillId="7" borderId="100" xfId="0" applyNumberFormat="1" applyFont="1" applyFill="1" applyBorder="1" applyAlignment="1">
      <alignment horizontal="right" vertical="center"/>
    </xf>
    <xf numFmtId="0" fontId="8" fillId="2" borderId="105" xfId="0" applyFont="1" applyFill="1" applyBorder="1" applyAlignment="1">
      <alignment horizontal="center" wrapText="1"/>
    </xf>
    <xf numFmtId="169" fontId="6" fillId="2" borderId="106" xfId="0" applyNumberFormat="1" applyFont="1" applyFill="1" applyBorder="1" applyAlignment="1">
      <alignment horizontal="center" wrapText="1"/>
    </xf>
    <xf numFmtId="0" fontId="6" fillId="7" borderId="107" xfId="0" applyFont="1" applyFill="1" applyBorder="1" applyAlignment="1">
      <alignment vertical="center"/>
    </xf>
    <xf numFmtId="0" fontId="0" fillId="7" borderId="108" xfId="0" applyFill="1" applyBorder="1" applyAlignment="1">
      <alignment vertical="center"/>
    </xf>
    <xf numFmtId="0" fontId="6" fillId="0" borderId="109" xfId="0" applyFont="1" applyBorder="1" applyAlignment="1">
      <alignment horizontal="right" vertical="center"/>
    </xf>
    <xf numFmtId="169" fontId="0" fillId="0" borderId="110" xfId="0" applyNumberFormat="1" applyBorder="1" applyAlignment="1">
      <alignment horizontal="right" vertical="center"/>
    </xf>
    <xf numFmtId="169" fontId="0" fillId="0" borderId="111" xfId="0" applyNumberFormat="1" applyBorder="1" applyAlignment="1">
      <alignment horizontal="right" vertical="center"/>
    </xf>
    <xf numFmtId="169" fontId="0" fillId="0" borderId="106" xfId="0" applyNumberFormat="1" applyBorder="1" applyAlignment="1">
      <alignment horizontal="right" vertical="center"/>
    </xf>
    <xf numFmtId="0" fontId="6" fillId="0" borderId="112" xfId="0" applyFont="1" applyBorder="1" applyAlignment="1">
      <alignment horizontal="right" vertical="center"/>
    </xf>
    <xf numFmtId="0" fontId="7" fillId="0" borderId="113" xfId="0" applyFont="1" applyBorder="1" applyAlignment="1">
      <alignment horizontal="left" vertical="center"/>
    </xf>
    <xf numFmtId="0" fontId="7" fillId="0" borderId="113" xfId="0" applyFont="1" applyBorder="1" applyAlignment="1">
      <alignment horizontal="center" vertical="center"/>
    </xf>
    <xf numFmtId="4" fontId="7" fillId="0" borderId="113" xfId="0" applyNumberFormat="1" applyFont="1" applyBorder="1" applyAlignment="1">
      <alignment horizontal="right" vertical="center"/>
    </xf>
    <xf numFmtId="169" fontId="7" fillId="0" borderId="114" xfId="0" applyNumberFormat="1" applyFont="1" applyBorder="1" applyAlignment="1">
      <alignment horizontal="right" vertical="center"/>
    </xf>
    <xf numFmtId="168" fontId="7" fillId="0" borderId="115" xfId="2" applyNumberFormat="1" applyFont="1" applyFill="1" applyBorder="1" applyAlignment="1">
      <alignment horizontal="right" vertical="center"/>
    </xf>
    <xf numFmtId="165" fontId="0" fillId="0" borderId="116" xfId="0" applyNumberFormat="1" applyBorder="1" applyAlignment="1">
      <alignment horizontal="right" vertical="center"/>
    </xf>
    <xf numFmtId="0" fontId="0" fillId="0" borderId="113" xfId="0" applyBorder="1" applyAlignment="1">
      <alignment horizontal="right" vertical="center"/>
    </xf>
    <xf numFmtId="167" fontId="7" fillId="0" borderId="113" xfId="1" applyNumberFormat="1" applyFont="1" applyFill="1" applyBorder="1" applyAlignment="1">
      <alignment horizontal="right" vertical="center"/>
    </xf>
    <xf numFmtId="2" fontId="0" fillId="0" borderId="113" xfId="0" applyNumberFormat="1" applyBorder="1" applyAlignment="1">
      <alignment horizontal="right" vertical="center"/>
    </xf>
    <xf numFmtId="2" fontId="7" fillId="0" borderId="117" xfId="1" applyNumberFormat="1" applyFont="1" applyFill="1" applyBorder="1" applyAlignment="1">
      <alignment horizontal="right" vertical="center"/>
    </xf>
    <xf numFmtId="4" fontId="0" fillId="0" borderId="116" xfId="0" applyNumberFormat="1" applyBorder="1" applyAlignment="1">
      <alignment horizontal="right" vertical="center"/>
    </xf>
    <xf numFmtId="4" fontId="0" fillId="0" borderId="113" xfId="0" applyNumberFormat="1" applyBorder="1" applyAlignment="1">
      <alignment horizontal="right" vertical="center"/>
    </xf>
    <xf numFmtId="168" fontId="0" fillId="0" borderId="113" xfId="0" applyNumberFormat="1" applyBorder="1" applyAlignment="1">
      <alignment horizontal="right" vertical="center"/>
    </xf>
    <xf numFmtId="169" fontId="0" fillId="0" borderId="117" xfId="0" applyNumberFormat="1" applyBorder="1" applyAlignment="1">
      <alignment horizontal="right" vertical="center"/>
    </xf>
    <xf numFmtId="169" fontId="0" fillId="0" borderId="113" xfId="0" applyNumberFormat="1" applyBorder="1" applyAlignment="1">
      <alignment horizontal="right" vertical="center"/>
    </xf>
    <xf numFmtId="169" fontId="0" fillId="0" borderId="118" xfId="0" applyNumberFormat="1" applyBorder="1" applyAlignment="1">
      <alignment horizontal="right" vertical="center"/>
    </xf>
    <xf numFmtId="169" fontId="37" fillId="2" borderId="106" xfId="0" applyNumberFormat="1" applyFont="1" applyFill="1" applyBorder="1" applyAlignment="1">
      <alignment horizontal="center" wrapText="1"/>
    </xf>
    <xf numFmtId="169" fontId="38" fillId="0" borderId="110" xfId="0" applyNumberFormat="1" applyFont="1" applyBorder="1" applyAlignment="1">
      <alignment horizontal="right" vertical="center"/>
    </xf>
    <xf numFmtId="169" fontId="38" fillId="0" borderId="111" xfId="0" applyNumberFormat="1" applyFont="1" applyBorder="1" applyAlignment="1">
      <alignment horizontal="right" vertical="center"/>
    </xf>
    <xf numFmtId="169" fontId="38" fillId="0" borderId="106" xfId="0" applyNumberFormat="1" applyFont="1" applyBorder="1" applyAlignment="1">
      <alignment horizontal="right" vertical="center"/>
    </xf>
    <xf numFmtId="168" fontId="38" fillId="0" borderId="115" xfId="2" applyNumberFormat="1" applyFont="1" applyFill="1" applyBorder="1" applyAlignment="1">
      <alignment horizontal="right" vertical="center"/>
    </xf>
    <xf numFmtId="169" fontId="38" fillId="0" borderId="117" xfId="0" applyNumberFormat="1" applyFont="1" applyBorder="1" applyAlignment="1">
      <alignment horizontal="right" vertical="center"/>
    </xf>
    <xf numFmtId="169" fontId="38" fillId="0" borderId="118" xfId="0" applyNumberFormat="1" applyFont="1" applyBorder="1" applyAlignment="1">
      <alignment horizontal="right" vertical="center"/>
    </xf>
    <xf numFmtId="9" fontId="7" fillId="7" borderId="15" xfId="1" applyFont="1" applyFill="1" applyBorder="1" applyAlignment="1">
      <alignment vertical="center"/>
    </xf>
    <xf numFmtId="9" fontId="7" fillId="7" borderId="8" xfId="1" applyFont="1" applyFill="1" applyBorder="1" applyAlignment="1">
      <alignment vertical="center"/>
    </xf>
    <xf numFmtId="0" fontId="12" fillId="7" borderId="0" xfId="0" applyFont="1" applyFill="1"/>
    <xf numFmtId="0" fontId="12" fillId="7" borderId="0" xfId="0" applyFont="1" applyFill="1" applyAlignment="1">
      <alignment horizontal="center"/>
    </xf>
    <xf numFmtId="4" fontId="9" fillId="7" borderId="0" xfId="0" applyNumberFormat="1" applyFont="1" applyFill="1" applyAlignment="1">
      <alignment horizontal="center"/>
    </xf>
    <xf numFmtId="4" fontId="12" fillId="7" borderId="0" xfId="0" applyNumberFormat="1" applyFont="1" applyFill="1" applyAlignment="1">
      <alignment horizontal="center"/>
    </xf>
    <xf numFmtId="166" fontId="1" fillId="7" borderId="0" xfId="2" applyNumberFormat="1" applyFont="1" applyFill="1" applyBorder="1"/>
    <xf numFmtId="0" fontId="1" fillId="7" borderId="0" xfId="0" applyFont="1" applyFill="1"/>
    <xf numFmtId="0" fontId="18" fillId="7" borderId="0" xfId="0" applyFont="1" applyFill="1" applyAlignment="1">
      <alignment horizontal="right"/>
    </xf>
    <xf numFmtId="0" fontId="18" fillId="7" borderId="0" xfId="0" applyFont="1" applyFill="1"/>
    <xf numFmtId="166" fontId="21" fillId="7" borderId="0" xfId="2" applyNumberFormat="1" applyFont="1" applyFill="1" applyBorder="1"/>
    <xf numFmtId="9" fontId="18" fillId="7" borderId="75" xfId="1" applyFont="1" applyFill="1" applyBorder="1"/>
    <xf numFmtId="9" fontId="0" fillId="7" borderId="0" xfId="1" applyFont="1" applyFill="1"/>
    <xf numFmtId="0" fontId="0" fillId="7" borderId="0" xfId="1" applyNumberFormat="1" applyFont="1" applyFill="1"/>
    <xf numFmtId="0" fontId="1" fillId="7" borderId="16" xfId="0" applyFont="1" applyFill="1" applyBorder="1" applyAlignment="1">
      <alignment vertical="center"/>
    </xf>
    <xf numFmtId="4" fontId="1" fillId="7" borderId="16" xfId="0" applyNumberFormat="1" applyFont="1" applyFill="1" applyBorder="1" applyAlignment="1">
      <alignment vertical="center"/>
    </xf>
    <xf numFmtId="9" fontId="1" fillId="7" borderId="16" xfId="1" applyFont="1" applyFill="1" applyBorder="1" applyAlignment="1">
      <alignment vertical="center"/>
    </xf>
    <xf numFmtId="3" fontId="1" fillId="7" borderId="16" xfId="0" applyNumberFormat="1" applyFont="1" applyFill="1" applyBorder="1" applyAlignment="1">
      <alignment vertical="center"/>
    </xf>
    <xf numFmtId="170" fontId="1" fillId="7" borderId="16" xfId="0" applyNumberFormat="1" applyFont="1" applyFill="1" applyBorder="1" applyAlignment="1">
      <alignment vertical="center"/>
    </xf>
    <xf numFmtId="169" fontId="1" fillId="7" borderId="16" xfId="0" applyNumberFormat="1" applyFont="1" applyFill="1" applyBorder="1" applyAlignment="1">
      <alignment vertical="center"/>
    </xf>
    <xf numFmtId="168" fontId="1" fillId="7" borderId="16" xfId="0" applyNumberFormat="1" applyFont="1" applyFill="1" applyBorder="1" applyAlignment="1">
      <alignment vertical="center"/>
    </xf>
    <xf numFmtId="0" fontId="0" fillId="0" borderId="0" xfId="0" applyAlignment="1">
      <alignment horizontal="center" wrapText="1"/>
    </xf>
    <xf numFmtId="2" fontId="7" fillId="0" borderId="0" xfId="1" applyNumberFormat="1" applyFont="1" applyFill="1" applyBorder="1" applyAlignment="1">
      <alignment horizontal="center" vertical="center"/>
    </xf>
    <xf numFmtId="2" fontId="38" fillId="0" borderId="0" xfId="1" applyNumberFormat="1" applyFont="1" applyFill="1" applyBorder="1" applyAlignment="1">
      <alignment horizontal="center" vertical="center"/>
    </xf>
    <xf numFmtId="2" fontId="7" fillId="0" borderId="39" xfId="1" applyNumberFormat="1" applyFont="1" applyFill="1" applyBorder="1" applyAlignment="1">
      <alignment horizontal="center" vertical="center"/>
    </xf>
    <xf numFmtId="2" fontId="7" fillId="0" borderId="34" xfId="1" applyNumberFormat="1" applyFont="1" applyFill="1" applyBorder="1" applyAlignment="1">
      <alignment horizontal="center" vertical="center"/>
    </xf>
    <xf numFmtId="2" fontId="38" fillId="0" borderId="34" xfId="1" applyNumberFormat="1" applyFont="1" applyFill="1" applyBorder="1" applyAlignment="1">
      <alignment horizontal="center" vertical="center"/>
    </xf>
    <xf numFmtId="2" fontId="7" fillId="0" borderId="41" xfId="1" applyNumberFormat="1" applyFont="1" applyFill="1" applyBorder="1" applyAlignment="1">
      <alignment horizontal="center" vertical="center"/>
    </xf>
    <xf numFmtId="168" fontId="0" fillId="0" borderId="0" xfId="0" applyNumberFormat="1"/>
    <xf numFmtId="9" fontId="0" fillId="11" borderId="0" xfId="1" applyFont="1" applyFill="1"/>
    <xf numFmtId="0" fontId="0" fillId="0" borderId="0" xfId="0" quotePrefix="1"/>
    <xf numFmtId="164" fontId="0" fillId="0" borderId="0" xfId="0" applyNumberFormat="1"/>
    <xf numFmtId="165" fontId="0" fillId="0" borderId="0" xfId="0" applyNumberFormat="1"/>
    <xf numFmtId="0" fontId="0" fillId="0" borderId="0" xfId="0" applyAlignment="1">
      <alignment wrapText="1"/>
    </xf>
    <xf numFmtId="0" fontId="4" fillId="0" borderId="0" xfId="3"/>
    <xf numFmtId="0" fontId="0" fillId="11" borderId="0" xfId="1" applyNumberFormat="1" applyFont="1" applyFill="1"/>
    <xf numFmtId="0" fontId="1" fillId="8" borderId="93" xfId="0" applyFont="1" applyFill="1" applyBorder="1" applyAlignment="1">
      <alignment horizontal="center" wrapText="1"/>
    </xf>
    <xf numFmtId="0" fontId="1" fillId="8" borderId="94" xfId="0" applyFont="1" applyFill="1" applyBorder="1" applyAlignment="1">
      <alignment horizontal="center" wrapText="1"/>
    </xf>
    <xf numFmtId="165" fontId="18" fillId="0" borderId="0" xfId="0" applyNumberFormat="1" applyFont="1" applyAlignment="1">
      <alignment horizontal="center" vertical="center"/>
    </xf>
    <xf numFmtId="9" fontId="18" fillId="0" borderId="0" xfId="1" applyFont="1" applyFill="1"/>
    <xf numFmtId="0" fontId="17" fillId="0" borderId="0" xfId="0" applyFont="1" applyAlignment="1">
      <alignment vertical="center"/>
    </xf>
    <xf numFmtId="0" fontId="18" fillId="0" borderId="0" xfId="0" applyFont="1" applyAlignment="1">
      <alignment vertical="center"/>
    </xf>
    <xf numFmtId="9" fontId="1" fillId="0" borderId="0" xfId="1" applyFont="1" applyAlignment="1">
      <alignment horizontal="center" vertical="center"/>
    </xf>
    <xf numFmtId="0" fontId="1" fillId="8" borderId="28" xfId="0" applyFont="1" applyFill="1" applyBorder="1" applyAlignment="1">
      <alignment wrapText="1"/>
    </xf>
    <xf numFmtId="0" fontId="1" fillId="8" borderId="93" xfId="0" applyFont="1" applyFill="1" applyBorder="1" applyAlignment="1">
      <alignment wrapText="1"/>
    </xf>
    <xf numFmtId="169" fontId="18" fillId="0" borderId="0" xfId="2" applyNumberFormat="1" applyFont="1" applyFill="1"/>
    <xf numFmtId="0" fontId="18" fillId="6" borderId="0" xfId="0" applyFont="1" applyFill="1"/>
    <xf numFmtId="0" fontId="1" fillId="6" borderId="0" xfId="0" applyFont="1" applyFill="1"/>
    <xf numFmtId="0" fontId="18" fillId="6" borderId="0" xfId="0" applyFont="1" applyFill="1" applyAlignment="1">
      <alignment vertical="center"/>
    </xf>
    <xf numFmtId="0" fontId="60" fillId="21" borderId="119" xfId="0" applyFont="1" applyFill="1" applyBorder="1" applyAlignment="1">
      <alignment horizontal="right" vertical="center"/>
    </xf>
    <xf numFmtId="0" fontId="0" fillId="0" borderId="119" xfId="0" applyBorder="1" applyAlignment="1">
      <alignment horizontal="right" vertical="center"/>
    </xf>
    <xf numFmtId="0" fontId="60" fillId="21" borderId="119" xfId="0" applyFont="1" applyFill="1" applyBorder="1" applyAlignment="1">
      <alignment horizontal="center" vertical="center"/>
    </xf>
    <xf numFmtId="0" fontId="0" fillId="0" borderId="119" xfId="0" applyBorder="1" applyAlignment="1">
      <alignment horizontal="center" vertical="center"/>
    </xf>
    <xf numFmtId="2" fontId="0" fillId="0" borderId="119" xfId="0" applyNumberFormat="1" applyBorder="1" applyAlignment="1">
      <alignment horizontal="right" vertical="center"/>
    </xf>
    <xf numFmtId="169" fontId="0" fillId="0" borderId="119" xfId="0" applyNumberFormat="1" applyBorder="1" applyAlignment="1">
      <alignment horizontal="right" vertical="center"/>
    </xf>
    <xf numFmtId="1" fontId="0" fillId="0" borderId="119" xfId="0" applyNumberFormat="1" applyBorder="1" applyAlignment="1">
      <alignment horizontal="right" vertical="center"/>
    </xf>
    <xf numFmtId="9" fontId="0" fillId="0" borderId="119" xfId="1" applyFont="1" applyBorder="1" applyAlignment="1">
      <alignment horizontal="right" vertical="center"/>
    </xf>
    <xf numFmtId="9" fontId="18" fillId="0" borderId="0" xfId="1" applyFont="1" applyFill="1" applyAlignment="1">
      <alignment horizontal="center" vertical="center"/>
    </xf>
    <xf numFmtId="1" fontId="0" fillId="0" borderId="119" xfId="4" applyNumberFormat="1" applyFont="1" applyBorder="1" applyAlignment="1">
      <alignment horizontal="right" vertical="center"/>
    </xf>
    <xf numFmtId="0" fontId="61" fillId="21" borderId="119" xfId="0" applyFont="1" applyFill="1" applyBorder="1" applyAlignment="1">
      <alignment horizontal="center" vertical="center" wrapText="1"/>
    </xf>
    <xf numFmtId="0" fontId="62" fillId="21" borderId="119" xfId="0" applyFont="1" applyFill="1" applyBorder="1" applyAlignment="1">
      <alignment horizontal="center" vertical="center" wrapText="1"/>
    </xf>
    <xf numFmtId="0" fontId="63" fillId="21" borderId="119" xfId="0" applyFont="1" applyFill="1" applyBorder="1" applyAlignment="1">
      <alignment horizontal="center" vertical="center" wrapText="1"/>
    </xf>
    <xf numFmtId="0" fontId="62" fillId="21" borderId="119" xfId="0" applyFont="1" applyFill="1" applyBorder="1" applyAlignment="1">
      <alignment horizontal="right" vertical="center"/>
    </xf>
    <xf numFmtId="169" fontId="64" fillId="0" borderId="119" xfId="0" applyNumberFormat="1" applyFont="1" applyBorder="1" applyAlignment="1">
      <alignment horizontal="right" vertical="center"/>
    </xf>
    <xf numFmtId="1" fontId="64" fillId="0" borderId="119" xfId="4" applyNumberFormat="1" applyFont="1" applyBorder="1" applyAlignment="1">
      <alignment horizontal="right" vertical="center"/>
    </xf>
    <xf numFmtId="9" fontId="64" fillId="0" borderId="119" xfId="1" applyFont="1" applyBorder="1" applyAlignment="1">
      <alignment horizontal="right" vertical="center"/>
    </xf>
    <xf numFmtId="1" fontId="0" fillId="0" borderId="119" xfId="4" applyNumberFormat="1" applyFont="1" applyBorder="1" applyAlignment="1">
      <alignment horizontal="right" vertical="center" wrapText="1"/>
    </xf>
    <xf numFmtId="0" fontId="64" fillId="0" borderId="119" xfId="0" applyFont="1" applyBorder="1" applyAlignment="1">
      <alignment horizontal="center" vertical="center"/>
    </xf>
    <xf numFmtId="9" fontId="57" fillId="23" borderId="0" xfId="1" applyFont="1" applyFill="1" applyBorder="1" applyAlignment="1">
      <alignment horizontal="center" wrapText="1"/>
    </xf>
    <xf numFmtId="9" fontId="18" fillId="14" borderId="0" xfId="1" applyFont="1" applyFill="1" applyBorder="1"/>
    <xf numFmtId="9" fontId="18" fillId="0" borderId="0" xfId="1" applyFont="1" applyBorder="1"/>
    <xf numFmtId="9" fontId="18" fillId="3" borderId="0" xfId="1" applyFont="1" applyFill="1" applyBorder="1"/>
    <xf numFmtId="9" fontId="18" fillId="7" borderId="0" xfId="1" applyFont="1" applyFill="1" applyBorder="1"/>
    <xf numFmtId="166" fontId="1" fillId="0" borderId="0" xfId="2" applyNumberFormat="1" applyFont="1" applyFill="1" applyBorder="1"/>
    <xf numFmtId="166" fontId="21" fillId="0" borderId="0" xfId="2" applyNumberFormat="1" applyFont="1" applyFill="1" applyBorder="1"/>
    <xf numFmtId="9" fontId="18" fillId="0" borderId="75" xfId="1" applyFont="1" applyFill="1" applyBorder="1"/>
    <xf numFmtId="9" fontId="18" fillId="0" borderId="0" xfId="1" applyFont="1" applyFill="1" applyBorder="1"/>
    <xf numFmtId="9" fontId="1" fillId="0" borderId="0" xfId="1" applyFont="1" applyFill="1" applyAlignment="1">
      <alignment horizontal="center" vertical="center"/>
    </xf>
    <xf numFmtId="4" fontId="12" fillId="9" borderId="0" xfId="0" applyNumberFormat="1" applyFont="1" applyFill="1" applyAlignment="1">
      <alignment horizontal="center"/>
    </xf>
    <xf numFmtId="0" fontId="6" fillId="2" borderId="1"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12" xfId="0" applyFont="1" applyFill="1" applyBorder="1" applyAlignment="1">
      <alignment horizontal="center" vertical="center" wrapText="1"/>
    </xf>
    <xf numFmtId="2" fontId="0" fillId="0" borderId="0" xfId="0" applyNumberFormat="1"/>
    <xf numFmtId="9" fontId="65" fillId="0" borderId="0" xfId="1" applyFont="1"/>
    <xf numFmtId="0" fontId="6" fillId="2" borderId="7" xfId="0" applyFont="1" applyFill="1" applyBorder="1" applyAlignment="1">
      <alignment vertical="center" wrapText="1"/>
    </xf>
    <xf numFmtId="0" fontId="6" fillId="2" borderId="0" xfId="0" applyFont="1" applyFill="1" applyAlignment="1">
      <alignment vertical="center" wrapText="1"/>
    </xf>
    <xf numFmtId="0" fontId="6" fillId="2" borderId="8" xfId="0" applyFont="1" applyFill="1" applyBorder="1" applyAlignment="1">
      <alignment horizontal="center" vertical="center" wrapText="1"/>
    </xf>
    <xf numFmtId="0" fontId="6" fillId="2" borderId="0" xfId="0" applyFont="1" applyFill="1" applyAlignment="1">
      <alignment horizontal="center" vertical="center" wrapText="1"/>
    </xf>
    <xf numFmtId="169" fontId="6" fillId="2" borderId="15" xfId="0" applyNumberFormat="1" applyFont="1" applyFill="1" applyBorder="1" applyAlignment="1">
      <alignment horizontal="center" vertical="center" wrapText="1"/>
    </xf>
    <xf numFmtId="0" fontId="6" fillId="2" borderId="15" xfId="0" applyFont="1" applyFill="1" applyBorder="1" applyAlignment="1">
      <alignment horizontal="center" vertical="center" wrapText="1"/>
    </xf>
    <xf numFmtId="0" fontId="7" fillId="0" borderId="8" xfId="0" applyFont="1" applyBorder="1" applyAlignment="1">
      <alignment vertical="center"/>
    </xf>
    <xf numFmtId="0" fontId="7" fillId="0" borderId="15" xfId="0" applyFont="1" applyBorder="1" applyAlignment="1">
      <alignment horizontal="center" vertical="center"/>
    </xf>
    <xf numFmtId="4" fontId="12" fillId="24" borderId="83" xfId="0" applyNumberFormat="1" applyFont="1" applyFill="1" applyBorder="1" applyAlignment="1">
      <alignment horizontal="center" wrapText="1"/>
    </xf>
    <xf numFmtId="4" fontId="9" fillId="24" borderId="0" xfId="0" applyNumberFormat="1" applyFont="1" applyFill="1"/>
    <xf numFmtId="4" fontId="12" fillId="24" borderId="0" xfId="0" applyNumberFormat="1" applyFont="1" applyFill="1" applyAlignment="1">
      <alignment horizontal="center"/>
    </xf>
    <xf numFmtId="4" fontId="12" fillId="24" borderId="77" xfId="0" applyNumberFormat="1" applyFont="1" applyFill="1" applyBorder="1" applyAlignment="1">
      <alignment horizontal="center"/>
    </xf>
    <xf numFmtId="0" fontId="1" fillId="24" borderId="0" xfId="0" applyFont="1" applyFill="1"/>
    <xf numFmtId="0" fontId="13" fillId="24" borderId="0" xfId="0" applyFont="1" applyFill="1"/>
    <xf numFmtId="4" fontId="12" fillId="24" borderId="0" xfId="0" applyNumberFormat="1" applyFont="1" applyFill="1" applyAlignment="1">
      <alignment horizontal="center" vertical="center"/>
    </xf>
    <xf numFmtId="4" fontId="9" fillId="24" borderId="0" xfId="0" applyNumberFormat="1" applyFont="1" applyFill="1" applyAlignment="1">
      <alignment horizontal="center"/>
    </xf>
    <xf numFmtId="0" fontId="17" fillId="24" borderId="0" xfId="0" applyFont="1" applyFill="1"/>
    <xf numFmtId="0" fontId="18" fillId="24" borderId="0" xfId="0" applyFont="1" applyFill="1"/>
    <xf numFmtId="9" fontId="18" fillId="24" borderId="0" xfId="1" applyFont="1" applyFill="1"/>
    <xf numFmtId="0" fontId="46" fillId="24" borderId="0" xfId="0" applyFont="1" applyFill="1" applyAlignment="1">
      <alignment horizontal="center" wrapText="1"/>
    </xf>
    <xf numFmtId="0" fontId="17" fillId="0" borderId="0" xfId="0" applyFont="1" applyAlignment="1">
      <alignment horizontal="left"/>
    </xf>
    <xf numFmtId="0" fontId="18" fillId="0" borderId="0" xfId="0" applyFont="1" applyAlignment="1">
      <alignment horizontal="left"/>
    </xf>
    <xf numFmtId="4" fontId="12" fillId="24" borderId="0" xfId="0" applyNumberFormat="1" applyFont="1" applyFill="1" applyAlignment="1">
      <alignment horizontal="left"/>
    </xf>
    <xf numFmtId="0" fontId="53" fillId="14" borderId="0" xfId="0" applyFont="1" applyFill="1" applyAlignment="1">
      <alignment vertical="center"/>
    </xf>
    <xf numFmtId="9" fontId="6" fillId="14" borderId="0" xfId="1" applyFont="1" applyFill="1"/>
    <xf numFmtId="0" fontId="0" fillId="25" borderId="0" xfId="0" applyFill="1"/>
    <xf numFmtId="0" fontId="43" fillId="0" borderId="0" xfId="0" applyFont="1" applyFill="1" applyBorder="1" applyAlignment="1">
      <alignment wrapText="1"/>
    </xf>
    <xf numFmtId="0" fontId="66" fillId="26" borderId="1" xfId="0" applyFont="1" applyFill="1" applyBorder="1" applyAlignment="1">
      <alignment wrapText="1"/>
    </xf>
    <xf numFmtId="0" fontId="66" fillId="26" borderId="6" xfId="0" applyFont="1" applyFill="1" applyBorder="1" applyAlignment="1">
      <alignment wrapText="1"/>
    </xf>
    <xf numFmtId="0" fontId="67" fillId="27" borderId="120" xfId="0" applyFont="1" applyFill="1" applyBorder="1" applyAlignment="1">
      <alignment wrapText="1"/>
    </xf>
    <xf numFmtId="0" fontId="67" fillId="27" borderId="121" xfId="0" applyFont="1" applyFill="1" applyBorder="1" applyAlignment="1">
      <alignment wrapText="1"/>
    </xf>
    <xf numFmtId="0" fontId="43" fillId="0" borderId="0" xfId="0" applyFont="1" applyFill="1" applyBorder="1" applyAlignment="1"/>
    <xf numFmtId="0" fontId="43" fillId="0" borderId="15" xfId="0" applyFont="1" applyFill="1" applyBorder="1" applyAlignment="1"/>
    <xf numFmtId="0" fontId="43" fillId="0" borderId="8" xfId="0" applyFont="1" applyFill="1" applyBorder="1" applyAlignment="1"/>
    <xf numFmtId="6" fontId="43" fillId="0" borderId="8" xfId="0" applyNumberFormat="1" applyFont="1" applyFill="1" applyBorder="1" applyAlignment="1"/>
    <xf numFmtId="0" fontId="67" fillId="27" borderId="122" xfId="0" applyFont="1" applyFill="1" applyBorder="1" applyAlignment="1"/>
    <xf numFmtId="0" fontId="67" fillId="27" borderId="123" xfId="0" applyFont="1" applyFill="1" applyBorder="1" applyAlignment="1"/>
    <xf numFmtId="0" fontId="43" fillId="28" borderId="0" xfId="0" applyFont="1" applyFill="1" applyBorder="1" applyAlignment="1"/>
    <xf numFmtId="0" fontId="43" fillId="28" borderId="8" xfId="0" applyFont="1" applyFill="1" applyBorder="1" applyAlignment="1"/>
    <xf numFmtId="0" fontId="43" fillId="26" borderId="8" xfId="0" applyFont="1" applyFill="1" applyBorder="1" applyAlignment="1"/>
    <xf numFmtId="6" fontId="43" fillId="26" borderId="8" xfId="0" applyNumberFormat="1" applyFont="1" applyFill="1" applyBorder="1" applyAlignment="1"/>
    <xf numFmtId="0" fontId="43" fillId="26" borderId="0" xfId="0" applyFont="1" applyFill="1" applyBorder="1" applyAlignment="1"/>
    <xf numFmtId="0" fontId="43" fillId="0" borderId="124" xfId="0" applyFont="1" applyFill="1" applyBorder="1" applyAlignment="1"/>
    <xf numFmtId="0" fontId="67" fillId="27" borderId="0" xfId="0" applyFont="1" applyFill="1" applyBorder="1" applyAlignment="1"/>
    <xf numFmtId="6" fontId="43" fillId="0" borderId="15" xfId="0" applyNumberFormat="1" applyFont="1" applyBorder="1" applyAlignment="1">
      <alignment vertical="center"/>
    </xf>
    <xf numFmtId="6" fontId="43" fillId="0" borderId="8" xfId="0" applyNumberFormat="1" applyFont="1" applyBorder="1" applyAlignment="1">
      <alignment vertical="center"/>
    </xf>
    <xf numFmtId="6" fontId="43" fillId="0" borderId="7" xfId="0" applyNumberFormat="1" applyFont="1" applyBorder="1" applyAlignment="1">
      <alignment vertical="center"/>
    </xf>
    <xf numFmtId="6" fontId="43" fillId="0" borderId="14" xfId="0" applyNumberFormat="1" applyFont="1" applyBorder="1" applyAlignment="1">
      <alignment vertical="center"/>
    </xf>
    <xf numFmtId="6" fontId="43" fillId="0" borderId="6" xfId="0" applyNumberFormat="1" applyFont="1" applyBorder="1" applyAlignment="1">
      <alignment vertical="center"/>
    </xf>
    <xf numFmtId="0" fontId="66" fillId="26" borderId="5" xfId="0" applyFont="1" applyFill="1" applyBorder="1" applyAlignment="1">
      <alignment wrapText="1"/>
    </xf>
    <xf numFmtId="0" fontId="66" fillId="26" borderId="7" xfId="0" applyFont="1" applyFill="1" applyBorder="1" applyAlignment="1">
      <alignment wrapText="1"/>
    </xf>
    <xf numFmtId="0" fontId="19" fillId="0" borderId="0" xfId="5"/>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Border="1" applyAlignment="1">
      <alignment horizontal="center" vertical="center"/>
    </xf>
    <xf numFmtId="168" fontId="7" fillId="0" borderId="11" xfId="0" applyNumberFormat="1" applyFont="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1" xfId="0"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10" xfId="0" applyFont="1" applyFill="1" applyBorder="1" applyAlignment="1">
      <alignment horizontal="center" vertical="center"/>
    </xf>
    <xf numFmtId="0" fontId="6" fillId="2" borderId="12" xfId="0" applyFont="1" applyFill="1" applyBorder="1" applyAlignment="1">
      <alignment horizontal="center" vertical="center" wrapText="1"/>
    </xf>
    <xf numFmtId="0" fontId="6" fillId="2" borderId="2"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1" xfId="0" applyFont="1" applyFill="1" applyBorder="1" applyAlignment="1">
      <alignment horizontal="center" vertical="center"/>
    </xf>
    <xf numFmtId="0" fontId="36" fillId="2" borderId="49" xfId="0" applyFont="1" applyFill="1" applyBorder="1" applyAlignment="1">
      <alignment horizontal="center" vertical="center"/>
    </xf>
    <xf numFmtId="0" fontId="36" fillId="2" borderId="31" xfId="0" applyFont="1" applyFill="1" applyBorder="1" applyAlignment="1">
      <alignment horizontal="center" vertical="center"/>
    </xf>
    <xf numFmtId="4" fontId="36" fillId="2" borderId="101" xfId="0" applyNumberFormat="1" applyFont="1" applyFill="1" applyBorder="1" applyAlignment="1">
      <alignment horizontal="center" vertical="center"/>
    </xf>
    <xf numFmtId="4" fontId="36" fillId="2" borderId="102" xfId="0" applyNumberFormat="1" applyFont="1" applyFill="1" applyBorder="1" applyAlignment="1">
      <alignment horizontal="center" vertical="center"/>
    </xf>
    <xf numFmtId="4" fontId="36" fillId="2" borderId="103" xfId="0" applyNumberFormat="1" applyFont="1" applyFill="1" applyBorder="1" applyAlignment="1">
      <alignment horizontal="center" vertical="center"/>
    </xf>
    <xf numFmtId="4" fontId="36" fillId="2" borderId="104" xfId="0" applyNumberFormat="1" applyFont="1" applyFill="1" applyBorder="1" applyAlignment="1">
      <alignment horizontal="center" vertical="center"/>
    </xf>
    <xf numFmtId="167" fontId="36" fillId="2" borderId="101" xfId="1" applyNumberFormat="1" applyFont="1" applyFill="1" applyBorder="1" applyAlignment="1">
      <alignment horizontal="center" vertical="center"/>
    </xf>
    <xf numFmtId="167" fontId="36" fillId="2" borderId="102" xfId="1" applyNumberFormat="1" applyFont="1" applyFill="1" applyBorder="1" applyAlignment="1">
      <alignment horizontal="center" vertical="center"/>
    </xf>
    <xf numFmtId="167" fontId="36" fillId="2" borderId="103"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3"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3"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86" xfId="0" applyNumberFormat="1" applyFont="1" applyBorder="1" applyAlignment="1">
      <alignment horizontal="center"/>
    </xf>
    <xf numFmtId="3" fontId="1" fillId="0" borderId="87" xfId="0" applyNumberFormat="1" applyFont="1" applyBorder="1" applyAlignment="1">
      <alignment horizontal="center"/>
    </xf>
    <xf numFmtId="3" fontId="1" fillId="0" borderId="88" xfId="0" applyNumberFormat="1" applyFont="1" applyBorder="1" applyAlignment="1">
      <alignment horizontal="center"/>
    </xf>
    <xf numFmtId="3" fontId="1" fillId="0" borderId="85" xfId="0" applyNumberFormat="1" applyFont="1" applyBorder="1" applyAlignment="1">
      <alignment horizontal="center"/>
    </xf>
    <xf numFmtId="3" fontId="1" fillId="0" borderId="89" xfId="0" applyNumberFormat="1" applyFont="1" applyBorder="1" applyAlignment="1">
      <alignment horizontal="center"/>
    </xf>
    <xf numFmtId="3" fontId="1" fillId="0" borderId="90" xfId="0" applyNumberFormat="1" applyFont="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1" xfId="1" applyFont="1" applyFill="1" applyBorder="1" applyAlignment="1">
      <alignment horizontal="center"/>
    </xf>
    <xf numFmtId="9" fontId="1" fillId="0" borderId="85" xfId="1" applyFont="1" applyFill="1" applyBorder="1" applyAlignment="1">
      <alignment horizontal="center"/>
    </xf>
    <xf numFmtId="9" fontId="1" fillId="0" borderId="92"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7" borderId="16" xfId="0" applyNumberFormat="1" applyFont="1" applyFill="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7">
    <cellStyle name="Comma" xfId="4" builtinId="3"/>
    <cellStyle name="Currency" xfId="2" builtinId="4"/>
    <cellStyle name="Hyperlink" xfId="3" builtinId="8"/>
    <cellStyle name="Normal" xfId="0" builtinId="0" customBuiltin="1"/>
    <cellStyle name="Normal 2" xfId="5" xr:uid="{263FEC1E-1A40-4BF1-9CB3-DB72BCB470D8}"/>
    <cellStyle name="Percent" xfId="1" builtinId="5"/>
    <cellStyle name="Percent 2" xfId="6" xr:uid="{2C7922B5-66F8-41A3-BFCE-7427EFCA3B1F}"/>
  </cellStyles>
  <dxfs count="1">
    <dxf>
      <numFmt numFmtId="13" formatCode="0%"/>
    </dxf>
  </dxfs>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Road_Sort_VMT!$I$1</c:f>
              <c:strCache>
                <c:ptCount val="1"/>
                <c:pt idx="0">
                  <c:v>Effect of MDMF Trip Length, PMT/VMT conversion, &amp; Passby on % VMT Change</c:v>
                </c:pt>
              </c:strCache>
            </c:strRef>
          </c:tx>
          <c:spPr>
            <a:ln w="28575" cap="rnd">
              <a:solidFill>
                <a:schemeClr val="accent1"/>
              </a:solidFill>
              <a:round/>
            </a:ln>
            <a:effectLst/>
          </c:spPr>
          <c:marker>
            <c:symbol val="none"/>
          </c:marker>
          <c:val>
            <c:numRef>
              <c:f>Road_Sort_VMT!$I$2:$I$117</c:f>
              <c:numCache>
                <c:formatCode>0%</c:formatCode>
                <c:ptCount val="116"/>
                <c:pt idx="0">
                  <c:v>1.2162594849412725</c:v>
                </c:pt>
                <c:pt idx="1">
                  <c:v>-0.12312609144749043</c:v>
                </c:pt>
                <c:pt idx="2">
                  <c:v>0.10105910336864643</c:v>
                </c:pt>
                <c:pt idx="3">
                  <c:v>-0.29789260703183496</c:v>
                </c:pt>
                <c:pt idx="4">
                  <c:v>-0.55380497399198281</c:v>
                </c:pt>
                <c:pt idx="5">
                  <c:v>-0.56658508877641323</c:v>
                </c:pt>
                <c:pt idx="6">
                  <c:v>0.10867543015952696</c:v>
                </c:pt>
                <c:pt idx="7">
                  <c:v>-0.58816481728696957</c:v>
                </c:pt>
                <c:pt idx="8">
                  <c:v>-0.43554063325113901</c:v>
                </c:pt>
                <c:pt idx="9">
                  <c:v>-0.12869369111771711</c:v>
                </c:pt>
                <c:pt idx="10">
                  <c:v>-0.33150858589662602</c:v>
                </c:pt>
                <c:pt idx="11">
                  <c:v>-0.70608692348626823</c:v>
                </c:pt>
                <c:pt idx="12">
                  <c:v>-0.33988935881857074</c:v>
                </c:pt>
                <c:pt idx="13">
                  <c:v>-0.12214812752413673</c:v>
                </c:pt>
                <c:pt idx="14">
                  <c:v>-0.3588493255523959</c:v>
                </c:pt>
                <c:pt idx="15">
                  <c:v>-0.33778639247862574</c:v>
                </c:pt>
                <c:pt idx="16">
                  <c:v>0.14999765079621852</c:v>
                </c:pt>
                <c:pt idx="17">
                  <c:v>-0.307853928904533</c:v>
                </c:pt>
                <c:pt idx="18">
                  <c:v>-0.29447018638985745</c:v>
                </c:pt>
                <c:pt idx="19">
                  <c:v>-0.15517003804820018</c:v>
                </c:pt>
                <c:pt idx="20">
                  <c:v>-0.21679119661563084</c:v>
                </c:pt>
                <c:pt idx="21">
                  <c:v>-0.23159415833614594</c:v>
                </c:pt>
                <c:pt idx="22">
                  <c:v>-0.16016881697990926</c:v>
                </c:pt>
                <c:pt idx="23">
                  <c:v>-0.1948992910189653</c:v>
                </c:pt>
                <c:pt idx="24">
                  <c:v>-0.16884685919752762</c:v>
                </c:pt>
                <c:pt idx="25">
                  <c:v>0.18385513340316961</c:v>
                </c:pt>
                <c:pt idx="26">
                  <c:v>-0.17831263985906809</c:v>
                </c:pt>
                <c:pt idx="27">
                  <c:v>-0.18254697695334654</c:v>
                </c:pt>
                <c:pt idx="28">
                  <c:v>-4.4999455187662019E-3</c:v>
                </c:pt>
                <c:pt idx="29">
                  <c:v>0.22197415509886653</c:v>
                </c:pt>
                <c:pt idx="30">
                  <c:v>-0.1078527621845593</c:v>
                </c:pt>
                <c:pt idx="31">
                  <c:v>-0.10240529747168536</c:v>
                </c:pt>
                <c:pt idx="32">
                  <c:v>0.49357960273713131</c:v>
                </c:pt>
                <c:pt idx="33">
                  <c:v>0.26044640438566991</c:v>
                </c:pt>
                <c:pt idx="34">
                  <c:v>8.6055032997388481E-2</c:v>
                </c:pt>
                <c:pt idx="35">
                  <c:v>8.7621224412282928E-2</c:v>
                </c:pt>
                <c:pt idx="36">
                  <c:v>-7.1142595234603867E-2</c:v>
                </c:pt>
                <c:pt idx="37">
                  <c:v>0.63568988702828988</c:v>
                </c:pt>
                <c:pt idx="38">
                  <c:v>-8.2067799759790949E-2</c:v>
                </c:pt>
                <c:pt idx="39">
                  <c:v>0.45866042420263908</c:v>
                </c:pt>
                <c:pt idx="40">
                  <c:v>9.867515476531219E-2</c:v>
                </c:pt>
                <c:pt idx="41">
                  <c:v>0.3326673306457365</c:v>
                </c:pt>
                <c:pt idx="42">
                  <c:v>0.21209317296638175</c:v>
                </c:pt>
                <c:pt idx="43">
                  <c:v>0.2909264940618046</c:v>
                </c:pt>
                <c:pt idx="44">
                  <c:v>0.32015372761193528</c:v>
                </c:pt>
                <c:pt idx="45">
                  <c:v>0.52063833578586205</c:v>
                </c:pt>
                <c:pt idx="46">
                  <c:v>0.3245626242845574</c:v>
                </c:pt>
                <c:pt idx="47">
                  <c:v>0.32521305038532855</c:v>
                </c:pt>
                <c:pt idx="48">
                  <c:v>0.30021045348703113</c:v>
                </c:pt>
                <c:pt idx="49">
                  <c:v>0.31870801363266965</c:v>
                </c:pt>
                <c:pt idx="50">
                  <c:v>0.20105883195649676</c:v>
                </c:pt>
                <c:pt idx="51">
                  <c:v>0.62358503697716827</c:v>
                </c:pt>
                <c:pt idx="52">
                  <c:v>0.34388182811101942</c:v>
                </c:pt>
                <c:pt idx="53">
                  <c:v>0.44471305691090024</c:v>
                </c:pt>
                <c:pt idx="54">
                  <c:v>0.34909352030606455</c:v>
                </c:pt>
                <c:pt idx="55">
                  <c:v>0.35354143002425009</c:v>
                </c:pt>
                <c:pt idx="56">
                  <c:v>0.42272801496190437</c:v>
                </c:pt>
                <c:pt idx="57">
                  <c:v>0.59551431341108862</c:v>
                </c:pt>
                <c:pt idx="58">
                  <c:v>0.60155597587575138</c:v>
                </c:pt>
                <c:pt idx="59">
                  <c:v>0.37659847980844008</c:v>
                </c:pt>
                <c:pt idx="60">
                  <c:v>0.56710299910042372</c:v>
                </c:pt>
                <c:pt idx="61">
                  <c:v>0.62905573012872518</c:v>
                </c:pt>
                <c:pt idx="62">
                  <c:v>0.63267010226735632</c:v>
                </c:pt>
                <c:pt idx="63">
                  <c:v>0.6466151188375856</c:v>
                </c:pt>
                <c:pt idx="64">
                  <c:v>0.68367552833851297</c:v>
                </c:pt>
                <c:pt idx="65">
                  <c:v>1.1401412011062229</c:v>
                </c:pt>
                <c:pt idx="66">
                  <c:v>0.71464079632216815</c:v>
                </c:pt>
                <c:pt idx="67">
                  <c:v>0.74092154943150446</c:v>
                </c:pt>
                <c:pt idx="68">
                  <c:v>0.76314555442765686</c:v>
                </c:pt>
                <c:pt idx="69">
                  <c:v>0.78225005321398533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1.2479054896253234</c:v>
                </c:pt>
                <c:pt idx="105">
                  <c:v>0.90100072838431688</c:v>
                </c:pt>
                <c:pt idx="106">
                  <c:v>1.2593203148636996</c:v>
                </c:pt>
                <c:pt idx="107">
                  <c:v>-1.400149310171539E-2</c:v>
                </c:pt>
                <c:pt idx="108">
                  <c:v>1.7966263917801366</c:v>
                </c:pt>
                <c:pt idx="109">
                  <c:v>1.798398212679329</c:v>
                </c:pt>
                <c:pt idx="110">
                  <c:v>2.2967612215176558</c:v>
                </c:pt>
                <c:pt idx="111">
                  <c:v>2.3116434219457571</c:v>
                </c:pt>
                <c:pt idx="112">
                  <c:v>3.1750913889885934</c:v>
                </c:pt>
                <c:pt idx="113">
                  <c:v>3.2138167148981855</c:v>
                </c:pt>
                <c:pt idx="114">
                  <c:v>2.4753763442943413</c:v>
                </c:pt>
                <c:pt idx="115">
                  <c:v>4.4114268345240557</c:v>
                </c:pt>
              </c:numCache>
            </c:numRef>
          </c:val>
          <c:smooth val="0"/>
          <c:extLst>
            <c:ext xmlns:c16="http://schemas.microsoft.com/office/drawing/2014/chart" uri="{C3380CC4-5D6E-409C-BE32-E72D297353CC}">
              <c16:uniqueId val="{00000000-C531-874A-A6CA-42274673B485}"/>
            </c:ext>
          </c:extLst>
        </c:ser>
        <c:dLbls>
          <c:showLegendKey val="0"/>
          <c:showVal val="0"/>
          <c:showCatName val="0"/>
          <c:showSerName val="0"/>
          <c:showPercent val="0"/>
          <c:showBubbleSize val="0"/>
        </c:dLbls>
        <c:smooth val="0"/>
        <c:axId val="394951584"/>
        <c:axId val="394953232"/>
      </c:lineChart>
      <c:catAx>
        <c:axId val="3949515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53232"/>
        <c:crosses val="autoZero"/>
        <c:auto val="1"/>
        <c:lblAlgn val="ctr"/>
        <c:lblOffset val="100"/>
        <c:noMultiLvlLbl val="0"/>
      </c:catAx>
      <c:valAx>
        <c:axId val="394953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5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LUC</a:t>
            </a:r>
            <a:r>
              <a:rPr lang="en-US" baseline="0"/>
              <a:t> 820 - Trip length by size</a:t>
            </a:r>
            <a:endParaRPr lang="en-US"/>
          </a:p>
        </c:rich>
      </c:tx>
      <c:overlay val="0"/>
      <c:spPr>
        <a:noFill/>
        <a:ln>
          <a:noFill/>
        </a:ln>
        <a:effectLst/>
      </c:spPr>
    </c:title>
    <c:autoTitleDeleted val="0"/>
    <c:plotArea>
      <c:layout/>
      <c:scatterChart>
        <c:scatterStyle val="lineMarker"/>
        <c:varyColors val="0"/>
        <c:ser>
          <c:idx val="2"/>
          <c:order val="0"/>
          <c:tx>
            <c:strRef>
              <c:f>HillsboroughLength_PassBy!$O$11:$O$14</c:f>
              <c:strCache>
                <c:ptCount val="4"/>
                <c:pt idx="1">
                  <c:v>1.7</c:v>
                </c:pt>
                <c:pt idx="3">
                  <c:v>2.5</c:v>
                </c:pt>
              </c:strCache>
            </c:strRef>
          </c:tx>
          <c:spPr>
            <a:ln w="19050">
              <a:noFill/>
            </a:ln>
          </c:spPr>
          <c:xVal>
            <c:numRef>
              <c:f>HillsboroughLength_PassBy!$N$15:$N$45</c:f>
              <c:numCache>
                <c:formatCode>General</c:formatCode>
                <c:ptCount val="31"/>
                <c:pt idx="0">
                  <c:v>1192</c:v>
                </c:pt>
                <c:pt idx="1">
                  <c:v>132.30000000000001</c:v>
                </c:pt>
                <c:pt idx="2">
                  <c:v>425</c:v>
                </c:pt>
                <c:pt idx="3">
                  <c:v>80.5</c:v>
                </c:pt>
                <c:pt idx="4">
                  <c:v>696</c:v>
                </c:pt>
                <c:pt idx="5">
                  <c:v>425</c:v>
                </c:pt>
                <c:pt idx="6">
                  <c:v>134</c:v>
                </c:pt>
                <c:pt idx="7">
                  <c:v>151</c:v>
                </c:pt>
                <c:pt idx="10">
                  <c:v>109</c:v>
                </c:pt>
                <c:pt idx="11">
                  <c:v>133.4</c:v>
                </c:pt>
                <c:pt idx="12">
                  <c:v>99.1</c:v>
                </c:pt>
                <c:pt idx="13">
                  <c:v>314.7</c:v>
                </c:pt>
                <c:pt idx="14">
                  <c:v>110</c:v>
                </c:pt>
                <c:pt idx="15">
                  <c:v>146.1</c:v>
                </c:pt>
                <c:pt idx="16">
                  <c:v>157.5</c:v>
                </c:pt>
                <c:pt idx="17">
                  <c:v>191</c:v>
                </c:pt>
                <c:pt idx="18">
                  <c:v>107.8</c:v>
                </c:pt>
                <c:pt idx="19">
                  <c:v>88</c:v>
                </c:pt>
                <c:pt idx="20">
                  <c:v>191.9</c:v>
                </c:pt>
                <c:pt idx="21">
                  <c:v>51.3</c:v>
                </c:pt>
                <c:pt idx="22">
                  <c:v>67.8</c:v>
                </c:pt>
                <c:pt idx="23">
                  <c:v>72.3</c:v>
                </c:pt>
                <c:pt idx="24">
                  <c:v>65.599999999999994</c:v>
                </c:pt>
                <c:pt idx="25">
                  <c:v>75.8</c:v>
                </c:pt>
                <c:pt idx="26">
                  <c:v>185</c:v>
                </c:pt>
                <c:pt idx="27">
                  <c:v>91.3</c:v>
                </c:pt>
                <c:pt idx="28">
                  <c:v>104.3</c:v>
                </c:pt>
                <c:pt idx="29">
                  <c:v>159.9</c:v>
                </c:pt>
                <c:pt idx="30">
                  <c:v>35.9</c:v>
                </c:pt>
              </c:numCache>
            </c:numRef>
          </c:xVal>
          <c:yVal>
            <c:numRef>
              <c:f>HillsboroughLength_PassBy!$O$15:$O$45</c:f>
              <c:numCache>
                <c:formatCode>General</c:formatCode>
                <c:ptCount val="31"/>
                <c:pt idx="0">
                  <c:v>3.6</c:v>
                </c:pt>
                <c:pt idx="1">
                  <c:v>1.8</c:v>
                </c:pt>
                <c:pt idx="2">
                  <c:v>2.2999999999999998</c:v>
                </c:pt>
                <c:pt idx="3">
                  <c:v>1.4</c:v>
                </c:pt>
                <c:pt idx="4">
                  <c:v>3.2</c:v>
                </c:pt>
                <c:pt idx="6">
                  <c:v>1.3</c:v>
                </c:pt>
                <c:pt idx="7">
                  <c:v>1.3</c:v>
                </c:pt>
                <c:pt idx="8">
                  <c:v>3.33</c:v>
                </c:pt>
                <c:pt idx="9">
                  <c:v>2.64</c:v>
                </c:pt>
                <c:pt idx="12">
                  <c:v>3.2</c:v>
                </c:pt>
                <c:pt idx="13">
                  <c:v>8.5</c:v>
                </c:pt>
                <c:pt idx="14">
                  <c:v>3.2</c:v>
                </c:pt>
                <c:pt idx="15">
                  <c:v>2.8</c:v>
                </c:pt>
                <c:pt idx="16">
                  <c:v>3.4</c:v>
                </c:pt>
                <c:pt idx="17">
                  <c:v>5.9</c:v>
                </c:pt>
                <c:pt idx="18">
                  <c:v>4.68</c:v>
                </c:pt>
                <c:pt idx="19">
                  <c:v>1.8</c:v>
                </c:pt>
                <c:pt idx="20">
                  <c:v>2.4</c:v>
                </c:pt>
                <c:pt idx="21">
                  <c:v>2.7</c:v>
                </c:pt>
                <c:pt idx="22">
                  <c:v>3.4</c:v>
                </c:pt>
                <c:pt idx="23">
                  <c:v>4.5</c:v>
                </c:pt>
                <c:pt idx="24">
                  <c:v>1.46</c:v>
                </c:pt>
                <c:pt idx="25">
                  <c:v>2.36</c:v>
                </c:pt>
                <c:pt idx="26">
                  <c:v>2.4</c:v>
                </c:pt>
                <c:pt idx="27">
                  <c:v>1.6</c:v>
                </c:pt>
                <c:pt idx="28">
                  <c:v>3.35</c:v>
                </c:pt>
                <c:pt idx="29">
                  <c:v>1.56</c:v>
                </c:pt>
                <c:pt idx="30">
                  <c:v>1.39</c:v>
                </c:pt>
              </c:numCache>
            </c:numRef>
          </c:yVal>
          <c:smooth val="0"/>
          <c:extLst>
            <c:ext xmlns:c16="http://schemas.microsoft.com/office/drawing/2014/chart" uri="{C3380CC4-5D6E-409C-BE32-E72D297353CC}">
              <c16:uniqueId val="{0000000C-296E-47F7-BA55-A98B1DFF6956}"/>
            </c:ext>
          </c:extLst>
        </c:ser>
        <c:ser>
          <c:idx val="3"/>
          <c:order val="1"/>
          <c:tx>
            <c:strRef>
              <c:f>HillsboroughLength_PassBy!$O$11:$O$14</c:f>
              <c:strCache>
                <c:ptCount val="4"/>
                <c:pt idx="1">
                  <c:v>1.7</c:v>
                </c:pt>
                <c:pt idx="3">
                  <c:v>2.5</c:v>
                </c:pt>
              </c:strCache>
            </c:strRef>
          </c:tx>
          <c:spPr>
            <a:ln w="19050" cap="rnd">
              <a:noFill/>
              <a:round/>
            </a:ln>
            <a:effectLst/>
          </c:spPr>
          <c:xVal>
            <c:numRef>
              <c:f>HillsboroughLength_PassBy!$N$15:$N$45</c:f>
              <c:numCache>
                <c:formatCode>General</c:formatCode>
                <c:ptCount val="31"/>
                <c:pt idx="0">
                  <c:v>1192</c:v>
                </c:pt>
                <c:pt idx="1">
                  <c:v>132.30000000000001</c:v>
                </c:pt>
                <c:pt idx="2">
                  <c:v>425</c:v>
                </c:pt>
                <c:pt idx="3">
                  <c:v>80.5</c:v>
                </c:pt>
                <c:pt idx="4">
                  <c:v>696</c:v>
                </c:pt>
                <c:pt idx="5">
                  <c:v>425</c:v>
                </c:pt>
                <c:pt idx="6">
                  <c:v>134</c:v>
                </c:pt>
                <c:pt idx="7">
                  <c:v>151</c:v>
                </c:pt>
                <c:pt idx="10">
                  <c:v>109</c:v>
                </c:pt>
                <c:pt idx="11">
                  <c:v>133.4</c:v>
                </c:pt>
                <c:pt idx="12">
                  <c:v>99.1</c:v>
                </c:pt>
                <c:pt idx="13">
                  <c:v>314.7</c:v>
                </c:pt>
                <c:pt idx="14">
                  <c:v>110</c:v>
                </c:pt>
                <c:pt idx="15">
                  <c:v>146.1</c:v>
                </c:pt>
                <c:pt idx="16">
                  <c:v>157.5</c:v>
                </c:pt>
                <c:pt idx="17">
                  <c:v>191</c:v>
                </c:pt>
                <c:pt idx="18">
                  <c:v>107.8</c:v>
                </c:pt>
                <c:pt idx="19">
                  <c:v>88</c:v>
                </c:pt>
                <c:pt idx="20">
                  <c:v>191.9</c:v>
                </c:pt>
                <c:pt idx="21">
                  <c:v>51.3</c:v>
                </c:pt>
                <c:pt idx="22">
                  <c:v>67.8</c:v>
                </c:pt>
                <c:pt idx="23">
                  <c:v>72.3</c:v>
                </c:pt>
                <c:pt idx="24">
                  <c:v>65.599999999999994</c:v>
                </c:pt>
                <c:pt idx="25">
                  <c:v>75.8</c:v>
                </c:pt>
                <c:pt idx="26">
                  <c:v>185</c:v>
                </c:pt>
                <c:pt idx="27">
                  <c:v>91.3</c:v>
                </c:pt>
                <c:pt idx="28">
                  <c:v>104.3</c:v>
                </c:pt>
                <c:pt idx="29">
                  <c:v>159.9</c:v>
                </c:pt>
                <c:pt idx="30">
                  <c:v>35.9</c:v>
                </c:pt>
              </c:numCache>
            </c:numRef>
          </c:xVal>
          <c:yVal>
            <c:numRef>
              <c:f>HillsboroughLength_PassBy!$O$15:$O$45</c:f>
              <c:numCache>
                <c:formatCode>General</c:formatCode>
                <c:ptCount val="31"/>
                <c:pt idx="0">
                  <c:v>3.6</c:v>
                </c:pt>
                <c:pt idx="1">
                  <c:v>1.8</c:v>
                </c:pt>
                <c:pt idx="2">
                  <c:v>2.2999999999999998</c:v>
                </c:pt>
                <c:pt idx="3">
                  <c:v>1.4</c:v>
                </c:pt>
                <c:pt idx="4">
                  <c:v>3.2</c:v>
                </c:pt>
                <c:pt idx="6">
                  <c:v>1.3</c:v>
                </c:pt>
                <c:pt idx="7">
                  <c:v>1.3</c:v>
                </c:pt>
                <c:pt idx="8">
                  <c:v>3.33</c:v>
                </c:pt>
                <c:pt idx="9">
                  <c:v>2.64</c:v>
                </c:pt>
                <c:pt idx="12">
                  <c:v>3.2</c:v>
                </c:pt>
                <c:pt idx="13">
                  <c:v>8.5</c:v>
                </c:pt>
                <c:pt idx="14">
                  <c:v>3.2</c:v>
                </c:pt>
                <c:pt idx="15">
                  <c:v>2.8</c:v>
                </c:pt>
                <c:pt idx="16">
                  <c:v>3.4</c:v>
                </c:pt>
                <c:pt idx="17">
                  <c:v>5.9</c:v>
                </c:pt>
                <c:pt idx="18">
                  <c:v>4.68</c:v>
                </c:pt>
                <c:pt idx="19">
                  <c:v>1.8</c:v>
                </c:pt>
                <c:pt idx="20">
                  <c:v>2.4</c:v>
                </c:pt>
                <c:pt idx="21">
                  <c:v>2.7</c:v>
                </c:pt>
                <c:pt idx="22">
                  <c:v>3.4</c:v>
                </c:pt>
                <c:pt idx="23">
                  <c:v>4.5</c:v>
                </c:pt>
                <c:pt idx="24">
                  <c:v>1.46</c:v>
                </c:pt>
                <c:pt idx="25">
                  <c:v>2.36</c:v>
                </c:pt>
                <c:pt idx="26">
                  <c:v>2.4</c:v>
                </c:pt>
                <c:pt idx="27">
                  <c:v>1.6</c:v>
                </c:pt>
                <c:pt idx="28">
                  <c:v>3.35</c:v>
                </c:pt>
                <c:pt idx="29">
                  <c:v>1.56</c:v>
                </c:pt>
                <c:pt idx="30">
                  <c:v>1.39</c:v>
                </c:pt>
              </c:numCache>
            </c:numRef>
          </c:yVal>
          <c:smooth val="0"/>
          <c:extLst>
            <c:ext xmlns:c16="http://schemas.microsoft.com/office/drawing/2014/chart" uri="{C3380CC4-5D6E-409C-BE32-E72D297353CC}">
              <c16:uniqueId val="{0000000D-296E-47F7-BA55-A98B1DFF6956}"/>
            </c:ext>
          </c:extLst>
        </c:ser>
        <c:ser>
          <c:idx val="1"/>
          <c:order val="2"/>
          <c:tx>
            <c:strRef>
              <c:f>HillsboroughLength_PassBy!$O$11:$O$14</c:f>
              <c:strCache>
                <c:ptCount val="4"/>
                <c:pt idx="1">
                  <c:v>1.7</c:v>
                </c:pt>
                <c:pt idx="3">
                  <c:v>2.5</c:v>
                </c:pt>
              </c:strCache>
            </c:strRef>
          </c:tx>
          <c:spPr>
            <a:ln w="19050">
              <a:noFill/>
            </a:ln>
          </c:spPr>
          <c:xVal>
            <c:numRef>
              <c:f>HillsboroughLength_PassBy!$N$15:$N$45</c:f>
              <c:numCache>
                <c:formatCode>General</c:formatCode>
                <c:ptCount val="31"/>
                <c:pt idx="0">
                  <c:v>1192</c:v>
                </c:pt>
                <c:pt idx="1">
                  <c:v>132.30000000000001</c:v>
                </c:pt>
                <c:pt idx="2">
                  <c:v>425</c:v>
                </c:pt>
                <c:pt idx="3">
                  <c:v>80.5</c:v>
                </c:pt>
                <c:pt idx="4">
                  <c:v>696</c:v>
                </c:pt>
                <c:pt idx="5">
                  <c:v>425</c:v>
                </c:pt>
                <c:pt idx="6">
                  <c:v>134</c:v>
                </c:pt>
                <c:pt idx="7">
                  <c:v>151</c:v>
                </c:pt>
                <c:pt idx="10">
                  <c:v>109</c:v>
                </c:pt>
                <c:pt idx="11">
                  <c:v>133.4</c:v>
                </c:pt>
                <c:pt idx="12">
                  <c:v>99.1</c:v>
                </c:pt>
                <c:pt idx="13">
                  <c:v>314.7</c:v>
                </c:pt>
                <c:pt idx="14">
                  <c:v>110</c:v>
                </c:pt>
                <c:pt idx="15">
                  <c:v>146.1</c:v>
                </c:pt>
                <c:pt idx="16">
                  <c:v>157.5</c:v>
                </c:pt>
                <c:pt idx="17">
                  <c:v>191</c:v>
                </c:pt>
                <c:pt idx="18">
                  <c:v>107.8</c:v>
                </c:pt>
                <c:pt idx="19">
                  <c:v>88</c:v>
                </c:pt>
                <c:pt idx="20">
                  <c:v>191.9</c:v>
                </c:pt>
                <c:pt idx="21">
                  <c:v>51.3</c:v>
                </c:pt>
                <c:pt idx="22">
                  <c:v>67.8</c:v>
                </c:pt>
                <c:pt idx="23">
                  <c:v>72.3</c:v>
                </c:pt>
                <c:pt idx="24">
                  <c:v>65.599999999999994</c:v>
                </c:pt>
                <c:pt idx="25">
                  <c:v>75.8</c:v>
                </c:pt>
                <c:pt idx="26">
                  <c:v>185</c:v>
                </c:pt>
                <c:pt idx="27">
                  <c:v>91.3</c:v>
                </c:pt>
                <c:pt idx="28">
                  <c:v>104.3</c:v>
                </c:pt>
                <c:pt idx="29">
                  <c:v>159.9</c:v>
                </c:pt>
                <c:pt idx="30">
                  <c:v>35.9</c:v>
                </c:pt>
              </c:numCache>
            </c:numRef>
          </c:xVal>
          <c:yVal>
            <c:numRef>
              <c:f>HillsboroughLength_PassBy!$O$15:$O$45</c:f>
              <c:numCache>
                <c:formatCode>General</c:formatCode>
                <c:ptCount val="31"/>
                <c:pt idx="0">
                  <c:v>3.6</c:v>
                </c:pt>
                <c:pt idx="1">
                  <c:v>1.8</c:v>
                </c:pt>
                <c:pt idx="2">
                  <c:v>2.2999999999999998</c:v>
                </c:pt>
                <c:pt idx="3">
                  <c:v>1.4</c:v>
                </c:pt>
                <c:pt idx="4">
                  <c:v>3.2</c:v>
                </c:pt>
                <c:pt idx="6">
                  <c:v>1.3</c:v>
                </c:pt>
                <c:pt idx="7">
                  <c:v>1.3</c:v>
                </c:pt>
                <c:pt idx="8">
                  <c:v>3.33</c:v>
                </c:pt>
                <c:pt idx="9">
                  <c:v>2.64</c:v>
                </c:pt>
                <c:pt idx="12">
                  <c:v>3.2</c:v>
                </c:pt>
                <c:pt idx="13">
                  <c:v>8.5</c:v>
                </c:pt>
                <c:pt idx="14">
                  <c:v>3.2</c:v>
                </c:pt>
                <c:pt idx="15">
                  <c:v>2.8</c:v>
                </c:pt>
                <c:pt idx="16">
                  <c:v>3.4</c:v>
                </c:pt>
                <c:pt idx="17">
                  <c:v>5.9</c:v>
                </c:pt>
                <c:pt idx="18">
                  <c:v>4.68</c:v>
                </c:pt>
                <c:pt idx="19">
                  <c:v>1.8</c:v>
                </c:pt>
                <c:pt idx="20">
                  <c:v>2.4</c:v>
                </c:pt>
                <c:pt idx="21">
                  <c:v>2.7</c:v>
                </c:pt>
                <c:pt idx="22">
                  <c:v>3.4</c:v>
                </c:pt>
                <c:pt idx="23">
                  <c:v>4.5</c:v>
                </c:pt>
                <c:pt idx="24">
                  <c:v>1.46</c:v>
                </c:pt>
                <c:pt idx="25">
                  <c:v>2.36</c:v>
                </c:pt>
                <c:pt idx="26">
                  <c:v>2.4</c:v>
                </c:pt>
                <c:pt idx="27">
                  <c:v>1.6</c:v>
                </c:pt>
                <c:pt idx="28">
                  <c:v>3.35</c:v>
                </c:pt>
                <c:pt idx="29">
                  <c:v>1.56</c:v>
                </c:pt>
                <c:pt idx="30">
                  <c:v>1.39</c:v>
                </c:pt>
              </c:numCache>
            </c:numRef>
          </c:yVal>
          <c:smooth val="0"/>
          <c:extLst>
            <c:ext xmlns:c16="http://schemas.microsoft.com/office/drawing/2014/chart" uri="{C3380CC4-5D6E-409C-BE32-E72D297353CC}">
              <c16:uniqueId val="{00000008-296E-47F7-BA55-A98B1DFF6956}"/>
            </c:ext>
          </c:extLst>
        </c:ser>
        <c:ser>
          <c:idx val="0"/>
          <c:order val="3"/>
          <c:tx>
            <c:strRef>
              <c:f>HillsboroughLength_PassBy!$O$11:$O$14</c:f>
              <c:strCache>
                <c:ptCount val="4"/>
                <c:pt idx="1">
                  <c:v>1.7</c:v>
                </c:pt>
                <c:pt idx="3">
                  <c:v>2.5</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0"/>
          </c:trendline>
          <c:xVal>
            <c:numRef>
              <c:f>HillsboroughLength_PassBy!$N$15:$N$45</c:f>
              <c:numCache>
                <c:formatCode>General</c:formatCode>
                <c:ptCount val="31"/>
                <c:pt idx="0">
                  <c:v>1192</c:v>
                </c:pt>
                <c:pt idx="1">
                  <c:v>132.30000000000001</c:v>
                </c:pt>
                <c:pt idx="2">
                  <c:v>425</c:v>
                </c:pt>
                <c:pt idx="3">
                  <c:v>80.5</c:v>
                </c:pt>
                <c:pt idx="4">
                  <c:v>696</c:v>
                </c:pt>
                <c:pt idx="5">
                  <c:v>425</c:v>
                </c:pt>
                <c:pt idx="6">
                  <c:v>134</c:v>
                </c:pt>
                <c:pt idx="7">
                  <c:v>151</c:v>
                </c:pt>
                <c:pt idx="10">
                  <c:v>109</c:v>
                </c:pt>
                <c:pt idx="11">
                  <c:v>133.4</c:v>
                </c:pt>
                <c:pt idx="12">
                  <c:v>99.1</c:v>
                </c:pt>
                <c:pt idx="13">
                  <c:v>314.7</c:v>
                </c:pt>
                <c:pt idx="14">
                  <c:v>110</c:v>
                </c:pt>
                <c:pt idx="15">
                  <c:v>146.1</c:v>
                </c:pt>
                <c:pt idx="16">
                  <c:v>157.5</c:v>
                </c:pt>
                <c:pt idx="17">
                  <c:v>191</c:v>
                </c:pt>
                <c:pt idx="18">
                  <c:v>107.8</c:v>
                </c:pt>
                <c:pt idx="19">
                  <c:v>88</c:v>
                </c:pt>
                <c:pt idx="20">
                  <c:v>191.9</c:v>
                </c:pt>
                <c:pt idx="21">
                  <c:v>51.3</c:v>
                </c:pt>
                <c:pt idx="22">
                  <c:v>67.8</c:v>
                </c:pt>
                <c:pt idx="23">
                  <c:v>72.3</c:v>
                </c:pt>
                <c:pt idx="24">
                  <c:v>65.599999999999994</c:v>
                </c:pt>
                <c:pt idx="25">
                  <c:v>75.8</c:v>
                </c:pt>
                <c:pt idx="26">
                  <c:v>185</c:v>
                </c:pt>
                <c:pt idx="27">
                  <c:v>91.3</c:v>
                </c:pt>
                <c:pt idx="28">
                  <c:v>104.3</c:v>
                </c:pt>
                <c:pt idx="29">
                  <c:v>159.9</c:v>
                </c:pt>
                <c:pt idx="30">
                  <c:v>35.9</c:v>
                </c:pt>
              </c:numCache>
            </c:numRef>
          </c:xVal>
          <c:yVal>
            <c:numRef>
              <c:f>HillsboroughLength_PassBy!$O$15:$O$45</c:f>
              <c:numCache>
                <c:formatCode>General</c:formatCode>
                <c:ptCount val="31"/>
                <c:pt idx="0">
                  <c:v>3.6</c:v>
                </c:pt>
                <c:pt idx="1">
                  <c:v>1.8</c:v>
                </c:pt>
                <c:pt idx="2">
                  <c:v>2.2999999999999998</c:v>
                </c:pt>
                <c:pt idx="3">
                  <c:v>1.4</c:v>
                </c:pt>
                <c:pt idx="4">
                  <c:v>3.2</c:v>
                </c:pt>
                <c:pt idx="6">
                  <c:v>1.3</c:v>
                </c:pt>
                <c:pt idx="7">
                  <c:v>1.3</c:v>
                </c:pt>
                <c:pt idx="8">
                  <c:v>3.33</c:v>
                </c:pt>
                <c:pt idx="9">
                  <c:v>2.64</c:v>
                </c:pt>
                <c:pt idx="12">
                  <c:v>3.2</c:v>
                </c:pt>
                <c:pt idx="13">
                  <c:v>8.5</c:v>
                </c:pt>
                <c:pt idx="14">
                  <c:v>3.2</c:v>
                </c:pt>
                <c:pt idx="15">
                  <c:v>2.8</c:v>
                </c:pt>
                <c:pt idx="16">
                  <c:v>3.4</c:v>
                </c:pt>
                <c:pt idx="17">
                  <c:v>5.9</c:v>
                </c:pt>
                <c:pt idx="18">
                  <c:v>4.68</c:v>
                </c:pt>
                <c:pt idx="19">
                  <c:v>1.8</c:v>
                </c:pt>
                <c:pt idx="20">
                  <c:v>2.4</c:v>
                </c:pt>
                <c:pt idx="21">
                  <c:v>2.7</c:v>
                </c:pt>
                <c:pt idx="22">
                  <c:v>3.4</c:v>
                </c:pt>
                <c:pt idx="23">
                  <c:v>4.5</c:v>
                </c:pt>
                <c:pt idx="24">
                  <c:v>1.46</c:v>
                </c:pt>
                <c:pt idx="25">
                  <c:v>2.36</c:v>
                </c:pt>
                <c:pt idx="26">
                  <c:v>2.4</c:v>
                </c:pt>
                <c:pt idx="27">
                  <c:v>1.6</c:v>
                </c:pt>
                <c:pt idx="28">
                  <c:v>3.35</c:v>
                </c:pt>
                <c:pt idx="29">
                  <c:v>1.56</c:v>
                </c:pt>
                <c:pt idx="30">
                  <c:v>1.39</c:v>
                </c:pt>
              </c:numCache>
            </c:numRef>
          </c:yVal>
          <c:smooth val="0"/>
          <c:extLst>
            <c:ext xmlns:c16="http://schemas.microsoft.com/office/drawing/2014/chart" uri="{C3380CC4-5D6E-409C-BE32-E72D297353CC}">
              <c16:uniqueId val="{0000000B-296E-47F7-BA55-A98B1DFF6956}"/>
            </c:ext>
          </c:extLst>
        </c:ser>
        <c:dLbls>
          <c:showLegendKey val="0"/>
          <c:showVal val="0"/>
          <c:showCatName val="0"/>
          <c:showSerName val="0"/>
          <c:showPercent val="0"/>
          <c:showBubbleSize val="0"/>
        </c:dLbls>
        <c:axId val="1027809200"/>
        <c:axId val="1027807536"/>
      </c:scatterChart>
      <c:valAx>
        <c:axId val="102780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GSF (000s)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07536"/>
        <c:crosses val="autoZero"/>
        <c:crossBetween val="midCat"/>
      </c:valAx>
      <c:valAx>
        <c:axId val="1027807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Trip length (mi)</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0920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LUC</a:t>
            </a:r>
            <a:r>
              <a:rPr lang="en-US" baseline="0"/>
              <a:t> 820 - Direct trip percentage by size</a:t>
            </a:r>
            <a:endParaRPr lang="en-US"/>
          </a:p>
        </c:rich>
      </c:tx>
      <c:overlay val="0"/>
      <c:spPr>
        <a:noFill/>
        <a:ln>
          <a:noFill/>
        </a:ln>
        <a:effectLst/>
      </c:spPr>
    </c:title>
    <c:autoTitleDeleted val="0"/>
    <c:plotArea>
      <c:layout/>
      <c:scatterChart>
        <c:scatterStyle val="lineMarker"/>
        <c:varyColors val="0"/>
        <c:ser>
          <c:idx val="1"/>
          <c:order val="0"/>
          <c:tx>
            <c:strRef>
              <c:f>HillsboroughLength_PassBy!$O$11:$O$14</c:f>
              <c:strCache>
                <c:ptCount val="4"/>
                <c:pt idx="1">
                  <c:v>1.7</c:v>
                </c:pt>
                <c:pt idx="3">
                  <c:v>2.5</c:v>
                </c:pt>
              </c:strCache>
            </c:strRef>
          </c:tx>
          <c:spPr>
            <a:ln w="19050">
              <a:noFill/>
            </a:ln>
          </c:spPr>
          <c:trendline>
            <c:trendlineType val="log"/>
            <c:dispRSqr val="0"/>
            <c:dispEq val="0"/>
          </c:trendline>
          <c:xVal>
            <c:numRef>
              <c:f>HillsboroughLength_PassBy!$N$15:$N$45</c:f>
              <c:numCache>
                <c:formatCode>General</c:formatCode>
                <c:ptCount val="31"/>
                <c:pt idx="0">
                  <c:v>1192</c:v>
                </c:pt>
                <c:pt idx="1">
                  <c:v>132.30000000000001</c:v>
                </c:pt>
                <c:pt idx="2">
                  <c:v>425</c:v>
                </c:pt>
                <c:pt idx="3">
                  <c:v>80.5</c:v>
                </c:pt>
                <c:pt idx="4">
                  <c:v>696</c:v>
                </c:pt>
                <c:pt idx="5">
                  <c:v>425</c:v>
                </c:pt>
                <c:pt idx="6">
                  <c:v>134</c:v>
                </c:pt>
                <c:pt idx="7">
                  <c:v>151</c:v>
                </c:pt>
                <c:pt idx="10">
                  <c:v>109</c:v>
                </c:pt>
                <c:pt idx="11">
                  <c:v>133.4</c:v>
                </c:pt>
                <c:pt idx="12">
                  <c:v>99.1</c:v>
                </c:pt>
                <c:pt idx="13">
                  <c:v>314.7</c:v>
                </c:pt>
                <c:pt idx="14">
                  <c:v>110</c:v>
                </c:pt>
                <c:pt idx="15">
                  <c:v>146.1</c:v>
                </c:pt>
                <c:pt idx="16">
                  <c:v>157.5</c:v>
                </c:pt>
                <c:pt idx="17">
                  <c:v>191</c:v>
                </c:pt>
                <c:pt idx="18">
                  <c:v>107.8</c:v>
                </c:pt>
                <c:pt idx="19">
                  <c:v>88</c:v>
                </c:pt>
                <c:pt idx="20">
                  <c:v>191.9</c:v>
                </c:pt>
                <c:pt idx="21">
                  <c:v>51.3</c:v>
                </c:pt>
                <c:pt idx="22">
                  <c:v>67.8</c:v>
                </c:pt>
                <c:pt idx="23">
                  <c:v>72.3</c:v>
                </c:pt>
                <c:pt idx="24">
                  <c:v>65.599999999999994</c:v>
                </c:pt>
                <c:pt idx="25">
                  <c:v>75.8</c:v>
                </c:pt>
                <c:pt idx="26">
                  <c:v>185</c:v>
                </c:pt>
                <c:pt idx="27">
                  <c:v>91.3</c:v>
                </c:pt>
                <c:pt idx="28">
                  <c:v>104.3</c:v>
                </c:pt>
                <c:pt idx="29">
                  <c:v>159.9</c:v>
                </c:pt>
                <c:pt idx="30">
                  <c:v>35.9</c:v>
                </c:pt>
              </c:numCache>
            </c:numRef>
          </c:xVal>
          <c:yVal>
            <c:numRef>
              <c:f>HillsboroughLength_PassBy!$P$15:$P$45</c:f>
              <c:numCache>
                <c:formatCode>0%</c:formatCode>
                <c:ptCount val="31"/>
                <c:pt idx="0">
                  <c:v>0.78</c:v>
                </c:pt>
                <c:pt idx="1">
                  <c:v>0.92</c:v>
                </c:pt>
                <c:pt idx="2">
                  <c:v>0.75</c:v>
                </c:pt>
                <c:pt idx="3">
                  <c:v>0.76</c:v>
                </c:pt>
                <c:pt idx="4">
                  <c:v>0.8</c:v>
                </c:pt>
                <c:pt idx="5">
                  <c:v>0.87</c:v>
                </c:pt>
                <c:pt idx="6">
                  <c:v>0.74</c:v>
                </c:pt>
                <c:pt idx="7">
                  <c:v>0.73</c:v>
                </c:pt>
                <c:pt idx="8">
                  <c:v>0.94099999999999995</c:v>
                </c:pt>
                <c:pt idx="9">
                  <c:v>0.74</c:v>
                </c:pt>
                <c:pt idx="10">
                  <c:v>0.61599999999999999</c:v>
                </c:pt>
                <c:pt idx="11">
                  <c:v>0.64</c:v>
                </c:pt>
                <c:pt idx="12">
                  <c:v>0.7</c:v>
                </c:pt>
                <c:pt idx="13">
                  <c:v>0.84</c:v>
                </c:pt>
                <c:pt idx="14">
                  <c:v>0</c:v>
                </c:pt>
                <c:pt idx="15">
                  <c:v>0</c:v>
                </c:pt>
                <c:pt idx="16">
                  <c:v>0</c:v>
                </c:pt>
                <c:pt idx="17">
                  <c:v>0</c:v>
                </c:pt>
                <c:pt idx="18">
                  <c:v>0.54500000000000004</c:v>
                </c:pt>
                <c:pt idx="19">
                  <c:v>0.57100000000000006</c:v>
                </c:pt>
                <c:pt idx="20">
                  <c:v>0.50900000000000001</c:v>
                </c:pt>
                <c:pt idx="21">
                  <c:v>0.51800000000000002</c:v>
                </c:pt>
                <c:pt idx="22">
                  <c:v>0.71200000000000008</c:v>
                </c:pt>
                <c:pt idx="23">
                  <c:v>0.59</c:v>
                </c:pt>
                <c:pt idx="24">
                  <c:v>0.46899999999999997</c:v>
                </c:pt>
                <c:pt idx="25">
                  <c:v>0.58200000000000007</c:v>
                </c:pt>
                <c:pt idx="26">
                  <c:v>0.88099999999999989</c:v>
                </c:pt>
                <c:pt idx="27">
                  <c:v>0.88</c:v>
                </c:pt>
                <c:pt idx="28">
                  <c:v>0.49</c:v>
                </c:pt>
                <c:pt idx="29">
                  <c:v>0.54</c:v>
                </c:pt>
                <c:pt idx="30">
                  <c:v>0.74</c:v>
                </c:pt>
              </c:numCache>
            </c:numRef>
          </c:yVal>
          <c:smooth val="0"/>
          <c:extLst>
            <c:ext xmlns:c16="http://schemas.microsoft.com/office/drawing/2014/chart" uri="{C3380CC4-5D6E-409C-BE32-E72D297353CC}">
              <c16:uniqueId val="{00000000-E747-4795-B812-DE668D4600A0}"/>
            </c:ext>
          </c:extLst>
        </c:ser>
        <c:dLbls>
          <c:showLegendKey val="0"/>
          <c:showVal val="0"/>
          <c:showCatName val="0"/>
          <c:showSerName val="0"/>
          <c:showPercent val="0"/>
          <c:showBubbleSize val="0"/>
        </c:dLbls>
        <c:axId val="1027809200"/>
        <c:axId val="1027807536"/>
      </c:scatterChart>
      <c:valAx>
        <c:axId val="102780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GSF (000s)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07536"/>
        <c:crosses val="autoZero"/>
        <c:crossBetween val="midCat"/>
      </c:valAx>
      <c:valAx>
        <c:axId val="1027807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Direct</a:t>
                </a:r>
                <a:r>
                  <a:rPr lang="en-US" baseline="0"/>
                  <a:t> trip percentage</a:t>
                </a:r>
                <a:endParaRPr lang="en-US"/>
              </a:p>
            </c:rich>
          </c:tx>
          <c:overlay val="0"/>
          <c:spPr>
            <a:noFill/>
            <a:ln>
              <a:noFill/>
            </a:ln>
            <a:effectLst/>
          </c:sp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0920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[MobilityFeeCalculation_v5a.xlsx]PMT_Pivot!PivotTable3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PMT_Pivot!$B$3</c:f>
              <c:strCache>
                <c:ptCount val="1"/>
                <c:pt idx="0">
                  <c:v>Sum of Auto Percent</c:v>
                </c:pt>
              </c:strCache>
            </c:strRef>
          </c:tx>
          <c:spPr>
            <a:solidFill>
              <a:schemeClr val="accent1"/>
            </a:solidFill>
            <a:ln>
              <a:noFill/>
            </a:ln>
            <a:effectLst/>
          </c:spPr>
          <c:invertIfNegative val="0"/>
          <c:cat>
            <c:multiLvlStrRef>
              <c:f>PMT_Pivot!$A$4:$A$15</c:f>
              <c:multiLvlStrCache>
                <c:ptCount val="7"/>
                <c:lvl>
                  <c:pt idx="0">
                    <c:v>In</c:v>
                  </c:pt>
                  <c:pt idx="1">
                    <c:v>In</c:v>
                  </c:pt>
                  <c:pt idx="2">
                    <c:v>Out</c:v>
                  </c:pt>
                  <c:pt idx="3">
                    <c:v>In</c:v>
                  </c:pt>
                  <c:pt idx="4">
                    <c:v>Out</c:v>
                  </c:pt>
                  <c:pt idx="5">
                    <c:v>In</c:v>
                  </c:pt>
                  <c:pt idx="6">
                    <c:v>Out</c:v>
                  </c:pt>
                </c:lvl>
                <c:lvl>
                  <c:pt idx="0">
                    <c:v>1</c:v>
                  </c:pt>
                  <c:pt idx="1">
                    <c:v>2</c:v>
                  </c:pt>
                  <c:pt idx="3">
                    <c:v>3</c:v>
                  </c:pt>
                  <c:pt idx="5">
                    <c:v>4</c:v>
                  </c:pt>
                </c:lvl>
              </c:multiLvlStrCache>
            </c:multiLvlStrRef>
          </c:cat>
          <c:val>
            <c:numRef>
              <c:f>PMT_Pivot!$B$4:$B$15</c:f>
              <c:numCache>
                <c:formatCode>General</c:formatCode>
                <c:ptCount val="7"/>
                <c:pt idx="0">
                  <c:v>0.64369868155585797</c:v>
                </c:pt>
                <c:pt idx="1">
                  <c:v>0.85017405200500473</c:v>
                </c:pt>
                <c:pt idx="2">
                  <c:v>0.85822198498152991</c:v>
                </c:pt>
                <c:pt idx="3">
                  <c:v>0.89742039884879754</c:v>
                </c:pt>
                <c:pt idx="4">
                  <c:v>0.8872444414531403</c:v>
                </c:pt>
                <c:pt idx="5">
                  <c:v>0.85173719352368216</c:v>
                </c:pt>
                <c:pt idx="6">
                  <c:v>0.85662549911783825</c:v>
                </c:pt>
              </c:numCache>
            </c:numRef>
          </c:val>
          <c:extLst>
            <c:ext xmlns:c16="http://schemas.microsoft.com/office/drawing/2014/chart" uri="{C3380CC4-5D6E-409C-BE32-E72D297353CC}">
              <c16:uniqueId val="{00000000-7B7D-164B-863E-57C2099A9655}"/>
            </c:ext>
          </c:extLst>
        </c:ser>
        <c:ser>
          <c:idx val="1"/>
          <c:order val="1"/>
          <c:tx>
            <c:strRef>
              <c:f>PMT_Pivot!$C$3</c:f>
              <c:strCache>
                <c:ptCount val="1"/>
                <c:pt idx="0">
                  <c:v>Sum of Transit Percent</c:v>
                </c:pt>
              </c:strCache>
            </c:strRef>
          </c:tx>
          <c:spPr>
            <a:solidFill>
              <a:schemeClr val="accent2"/>
            </a:solidFill>
            <a:ln>
              <a:noFill/>
            </a:ln>
            <a:effectLst/>
          </c:spPr>
          <c:invertIfNegative val="0"/>
          <c:cat>
            <c:multiLvlStrRef>
              <c:f>PMT_Pivot!$A$4:$A$15</c:f>
              <c:multiLvlStrCache>
                <c:ptCount val="7"/>
                <c:lvl>
                  <c:pt idx="0">
                    <c:v>In</c:v>
                  </c:pt>
                  <c:pt idx="1">
                    <c:v>In</c:v>
                  </c:pt>
                  <c:pt idx="2">
                    <c:v>Out</c:v>
                  </c:pt>
                  <c:pt idx="3">
                    <c:v>In</c:v>
                  </c:pt>
                  <c:pt idx="4">
                    <c:v>Out</c:v>
                  </c:pt>
                  <c:pt idx="5">
                    <c:v>In</c:v>
                  </c:pt>
                  <c:pt idx="6">
                    <c:v>Out</c:v>
                  </c:pt>
                </c:lvl>
                <c:lvl>
                  <c:pt idx="0">
                    <c:v>1</c:v>
                  </c:pt>
                  <c:pt idx="1">
                    <c:v>2</c:v>
                  </c:pt>
                  <c:pt idx="3">
                    <c:v>3</c:v>
                  </c:pt>
                  <c:pt idx="5">
                    <c:v>4</c:v>
                  </c:pt>
                </c:lvl>
              </c:multiLvlStrCache>
            </c:multiLvlStrRef>
          </c:cat>
          <c:val>
            <c:numRef>
              <c:f>PMT_Pivot!$C$4:$C$15</c:f>
              <c:numCache>
                <c:formatCode>General</c:formatCode>
                <c:ptCount val="7"/>
                <c:pt idx="0">
                  <c:v>0.10364097029981702</c:v>
                </c:pt>
                <c:pt idx="1">
                  <c:v>7.1139576081166458E-2</c:v>
                </c:pt>
                <c:pt idx="2">
                  <c:v>5.8215179670835629E-2</c:v>
                </c:pt>
                <c:pt idx="3">
                  <c:v>4.6529531905146693E-2</c:v>
                </c:pt>
                <c:pt idx="4">
                  <c:v>5.6634624520951443E-2</c:v>
                </c:pt>
                <c:pt idx="5">
                  <c:v>5.4807080371492983E-2</c:v>
                </c:pt>
                <c:pt idx="6">
                  <c:v>6.3313541592697989E-2</c:v>
                </c:pt>
              </c:numCache>
            </c:numRef>
          </c:val>
          <c:extLst>
            <c:ext xmlns:c16="http://schemas.microsoft.com/office/drawing/2014/chart" uri="{C3380CC4-5D6E-409C-BE32-E72D297353CC}">
              <c16:uniqueId val="{00000001-7B7D-164B-863E-57C2099A9655}"/>
            </c:ext>
          </c:extLst>
        </c:ser>
        <c:ser>
          <c:idx val="2"/>
          <c:order val="2"/>
          <c:tx>
            <c:strRef>
              <c:f>PMT_Pivot!$D$3</c:f>
              <c:strCache>
                <c:ptCount val="1"/>
                <c:pt idx="0">
                  <c:v>Sum of BW Percent</c:v>
                </c:pt>
              </c:strCache>
            </c:strRef>
          </c:tx>
          <c:spPr>
            <a:solidFill>
              <a:schemeClr val="accent3"/>
            </a:solidFill>
            <a:ln>
              <a:noFill/>
            </a:ln>
            <a:effectLst/>
          </c:spPr>
          <c:invertIfNegative val="0"/>
          <c:cat>
            <c:multiLvlStrRef>
              <c:f>PMT_Pivot!$A$4:$A$15</c:f>
              <c:multiLvlStrCache>
                <c:ptCount val="7"/>
                <c:lvl>
                  <c:pt idx="0">
                    <c:v>In</c:v>
                  </c:pt>
                  <c:pt idx="1">
                    <c:v>In</c:v>
                  </c:pt>
                  <c:pt idx="2">
                    <c:v>Out</c:v>
                  </c:pt>
                  <c:pt idx="3">
                    <c:v>In</c:v>
                  </c:pt>
                  <c:pt idx="4">
                    <c:v>Out</c:v>
                  </c:pt>
                  <c:pt idx="5">
                    <c:v>In</c:v>
                  </c:pt>
                  <c:pt idx="6">
                    <c:v>Out</c:v>
                  </c:pt>
                </c:lvl>
                <c:lvl>
                  <c:pt idx="0">
                    <c:v>1</c:v>
                  </c:pt>
                  <c:pt idx="1">
                    <c:v>2</c:v>
                  </c:pt>
                  <c:pt idx="3">
                    <c:v>3</c:v>
                  </c:pt>
                  <c:pt idx="5">
                    <c:v>4</c:v>
                  </c:pt>
                </c:lvl>
              </c:multiLvlStrCache>
            </c:multiLvlStrRef>
          </c:cat>
          <c:val>
            <c:numRef>
              <c:f>PMT_Pivot!$D$4:$D$15</c:f>
              <c:numCache>
                <c:formatCode>General</c:formatCode>
                <c:ptCount val="7"/>
                <c:pt idx="0">
                  <c:v>0.25266034814432503</c:v>
                </c:pt>
                <c:pt idx="1">
                  <c:v>7.8686371913828768E-2</c:v>
                </c:pt>
                <c:pt idx="2">
                  <c:v>8.3562835347634409E-2</c:v>
                </c:pt>
                <c:pt idx="3">
                  <c:v>5.6050069246055739E-2</c:v>
                </c:pt>
                <c:pt idx="4">
                  <c:v>5.612093402590821E-2</c:v>
                </c:pt>
                <c:pt idx="5">
                  <c:v>9.3455726104824874E-2</c:v>
                </c:pt>
                <c:pt idx="6">
                  <c:v>8.006095928946376E-2</c:v>
                </c:pt>
              </c:numCache>
            </c:numRef>
          </c:val>
          <c:extLst>
            <c:ext xmlns:c16="http://schemas.microsoft.com/office/drawing/2014/chart" uri="{C3380CC4-5D6E-409C-BE32-E72D297353CC}">
              <c16:uniqueId val="{00000002-7B7D-164B-863E-57C2099A9655}"/>
            </c:ext>
          </c:extLst>
        </c:ser>
        <c:dLbls>
          <c:showLegendKey val="0"/>
          <c:showVal val="0"/>
          <c:showCatName val="0"/>
          <c:showSerName val="0"/>
          <c:showPercent val="0"/>
          <c:showBubbleSize val="0"/>
        </c:dLbls>
        <c:gapWidth val="219"/>
        <c:overlap val="-27"/>
        <c:axId val="126409056"/>
        <c:axId val="126367392"/>
      </c:barChart>
      <c:catAx>
        <c:axId val="12640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67392"/>
        <c:crosses val="autoZero"/>
        <c:auto val="1"/>
        <c:lblAlgn val="ctr"/>
        <c:lblOffset val="100"/>
        <c:noMultiLvlLbl val="0"/>
      </c:catAx>
      <c:valAx>
        <c:axId val="12636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0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6395.7794534932646</c:v>
                </c:pt>
                <c:pt idx="5">
                  <c:v>8799.187086988959</c:v>
                </c:pt>
                <c:pt idx="6">
                  <c:v>9765.153041384101</c:v>
                </c:pt>
                <c:pt idx="7">
                  <c:v>10073.363921374925</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1697.7333630332978</c:v>
                </c:pt>
                <c:pt idx="1">
                  <c:v>1706.5044396130345</c:v>
                </c:pt>
                <c:pt idx="2">
                  <c:v>975.91493004221707</c:v>
                </c:pt>
                <c:pt idx="3">
                  <c:v>1527.5477625441074</c:v>
                </c:pt>
                <c:pt idx="4">
                  <c:v>843.80543038227972</c:v>
                </c:pt>
                <c:pt idx="5">
                  <c:v>433.83739163209788</c:v>
                </c:pt>
                <c:pt idx="6">
                  <c:v>157.63010553404891</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69.007235103160085</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9651.6577189196796</c:v>
                      </c:pt>
                      <c:pt idx="1">
                        <c:v>10403.237169188493</c:v>
                      </c:pt>
                      <c:pt idx="2">
                        <c:v>10238.879044885038</c:v>
                      </c:pt>
                      <c:pt idx="3">
                        <c:v>9550.048853028884</c:v>
                      </c:pt>
                      <c:pt idx="4">
                        <c:v>7376.1219959648506</c:v>
                      </c:pt>
                      <c:pt idx="5">
                        <c:v>9303.2013255702077</c:v>
                      </c:pt>
                      <c:pt idx="6">
                        <c:v>9991.7903820213087</c:v>
                      </c:pt>
                      <c:pt idx="7">
                        <c:v>10719.564586841283</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1697.7333630332978</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6395.7794534932646</c:v>
                </c:pt>
                <c:pt idx="1">
                  <c:v>8799.187086988959</c:v>
                </c:pt>
                <c:pt idx="2">
                  <c:v>9765.153041384101</c:v>
                </c:pt>
                <c:pt idx="3">
                  <c:v>10073.363921374925</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157.63010553404891</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69.007235103160085</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4959.4391524968969</c:v>
                </c:pt>
                <c:pt idx="5">
                  <c:v>6823.0984615211009</c:v>
                </c:pt>
                <c:pt idx="6">
                  <c:v>7572.1313837851303</c:v>
                </c:pt>
                <c:pt idx="7">
                  <c:v>7811.1254136085236</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1316.4627348944643</c:v>
                </c:pt>
                <c:pt idx="1">
                  <c:v>1323.2640358016329</c:v>
                </c:pt>
                <c:pt idx="2">
                  <c:v>756.74759405815985</c:v>
                </c:pt>
                <c:pt idx="3">
                  <c:v>1184.4967819727617</c:v>
                </c:pt>
                <c:pt idx="4">
                  <c:v>654.3067532201577</c:v>
                </c:pt>
                <c:pt idx="5">
                  <c:v>336.40780791810988</c:v>
                </c:pt>
                <c:pt idx="6">
                  <c:v>122.23012420648709</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53.509847558806342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8998.6743192378799</c:v>
                </c:pt>
                <c:pt idx="1">
                  <c:v>12084.042617697605</c:v>
                </c:pt>
                <c:pt idx="2">
                  <c:v>13036.612294274757</c:v>
                </c:pt>
                <c:pt idx="3">
                  <c:v>11322.869046266578</c:v>
                </c:pt>
                <c:pt idx="4">
                  <c:v>10929.844783086386</c:v>
                </c:pt>
                <c:pt idx="5">
                  <c:v>12349.330733972771</c:v>
                </c:pt>
                <c:pt idx="6">
                  <c:v>13737.14197762925</c:v>
                </c:pt>
                <c:pt idx="7">
                  <c:v>14148.735260870493</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3060.2242652058217</c:v>
                </c:pt>
                <c:pt idx="1">
                  <c:v>2384.528982685566</c:v>
                </c:pt>
                <c:pt idx="2">
                  <c:v>1395.4357626390006</c:v>
                </c:pt>
                <c:pt idx="3">
                  <c:v>2223.2648989547606</c:v>
                </c:pt>
                <c:pt idx="4">
                  <c:v>831.79943556169508</c:v>
                </c:pt>
                <c:pt idx="5">
                  <c:v>608.56441435979843</c:v>
                </c:pt>
                <c:pt idx="6">
                  <c:v>222.51204435410722</c:v>
                </c:pt>
                <c:pt idx="7">
                  <c:v>878.97526107863359</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192.26570766961737</c:v>
                </c:pt>
                <c:pt idx="1">
                  <c:v>103.03272532983547</c:v>
                </c:pt>
                <c:pt idx="2">
                  <c:v>62.648977103656335</c:v>
                </c:pt>
                <c:pt idx="3">
                  <c:v>60.060368628548545</c:v>
                </c:pt>
                <c:pt idx="4">
                  <c:v>153.85637912540605</c:v>
                </c:pt>
                <c:pt idx="5">
                  <c:v>99.068405621608051</c:v>
                </c:pt>
                <c:pt idx="6">
                  <c:v>96.930976415558547</c:v>
                </c:pt>
                <c:pt idx="7">
                  <c:v>54.490762223143399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10405.483457184329</c:v>
                </c:pt>
                <c:pt idx="1">
                  <c:v>13973.203284571373</c:v>
                </c:pt>
                <c:pt idx="2">
                  <c:v>15074.693088491562</c:v>
                </c:pt>
                <c:pt idx="3">
                  <c:v>13093.031525422495</c:v>
                </c:pt>
                <c:pt idx="4">
                  <c:v>12638.563753425175</c:v>
                </c:pt>
                <c:pt idx="5">
                  <c:v>14279.96525943109</c:v>
                </c:pt>
                <c:pt idx="6">
                  <c:v>15884.740187965779</c:v>
                </c:pt>
                <c:pt idx="7">
                  <c:v>16360.679970640087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3538.6448978153621</c:v>
                </c:pt>
                <c:pt idx="1">
                  <c:v>2757.3146890610701</c:v>
                </c:pt>
                <c:pt idx="2">
                  <c:v>1613.5914278685962</c:v>
                </c:pt>
                <c:pt idx="3">
                  <c:v>2570.8393599215888</c:v>
                </c:pt>
                <c:pt idx="4">
                  <c:v>961.83892864404891</c:v>
                </c:pt>
                <c:pt idx="5">
                  <c:v>703.70442596351882</c:v>
                </c:pt>
                <c:pt idx="6">
                  <c:v>257.29849913570609</c:v>
                </c:pt>
                <c:pt idx="7">
                  <c:v>1016.3899941211127</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222.32359673946715</c:v>
                </c:pt>
                <c:pt idx="1">
                  <c:v>119.14036233939612</c:v>
                </c:pt>
                <c:pt idx="2">
                  <c:v>72.443214604173619</c:v>
                </c:pt>
                <c:pt idx="3">
                  <c:v>69.449915623758642</c:v>
                </c:pt>
                <c:pt idx="4">
                  <c:v>177.9095398917917</c:v>
                </c:pt>
                <c:pt idx="5">
                  <c:v>114.55628009799725</c:v>
                </c:pt>
                <c:pt idx="6">
                  <c:v>112.08469556727336</c:v>
                </c:pt>
                <c:pt idx="7">
                  <c:v>63.009583941727122</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(Scenario1)'!$F$4</c:f>
              <c:strCache>
                <c:ptCount val="1"/>
                <c:pt idx="0">
                  <c:v>Road</c:v>
                </c:pt>
              </c:strCache>
            </c:strRef>
          </c:tx>
          <c:spPr>
            <a:solidFill>
              <a:schemeClr val="accent5"/>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(Scenario1)'!$F$5:$F$12</c:f>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extLst>
            <c:ext xmlns:c16="http://schemas.microsoft.com/office/drawing/2014/chart" uri="{C3380CC4-5D6E-409C-BE32-E72D297353CC}">
              <c16:uniqueId val="{00000000-5BBC-434D-BFE0-AECDB47731DC}"/>
            </c:ext>
          </c:extLst>
        </c:ser>
        <c:ser>
          <c:idx val="3"/>
          <c:order val="2"/>
          <c:tx>
            <c:strRef>
              <c:f>'RIFvMIF (Scenario1)'!$H$4</c:f>
              <c:strCache>
                <c:ptCount val="1"/>
                <c:pt idx="0">
                  <c:v>Walk Bike</c:v>
                </c:pt>
              </c:strCache>
            </c:strRef>
          </c:tx>
          <c:spPr>
            <a:solidFill>
              <a:schemeClr val="accent6">
                <a:lumMod val="60000"/>
              </a:schemeClr>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(Scenario1)'!$H$5:$H$12</c:f>
              <c:numCache>
                <c:formatCode>"$"#,##0</c:formatCode>
                <c:ptCount val="8"/>
                <c:pt idx="0">
                  <c:v>110.50661530115225</c:v>
                </c:pt>
                <c:pt idx="1">
                  <c:v>73.462901705404533</c:v>
                </c:pt>
                <c:pt idx="2">
                  <c:v>70.17684694915144</c:v>
                </c:pt>
                <c:pt idx="4">
                  <c:v>44.474496941823112</c:v>
                </c:pt>
                <c:pt idx="5">
                  <c:v>42.390266636781412</c:v>
                </c:pt>
                <c:pt idx="6">
                  <c:v>69.007235103160085</c:v>
                </c:pt>
                <c:pt idx="7">
                  <c:v>38.850955490641837</c:v>
                </c:pt>
              </c:numCache>
            </c:numRef>
          </c:val>
          <c:extLst>
            <c:ext xmlns:c16="http://schemas.microsoft.com/office/drawing/2014/chart" uri="{C3380CC4-5D6E-409C-BE32-E72D297353CC}">
              <c16:uniqueId val="{00000002-5BBC-434D-BFE0-AECDB47731DC}"/>
            </c:ext>
          </c:extLst>
        </c:ser>
        <c:ser>
          <c:idx val="2"/>
          <c:order val="3"/>
          <c:tx>
            <c:strRef>
              <c:f>'RIFvMIF (Scenario1)'!$G$4</c:f>
              <c:strCache>
                <c:ptCount val="1"/>
                <c:pt idx="0">
                  <c:v>Transit</c:v>
                </c:pt>
              </c:strCache>
            </c:strRef>
          </c:tx>
          <c:spPr>
            <a:solidFill>
              <a:schemeClr val="accent4"/>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(Scenario1)'!$G$5:$G$12</c:f>
              <c:numCache>
                <c:formatCode>"$"#,##0</c:formatCode>
                <c:ptCount val="8"/>
                <c:pt idx="0">
                  <c:v>1697.7333630332978</c:v>
                </c:pt>
                <c:pt idx="1">
                  <c:v>1706.5044396130345</c:v>
                </c:pt>
                <c:pt idx="2">
                  <c:v>433.83739163209788</c:v>
                </c:pt>
                <c:pt idx="4">
                  <c:v>975.91493004221707</c:v>
                </c:pt>
                <c:pt idx="5">
                  <c:v>1527.5477625441074</c:v>
                </c:pt>
                <c:pt idx="6">
                  <c:v>157.63010553404891</c:v>
                </c:pt>
                <c:pt idx="7">
                  <c:v>607.34970997571668</c:v>
                </c:pt>
              </c:numCache>
            </c:numRef>
          </c:val>
          <c:extLst>
            <c:ext xmlns:c16="http://schemas.microsoft.com/office/drawing/2014/chart" uri="{C3380CC4-5D6E-409C-BE32-E72D297353CC}">
              <c16:uniqueId val="{00000001-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(Scenario1)'!$E$5:$E$12</c:f>
              <c:numCache>
                <c:formatCode>"$"#,##0</c:formatCode>
                <c:ptCount val="8"/>
                <c:pt idx="0">
                  <c:v>9543.67</c:v>
                </c:pt>
                <c:pt idx="1">
                  <c:v>9543.67</c:v>
                </c:pt>
                <c:pt idx="2">
                  <c:v>9543.67</c:v>
                </c:pt>
                <c:pt idx="4">
                  <c:v>10096</c:v>
                </c:pt>
                <c:pt idx="5">
                  <c:v>10096</c:v>
                </c:pt>
                <c:pt idx="6">
                  <c:v>10096</c:v>
                </c:pt>
                <c:pt idx="7">
                  <c:v>10096</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(Scenario1)'!$I$4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(Scenario1)'!$D$5:$D$12</c15:sqref>
                        </c15:formulaRef>
                      </c:ext>
                    </c:extLst>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extLst>
                      <c:ext uri="{02D57815-91ED-43cb-92C2-25804820EDAC}">
                        <c15:formulaRef>
                          <c15:sqref>'RIFvMIF (Scenario1)'!$I$5:$I$12</c15:sqref>
                        </c15:formulaRef>
                      </c:ext>
                    </c:extLst>
                    <c:numCache>
                      <c:formatCode>"$"#,##0</c:formatCode>
                      <c:ptCount val="8"/>
                      <c:pt idx="0">
                        <c:v>9651.6577189196796</c:v>
                      </c:pt>
                      <c:pt idx="1">
                        <c:v>10403.237169188493</c:v>
                      </c:pt>
                      <c:pt idx="2">
                        <c:v>9303.2013255702077</c:v>
                      </c:pt>
                      <c:pt idx="4">
                        <c:v>10238.879044885038</c:v>
                      </c:pt>
                      <c:pt idx="5">
                        <c:v>9550.048853028884</c:v>
                      </c:pt>
                      <c:pt idx="6">
                        <c:v>9991.7903820213087</c:v>
                      </c:pt>
                      <c:pt idx="7">
                        <c:v>10719.564586841283</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(Scenario1)'!$N$4</c:f>
              <c:strCache>
                <c:ptCount val="1"/>
                <c:pt idx="0">
                  <c:v>Road</c:v>
                </c:pt>
              </c:strCache>
            </c:strRef>
          </c:tx>
          <c:spPr>
            <a:solidFill>
              <a:schemeClr val="accent5"/>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(Scenario1)'!$N$5:$N$12</c:f>
              <c:numCache>
                <c:formatCode>"$"#,##0</c:formatCode>
                <c:ptCount val="8"/>
                <c:pt idx="0">
                  <c:v>3697.3738289835037</c:v>
                </c:pt>
                <c:pt idx="1">
                  <c:v>4064.9947811463717</c:v>
                </c:pt>
                <c:pt idx="2">
                  <c:v>4147.9218789301776</c:v>
                </c:pt>
                <c:pt idx="4">
                  <c:v>4345.5803813198563</c:v>
                </c:pt>
                <c:pt idx="5">
                  <c:v>3761.8107167503804</c:v>
                </c:pt>
                <c:pt idx="6">
                  <c:v>4603.2765926016173</c:v>
                </c:pt>
                <c:pt idx="7">
                  <c:v>4748.5666790379682</c:v>
                </c:pt>
              </c:numCache>
            </c:numRef>
          </c:val>
          <c:extLst>
            <c:ext xmlns:c16="http://schemas.microsoft.com/office/drawing/2014/chart" uri="{C3380CC4-5D6E-409C-BE32-E72D297353CC}">
              <c16:uniqueId val="{00000000-1844-1941-BD37-5B1F1E1F8007}"/>
            </c:ext>
          </c:extLst>
        </c:ser>
        <c:ser>
          <c:idx val="3"/>
          <c:order val="2"/>
          <c:tx>
            <c:strRef>
              <c:f>'RIFvMIF (Scenario1)'!$P$4</c:f>
              <c:strCache>
                <c:ptCount val="1"/>
                <c:pt idx="0">
                  <c:v>Walk Bike</c:v>
                </c:pt>
              </c:strCache>
            </c:strRef>
          </c:tx>
          <c:spPr>
            <a:solidFill>
              <a:schemeClr val="accent6">
                <a:lumMod val="60000"/>
              </a:schemeClr>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(Scenario1)'!$P$5:$P$12</c:f>
              <c:numCache>
                <c:formatCode>"$"#,##0</c:formatCode>
                <c:ptCount val="8"/>
                <c:pt idx="0">
                  <c:v>85.689451695385017</c:v>
                </c:pt>
                <c:pt idx="1">
                  <c:v>56.964877169868785</c:v>
                </c:pt>
                <c:pt idx="2">
                  <c:v>54.416792337689479</c:v>
                </c:pt>
                <c:pt idx="4">
                  <c:v>34.486580255735724</c:v>
                </c:pt>
                <c:pt idx="5">
                  <c:v>32.870418620894064</c:v>
                </c:pt>
                <c:pt idx="6">
                  <c:v>53.509847558806342</c:v>
                </c:pt>
                <c:pt idx="7">
                  <c:v>30.125952774523125</c:v>
                </c:pt>
              </c:numCache>
            </c:numRef>
          </c:val>
          <c:extLst>
            <c:ext xmlns:c16="http://schemas.microsoft.com/office/drawing/2014/chart" uri="{C3380CC4-5D6E-409C-BE32-E72D297353CC}">
              <c16:uniqueId val="{00000002-1844-1941-BD37-5B1F1E1F8007}"/>
            </c:ext>
          </c:extLst>
        </c:ser>
        <c:ser>
          <c:idx val="2"/>
          <c:order val="3"/>
          <c:tx>
            <c:strRef>
              <c:f>'RIFvMIF (Scenario1)'!$O$4</c:f>
              <c:strCache>
                <c:ptCount val="1"/>
                <c:pt idx="0">
                  <c:v>Transit</c:v>
                </c:pt>
              </c:strCache>
            </c:strRef>
          </c:tx>
          <c:spPr>
            <a:solidFill>
              <a:schemeClr val="accent4"/>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(Scenario1)'!$O$5:$O$12</c:f>
              <c:numCache>
                <c:formatCode>"$"#,##0</c:formatCode>
                <c:ptCount val="8"/>
                <c:pt idx="0">
                  <c:v>800.30862981972211</c:v>
                </c:pt>
                <c:pt idx="1">
                  <c:v>804.44330045317849</c:v>
                </c:pt>
                <c:pt idx="2">
                  <c:v>204.51021109775806</c:v>
                </c:pt>
                <c:pt idx="4">
                  <c:v>460.04464392879942</c:v>
                </c:pt>
                <c:pt idx="5">
                  <c:v>720.08342619928817</c:v>
                </c:pt>
                <c:pt idx="6">
                  <c:v>74.306564579080273</c:v>
                </c:pt>
                <c:pt idx="7">
                  <c:v>286.30362387626479</c:v>
                </c:pt>
              </c:numCache>
            </c:numRef>
          </c:val>
          <c:extLst>
            <c:ext xmlns:c16="http://schemas.microsoft.com/office/drawing/2014/chart" uri="{C3380CC4-5D6E-409C-BE32-E72D297353CC}">
              <c16:uniqueId val="{00000001-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(Scenario1)'!$M$4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(Scenario1)'!$M$5:$M$12</c:f>
              <c:numCache>
                <c:formatCode>"$"#,##0</c:formatCode>
                <c:ptCount val="8"/>
                <c:pt idx="0">
                  <c:v>4188.18</c:v>
                </c:pt>
                <c:pt idx="1">
                  <c:v>4188.18</c:v>
                </c:pt>
                <c:pt idx="2">
                  <c:v>4188.18</c:v>
                </c:pt>
                <c:pt idx="4">
                  <c:v>4430.5665723982493</c:v>
                </c:pt>
                <c:pt idx="5">
                  <c:v>4430.5665723982493</c:v>
                </c:pt>
                <c:pt idx="6">
                  <c:v>4430.5665723982493</c:v>
                </c:pt>
                <c:pt idx="7">
                  <c:v>4430.5665723982493</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(Scenario1)'!$V$4</c:f>
              <c:strCache>
                <c:ptCount val="1"/>
                <c:pt idx="0">
                  <c:v>Road</c:v>
                </c:pt>
              </c:strCache>
            </c:strRef>
          </c:tx>
          <c:spPr>
            <a:solidFill>
              <a:schemeClr val="accent5"/>
            </a:solidFill>
            <a:ln>
              <a:noFill/>
            </a:ln>
            <a:effectLst/>
          </c:spPr>
          <c:invertIfNegative val="0"/>
          <c:cat>
            <c:strRef>
              <c:f>'RIFvMIF (Scenario1)'!$T$5:$T$12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(Scenario1)'!$V$5:$V$12</c:f>
              <c:numCache>
                <c:formatCode>"$"#,##0</c:formatCode>
                <c:ptCount val="8"/>
                <c:pt idx="0">
                  <c:v>8998.6743192378799</c:v>
                </c:pt>
                <c:pt idx="1">
                  <c:v>12084.042617697605</c:v>
                </c:pt>
                <c:pt idx="2">
                  <c:v>12349.330733972771</c:v>
                </c:pt>
                <c:pt idx="4">
                  <c:v>13036.612294274757</c:v>
                </c:pt>
                <c:pt idx="5">
                  <c:v>11322.869046266578</c:v>
                </c:pt>
                <c:pt idx="6">
                  <c:v>13737.14197762925</c:v>
                </c:pt>
                <c:pt idx="7">
                  <c:v>14148.735260870493</c:v>
                </c:pt>
              </c:numCache>
            </c:numRef>
          </c:val>
          <c:extLst>
            <c:ext xmlns:c16="http://schemas.microsoft.com/office/drawing/2014/chart" uri="{C3380CC4-5D6E-409C-BE32-E72D297353CC}">
              <c16:uniqueId val="{00000000-C676-824A-80C6-1FDFF3A8C120}"/>
            </c:ext>
          </c:extLst>
        </c:ser>
        <c:ser>
          <c:idx val="3"/>
          <c:order val="2"/>
          <c:tx>
            <c:strRef>
              <c:f>'RIFvMIF (Scenario1)'!$X$4</c:f>
              <c:strCache>
                <c:ptCount val="1"/>
                <c:pt idx="0">
                  <c:v>Walk Bike</c:v>
                </c:pt>
              </c:strCache>
            </c:strRef>
          </c:tx>
          <c:spPr>
            <a:solidFill>
              <a:schemeClr val="accent6">
                <a:lumMod val="60000"/>
              </a:schemeClr>
            </a:solidFill>
            <a:ln>
              <a:noFill/>
            </a:ln>
            <a:effectLst/>
          </c:spPr>
          <c:invertIfNegative val="0"/>
          <c:cat>
            <c:strRef>
              <c:f>'RIFvMIF (Scenario1)'!$T$5:$T$12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(Scenario1)'!$X$5:$X$12</c:f>
              <c:numCache>
                <c:formatCode>"$"#,##0</c:formatCode>
                <c:ptCount val="8"/>
                <c:pt idx="0">
                  <c:v>192.26570766961737</c:v>
                </c:pt>
                <c:pt idx="1">
                  <c:v>103.03272532983547</c:v>
                </c:pt>
                <c:pt idx="2">
                  <c:v>99.068405621608051</c:v>
                </c:pt>
                <c:pt idx="4">
                  <c:v>62.648977103656335</c:v>
                </c:pt>
                <c:pt idx="5">
                  <c:v>60.060368628548545</c:v>
                </c:pt>
                <c:pt idx="6">
                  <c:v>96.930976415558547</c:v>
                </c:pt>
                <c:pt idx="7">
                  <c:v>54.490762223143399</c:v>
                </c:pt>
              </c:numCache>
            </c:numRef>
          </c:val>
          <c:extLst>
            <c:ext xmlns:c16="http://schemas.microsoft.com/office/drawing/2014/chart" uri="{C3380CC4-5D6E-409C-BE32-E72D297353CC}">
              <c16:uniqueId val="{00000002-C676-824A-80C6-1FDFF3A8C120}"/>
            </c:ext>
          </c:extLst>
        </c:ser>
        <c:ser>
          <c:idx val="2"/>
          <c:order val="3"/>
          <c:tx>
            <c:strRef>
              <c:f>'RIFvMIF (Scenario1)'!$W$4</c:f>
              <c:strCache>
                <c:ptCount val="1"/>
                <c:pt idx="0">
                  <c:v>Transit</c:v>
                </c:pt>
              </c:strCache>
            </c:strRef>
          </c:tx>
          <c:spPr>
            <a:solidFill>
              <a:schemeClr val="accent4"/>
            </a:solidFill>
            <a:ln>
              <a:noFill/>
            </a:ln>
            <a:effectLst/>
          </c:spPr>
          <c:invertIfNegative val="0"/>
          <c:cat>
            <c:strRef>
              <c:f>'RIFvMIF (Scenario1)'!$T$5:$T$12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(Scenario1)'!$W$5:$W$12</c:f>
              <c:numCache>
                <c:formatCode>"$"#,##0</c:formatCode>
                <c:ptCount val="8"/>
                <c:pt idx="0">
                  <c:v>3060.2242652058217</c:v>
                </c:pt>
                <c:pt idx="1">
                  <c:v>2384.528982685566</c:v>
                </c:pt>
                <c:pt idx="2">
                  <c:v>608.56441435979843</c:v>
                </c:pt>
                <c:pt idx="4">
                  <c:v>1395.4357626390006</c:v>
                </c:pt>
                <c:pt idx="5">
                  <c:v>2223.2648989547606</c:v>
                </c:pt>
                <c:pt idx="6">
                  <c:v>222.51204435410722</c:v>
                </c:pt>
                <c:pt idx="7">
                  <c:v>878.97526107863359</c:v>
                </c:pt>
              </c:numCache>
            </c:numRef>
          </c:val>
          <c:extLst>
            <c:ext xmlns:c16="http://schemas.microsoft.com/office/drawing/2014/chart" uri="{C3380CC4-5D6E-409C-BE32-E72D297353CC}">
              <c16:uniqueId val="{00000001-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(Scenario1)'!$U$4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(Scenario1)'!$U$5:$U$12</c:f>
              <c:numCache>
                <c:formatCode>"$"#,##0</c:formatCode>
                <c:ptCount val="8"/>
                <c:pt idx="0">
                  <c:v>13259.2</c:v>
                </c:pt>
                <c:pt idx="1">
                  <c:v>13259.2</c:v>
                </c:pt>
                <c:pt idx="2">
                  <c:v>13259.2</c:v>
                </c:pt>
                <c:pt idx="4">
                  <c:v>14022</c:v>
                </c:pt>
                <c:pt idx="5">
                  <c:v>14022</c:v>
                </c:pt>
                <c:pt idx="6">
                  <c:v>14022</c:v>
                </c:pt>
                <c:pt idx="7">
                  <c:v>14022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0"/>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(Scenario1)'!$AD$4</c:f>
              <c:strCache>
                <c:ptCount val="1"/>
                <c:pt idx="0">
                  <c:v>Road</c:v>
                </c:pt>
              </c:strCache>
            </c:strRef>
          </c:tx>
          <c:spPr>
            <a:solidFill>
              <a:schemeClr val="accent5"/>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(Scenario1)'!$AD$5:$AD$12</c:f>
              <c:numCache>
                <c:formatCode>"$"#,##0</c:formatCode>
                <c:ptCount val="8"/>
                <c:pt idx="0">
                  <c:v>9718.2062543462307</c:v>
                </c:pt>
                <c:pt idx="1">
                  <c:v>13050.279894454625</c:v>
                </c:pt>
                <c:pt idx="2">
                  <c:v>13336.780387674762</c:v>
                </c:pt>
                <c:pt idx="4">
                  <c:v>14079.016823940106</c:v>
                </c:pt>
                <c:pt idx="5">
                  <c:v>12228.243058794311</c:v>
                </c:pt>
                <c:pt idx="6">
                  <c:v>14835.560700139351</c:v>
                </c:pt>
                <c:pt idx="7">
                  <c:v>15280.064887927396</c:v>
                </c:pt>
              </c:numCache>
            </c:numRef>
          </c:val>
          <c:extLst>
            <c:ext xmlns:c16="http://schemas.microsoft.com/office/drawing/2014/chart" uri="{C3380CC4-5D6E-409C-BE32-E72D297353CC}">
              <c16:uniqueId val="{00000000-F74D-9F41-B7C2-695A5DC58E64}"/>
            </c:ext>
          </c:extLst>
        </c:ser>
        <c:ser>
          <c:idx val="3"/>
          <c:order val="2"/>
          <c:tx>
            <c:strRef>
              <c:f>'RIFvMIF (Scenario1)'!$AF$4</c:f>
              <c:strCache>
                <c:ptCount val="1"/>
                <c:pt idx="0">
                  <c:v>Walk Bike</c:v>
                </c:pt>
              </c:strCache>
            </c:strRef>
          </c:tx>
          <c:spPr>
            <a:solidFill>
              <a:schemeClr val="accent6">
                <a:lumMod val="60000"/>
              </a:schemeClr>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(Scenario1)'!$AF$5:$AF$12</c:f>
              <c:numCache>
                <c:formatCode>"$"#,##0</c:formatCode>
                <c:ptCount val="8"/>
                <c:pt idx="0">
                  <c:v>207.6392295670309</c:v>
                </c:pt>
                <c:pt idx="1">
                  <c:v>111.27119842109661</c:v>
                </c:pt>
                <c:pt idx="2">
                  <c:v>104.22915029640636</c:v>
                </c:pt>
                <c:pt idx="4">
                  <c:v>67.658374947023376</c:v>
                </c:pt>
                <c:pt idx="5">
                  <c:v>64.862781931831705</c:v>
                </c:pt>
                <c:pt idx="6">
                  <c:v>104.68155506280708</c:v>
                </c:pt>
                <c:pt idx="7">
                  <c:v>58.847831075399412</c:v>
                </c:pt>
              </c:numCache>
            </c:numRef>
          </c:val>
          <c:extLst>
            <c:ext xmlns:c16="http://schemas.microsoft.com/office/drawing/2014/chart" uri="{C3380CC4-5D6E-409C-BE32-E72D297353CC}">
              <c16:uniqueId val="{00000002-F74D-9F41-B7C2-695A5DC58E64}"/>
            </c:ext>
          </c:extLst>
        </c:ser>
        <c:ser>
          <c:idx val="2"/>
          <c:order val="3"/>
          <c:tx>
            <c:strRef>
              <c:f>'RIFvMIF (Scenario1)'!$AE$4</c:f>
              <c:strCache>
                <c:ptCount val="1"/>
                <c:pt idx="0">
                  <c:v>Transit</c:v>
                </c:pt>
              </c:strCache>
            </c:strRef>
          </c:tx>
          <c:spPr>
            <a:solidFill>
              <a:schemeClr val="accent4"/>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(Scenario1)'!$AE$5:$AE$12</c:f>
              <c:numCache>
                <c:formatCode>"$"#,##0</c:formatCode>
                <c:ptCount val="8"/>
                <c:pt idx="0">
                  <c:v>3304.919095721209</c:v>
                </c:pt>
                <c:pt idx="1">
                  <c:v>2575.1953733522087</c:v>
                </c:pt>
                <c:pt idx="2">
                  <c:v>657.22508538400234</c:v>
                </c:pt>
                <c:pt idx="4">
                  <c:v>1507.0144862365978</c:v>
                </c:pt>
                <c:pt idx="5">
                  <c:v>2401.036650465252</c:v>
                </c:pt>
                <c:pt idx="6">
                  <c:v>240.30405639711955</c:v>
                </c:pt>
                <c:pt idx="7">
                  <c:v>949.25792139940881</c:v>
                </c:pt>
              </c:numCache>
            </c:numRef>
          </c:val>
          <c:extLst>
            <c:ext xmlns:c16="http://schemas.microsoft.com/office/drawing/2014/chart" uri="{C3380CC4-5D6E-409C-BE32-E72D297353CC}">
              <c16:uniqueId val="{00000001-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(Scenario1)'!$AC$4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(Scenario1)'!$AC$5:$AC$12</c:f>
              <c:numCache>
                <c:formatCode>"$"#,##0</c:formatCode>
                <c:ptCount val="8"/>
                <c:pt idx="0">
                  <c:v>13383.7</c:v>
                </c:pt>
                <c:pt idx="1">
                  <c:v>13383.7</c:v>
                </c:pt>
                <c:pt idx="2">
                  <c:v>13383.7</c:v>
                </c:pt>
                <c:pt idx="4">
                  <c:v>14857</c:v>
                </c:pt>
                <c:pt idx="5">
                  <c:v>14857</c:v>
                </c:pt>
                <c:pt idx="6">
                  <c:v>14857</c:v>
                </c:pt>
                <c:pt idx="7">
                  <c:v>14857</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Warehousing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(Scenario1)'!$AL$4</c:f>
              <c:strCache>
                <c:ptCount val="1"/>
                <c:pt idx="0">
                  <c:v>Road</c:v>
                </c:pt>
              </c:strCache>
            </c:strRef>
          </c:tx>
          <c:spPr>
            <a:solidFill>
              <a:schemeClr val="accent5"/>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(Scenario1)'!$AL$5:$AL$12</c:f>
              <c:numCache>
                <c:formatCode>"$"#,##0</c:formatCode>
                <c:ptCount val="8"/>
                <c:pt idx="0">
                  <c:v>1179.3160191465954</c:v>
                </c:pt>
                <c:pt idx="1">
                  <c:v>1583.6671635770333</c:v>
                </c:pt>
                <c:pt idx="2">
                  <c:v>1618.4343430652029</c:v>
                </c:pt>
                <c:pt idx="4">
                  <c:v>1483.9120047287395</c:v>
                </c:pt>
                <c:pt idx="5">
                  <c:v>1483.9120047287395</c:v>
                </c:pt>
                <c:pt idx="6">
                  <c:v>1800.3131368889647</c:v>
                </c:pt>
                <c:pt idx="7">
                  <c:v>1854.2542547780552</c:v>
                </c:pt>
              </c:numCache>
            </c:numRef>
          </c:val>
          <c:extLst>
            <c:ext xmlns:c16="http://schemas.microsoft.com/office/drawing/2014/chart" uri="{C3380CC4-5D6E-409C-BE32-E72D297353CC}">
              <c16:uniqueId val="{00000000-259B-415D-A886-3D1C21D32C1A}"/>
            </c:ext>
          </c:extLst>
        </c:ser>
        <c:ser>
          <c:idx val="3"/>
          <c:order val="2"/>
          <c:tx>
            <c:strRef>
              <c:f>'RIFvMIF (Scenario1)'!$AN$4</c:f>
              <c:strCache>
                <c:ptCount val="1"/>
                <c:pt idx="0">
                  <c:v>Walk Bike</c:v>
                </c:pt>
              </c:strCache>
            </c:strRef>
          </c:tx>
          <c:spPr>
            <a:solidFill>
              <a:schemeClr val="accent6">
                <a:lumMod val="60000"/>
              </a:schemeClr>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(Scenario1)'!$AN$5:$AN$12</c:f>
              <c:numCache>
                <c:formatCode>"$"#,##0</c:formatCode>
                <c:ptCount val="8"/>
                <c:pt idx="0">
                  <c:v>25.197270280422764</c:v>
                </c:pt>
                <c:pt idx="1">
                  <c:v>13.502893778257883</c:v>
                </c:pt>
                <c:pt idx="2">
                  <c:v>12.983352169008144</c:v>
                </c:pt>
                <c:pt idx="4">
                  <c:v>7.8711766118785063</c:v>
                </c:pt>
                <c:pt idx="5">
                  <c:v>7.8711766118785063</c:v>
                </c:pt>
                <c:pt idx="6">
                  <c:v>12.703232629944811</c:v>
                </c:pt>
                <c:pt idx="7">
                  <c:v>7.141255089972371</c:v>
                </c:pt>
              </c:numCache>
            </c:numRef>
          </c:val>
          <c:extLst>
            <c:ext xmlns:c16="http://schemas.microsoft.com/office/drawing/2014/chart" uri="{C3380CC4-5D6E-409C-BE32-E72D297353CC}">
              <c16:uniqueId val="{00000002-259B-415D-A886-3D1C21D32C1A}"/>
            </c:ext>
          </c:extLst>
        </c:ser>
        <c:ser>
          <c:idx val="2"/>
          <c:order val="3"/>
          <c:tx>
            <c:strRef>
              <c:f>'RIFvMIF (Scenario1)'!$AM$4</c:f>
              <c:strCache>
                <c:ptCount val="1"/>
                <c:pt idx="0">
                  <c:v>Transit</c:v>
                </c:pt>
              </c:strCache>
            </c:strRef>
          </c:tx>
          <c:spPr>
            <a:solidFill>
              <a:schemeClr val="accent4"/>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(Scenario1)'!$AM$5:$AM$12</c:f>
              <c:numCache>
                <c:formatCode>"$"#,##0</c:formatCode>
                <c:ptCount val="8"/>
                <c:pt idx="0">
                  <c:v>401.0559078044285</c:v>
                </c:pt>
                <c:pt idx="1">
                  <c:v>312.50305629891795</c:v>
                </c:pt>
                <c:pt idx="2">
                  <c:v>79.755054697641228</c:v>
                </c:pt>
                <c:pt idx="4">
                  <c:v>291.3686857783452</c:v>
                </c:pt>
                <c:pt idx="5">
                  <c:v>291.3686857783452</c:v>
                </c:pt>
                <c:pt idx="6">
                  <c:v>29.161186309283028</c:v>
                </c:pt>
                <c:pt idx="7">
                  <c:v>115.19359063895814</c:v>
                </c:pt>
              </c:numCache>
            </c:numRef>
          </c:val>
          <c:extLst>
            <c:ext xmlns:c16="http://schemas.microsoft.com/office/drawing/2014/chart" uri="{C3380CC4-5D6E-409C-BE32-E72D297353CC}">
              <c16:uniqueId val="{00000001-259B-415D-A886-3D1C21D32C1A}"/>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(Scenario1)'!$AK$4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(Scenario1)'!$AK$5:$AK$12</c:f>
              <c:numCache>
                <c:formatCode>"$"#,##0</c:formatCode>
                <c:ptCount val="8"/>
                <c:pt idx="0">
                  <c:v>5002.3</c:v>
                </c:pt>
                <c:pt idx="1">
                  <c:v>5002.3</c:v>
                </c:pt>
                <c:pt idx="2">
                  <c:v>5002.3</c:v>
                </c:pt>
                <c:pt idx="4">
                  <c:v>5552.9615203568519</c:v>
                </c:pt>
                <c:pt idx="5">
                  <c:v>5552.9615203568519</c:v>
                </c:pt>
                <c:pt idx="6">
                  <c:v>5552.9615203568519</c:v>
                </c:pt>
                <c:pt idx="7">
                  <c:v>5552.9615203568519</c:v>
                </c:pt>
              </c:numCache>
            </c:numRef>
          </c:val>
          <c:smooth val="0"/>
          <c:extLst>
            <c:ext xmlns:c16="http://schemas.microsoft.com/office/drawing/2014/chart" uri="{C3380CC4-5D6E-409C-BE32-E72D297353CC}">
              <c16:uniqueId val="{00000003-259B-415D-A886-3D1C21D32C1A}"/>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'RIFvMIF(Scenario2)'!$F$4</c:f>
              <c:strCache>
                <c:ptCount val="1"/>
                <c:pt idx="0">
                  <c:v>Road</c:v>
                </c:pt>
              </c:strCache>
            </c:strRef>
          </c:tx>
          <c:spPr>
            <a:solidFill>
              <a:schemeClr val="accent5"/>
            </a:solidFill>
            <a:ln>
              <a:noFill/>
            </a:ln>
            <a:effectLst/>
          </c:spPr>
          <c:invertIfNegative val="0"/>
          <c:cat>
            <c:strRef>
              <c:f>'RIFvMIF(Scenario2)'!$D$5:$D$12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'RIFvMIF(Scenario2)'!$F$5:$F$12</c:f>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extLst>
            <c:ext xmlns:c16="http://schemas.microsoft.com/office/drawing/2014/chart" uri="{C3380CC4-5D6E-409C-BE32-E72D297353CC}">
              <c16:uniqueId val="{00000000-6B2F-4451-B93F-826FDF87A103}"/>
            </c:ext>
          </c:extLst>
        </c:ser>
        <c:ser>
          <c:idx val="3"/>
          <c:order val="2"/>
          <c:tx>
            <c:strRef>
              <c:f>'RIFvMIF(Scenario2)'!$H$4</c:f>
              <c:strCache>
                <c:ptCount val="1"/>
                <c:pt idx="0">
                  <c:v>Walk Bike</c:v>
                </c:pt>
              </c:strCache>
            </c:strRef>
          </c:tx>
          <c:spPr>
            <a:solidFill>
              <a:schemeClr val="accent6">
                <a:lumMod val="60000"/>
              </a:schemeClr>
            </a:solidFill>
            <a:ln>
              <a:noFill/>
            </a:ln>
            <a:effectLst/>
          </c:spPr>
          <c:invertIfNegative val="0"/>
          <c:cat>
            <c:strRef>
              <c:f>'RIFvMIF(Scenario2)'!$D$5:$D$12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'RIFvMIF(Scenario2)'!$H$5:$H$12</c:f>
              <c:numCache>
                <c:formatCode>"$"#,##0</c:formatCode>
                <c:ptCount val="8"/>
                <c:pt idx="0">
                  <c:v>110.50661530115225</c:v>
                </c:pt>
                <c:pt idx="1">
                  <c:v>73.462901705404533</c:v>
                </c:pt>
                <c:pt idx="2">
                  <c:v>70.17684694915144</c:v>
                </c:pt>
                <c:pt idx="4">
                  <c:v>44.474496941823112</c:v>
                </c:pt>
                <c:pt idx="5">
                  <c:v>42.390266636781412</c:v>
                </c:pt>
                <c:pt idx="6">
                  <c:v>69.007235103160085</c:v>
                </c:pt>
                <c:pt idx="7">
                  <c:v>38.850955490641837</c:v>
                </c:pt>
              </c:numCache>
            </c:numRef>
          </c:val>
          <c:extLst>
            <c:ext xmlns:c16="http://schemas.microsoft.com/office/drawing/2014/chart" uri="{C3380CC4-5D6E-409C-BE32-E72D297353CC}">
              <c16:uniqueId val="{00000002-6B2F-4451-B93F-826FDF87A103}"/>
            </c:ext>
          </c:extLst>
        </c:ser>
        <c:ser>
          <c:idx val="2"/>
          <c:order val="3"/>
          <c:tx>
            <c:strRef>
              <c:f>'RIFvMIF(Scenario2)'!$G$4</c:f>
              <c:strCache>
                <c:ptCount val="1"/>
                <c:pt idx="0">
                  <c:v>Transit</c:v>
                </c:pt>
              </c:strCache>
            </c:strRef>
          </c:tx>
          <c:spPr>
            <a:solidFill>
              <a:schemeClr val="accent4"/>
            </a:solidFill>
            <a:ln>
              <a:noFill/>
            </a:ln>
            <a:effectLst/>
          </c:spPr>
          <c:invertIfNegative val="0"/>
          <c:cat>
            <c:strRef>
              <c:f>'RIFvMIF(Scenario2)'!$D$5:$D$12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'RIFvMIF(Scenario2)'!$G$5:$G$12</c:f>
              <c:numCache>
                <c:formatCode>"$"#,##0</c:formatCode>
                <c:ptCount val="8"/>
                <c:pt idx="0">
                  <c:v>848.8666815166489</c:v>
                </c:pt>
                <c:pt idx="1">
                  <c:v>853.25221980651725</c:v>
                </c:pt>
                <c:pt idx="2">
                  <c:v>216.91869581604894</c:v>
                </c:pt>
                <c:pt idx="4">
                  <c:v>487.95746502110853</c:v>
                </c:pt>
                <c:pt idx="5">
                  <c:v>763.7738812720537</c:v>
                </c:pt>
                <c:pt idx="6">
                  <c:v>78.815052767024454</c:v>
                </c:pt>
                <c:pt idx="7">
                  <c:v>303.67485498785834</c:v>
                </c:pt>
              </c:numCache>
            </c:numRef>
          </c:val>
          <c:extLst>
            <c:ext xmlns:c16="http://schemas.microsoft.com/office/drawing/2014/chart" uri="{C3380CC4-5D6E-409C-BE32-E72D297353CC}">
              <c16:uniqueId val="{00000001-6B2F-4451-B93F-826FDF87A103}"/>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'RIFvMIF(Scenario2)'!$E$4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'RIFvMIF(Scenario2)'!$D$5:$D$12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'RIFvMIF(Scenario2)'!$E$5:$E$12</c:f>
              <c:numCache>
                <c:formatCode>"$"#,##0</c:formatCode>
                <c:ptCount val="8"/>
                <c:pt idx="0">
                  <c:v>9543.67</c:v>
                </c:pt>
                <c:pt idx="1">
                  <c:v>9543.67</c:v>
                </c:pt>
                <c:pt idx="2">
                  <c:v>9543.67</c:v>
                </c:pt>
                <c:pt idx="4">
                  <c:v>10096</c:v>
                </c:pt>
                <c:pt idx="5">
                  <c:v>10096</c:v>
                </c:pt>
                <c:pt idx="6">
                  <c:v>10096</c:v>
                </c:pt>
                <c:pt idx="7">
                  <c:v>10096</c:v>
                </c:pt>
              </c:numCache>
            </c:numRef>
          </c:val>
          <c:smooth val="0"/>
          <c:extLst>
            <c:ext xmlns:c16="http://schemas.microsoft.com/office/drawing/2014/chart" uri="{C3380CC4-5D6E-409C-BE32-E72D297353CC}">
              <c16:uniqueId val="{00000003-6B2F-4451-B93F-826FDF87A103}"/>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(Scenario1)'!$F$4</c:f>
              <c:strCache>
                <c:ptCount val="1"/>
                <c:pt idx="0">
                  <c:v>Road</c:v>
                </c:pt>
              </c:strCache>
            </c:strRef>
          </c:tx>
          <c:spPr>
            <a:solidFill>
              <a:schemeClr val="accent6"/>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(Scenario1)'!$F$5:$F$10</c:f>
              <c:numCache>
                <c:formatCode>"$"#,##0</c:formatCode>
                <c:ptCount val="6"/>
                <c:pt idx="0">
                  <c:v>7843.4177405852297</c:v>
                </c:pt>
                <c:pt idx="1">
                  <c:v>8623.2698278700536</c:v>
                </c:pt>
                <c:pt idx="2">
                  <c:v>8799.187086988959</c:v>
                </c:pt>
                <c:pt idx="4">
                  <c:v>9218.4896179009975</c:v>
                </c:pt>
                <c:pt idx="5">
                  <c:v>7980.1108238479956</c:v>
                </c:pt>
              </c:numCache>
            </c:numRef>
          </c:val>
          <c:extLst>
            <c:ext xmlns:c16="http://schemas.microsoft.com/office/drawing/2014/chart" uri="{C3380CC4-5D6E-409C-BE32-E72D297353CC}">
              <c16:uniqueId val="{00000000-A06E-451D-BDDA-4385C1485A8C}"/>
            </c:ext>
          </c:extLst>
        </c:ser>
        <c:ser>
          <c:idx val="1"/>
          <c:order val="1"/>
          <c:tx>
            <c:strRef>
              <c:f>'RIFvMIF (Scenario1)'!$G$4</c:f>
              <c:strCache>
                <c:ptCount val="1"/>
                <c:pt idx="0">
                  <c:v>Transit</c:v>
                </c:pt>
              </c:strCache>
            </c:strRef>
          </c:tx>
          <c:spPr>
            <a:solidFill>
              <a:schemeClr val="accent5"/>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(Scenario1)'!$G$5:$G$10</c:f>
              <c:numCache>
                <c:formatCode>"$"#,##0</c:formatCode>
                <c:ptCount val="6"/>
                <c:pt idx="0">
                  <c:v>1697.7333630332978</c:v>
                </c:pt>
                <c:pt idx="1">
                  <c:v>1706.5044396130345</c:v>
                </c:pt>
                <c:pt idx="2">
                  <c:v>433.83739163209788</c:v>
                </c:pt>
                <c:pt idx="4">
                  <c:v>975.91493004221707</c:v>
                </c:pt>
                <c:pt idx="5">
                  <c:v>1527.5477625441074</c:v>
                </c:pt>
              </c:numCache>
            </c:numRef>
          </c:val>
          <c:extLst>
            <c:ext xmlns:c16="http://schemas.microsoft.com/office/drawing/2014/chart" uri="{C3380CC4-5D6E-409C-BE32-E72D297353CC}">
              <c16:uniqueId val="{00000001-A06E-451D-BDDA-4385C1485A8C}"/>
            </c:ext>
          </c:extLst>
        </c:ser>
        <c:ser>
          <c:idx val="2"/>
          <c:order val="2"/>
          <c:tx>
            <c:strRef>
              <c:f>'RIFvMIF (Scenario1)'!$H$4</c:f>
              <c:strCache>
                <c:ptCount val="1"/>
                <c:pt idx="0">
                  <c:v>Walk Bike</c:v>
                </c:pt>
              </c:strCache>
            </c:strRef>
          </c:tx>
          <c:spPr>
            <a:solidFill>
              <a:schemeClr val="accent4"/>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(Scenario1)'!$H$5:$H$10</c:f>
              <c:numCache>
                <c:formatCode>"$"#,##0</c:formatCode>
                <c:ptCount val="6"/>
                <c:pt idx="0">
                  <c:v>110.50661530115225</c:v>
                </c:pt>
                <c:pt idx="1">
                  <c:v>73.462901705404533</c:v>
                </c:pt>
                <c:pt idx="2">
                  <c:v>70.17684694915144</c:v>
                </c:pt>
                <c:pt idx="4">
                  <c:v>44.474496941823112</c:v>
                </c:pt>
                <c:pt idx="5">
                  <c:v>42.390266636781412</c:v>
                </c:pt>
              </c:numCache>
            </c:numRef>
          </c:val>
          <c:extLst>
            <c:ext xmlns:c16="http://schemas.microsoft.com/office/drawing/2014/chart" uri="{C3380CC4-5D6E-409C-BE32-E72D297353CC}">
              <c16:uniqueId val="{00000002-A06E-451D-BDDA-4385C1485A8C}"/>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A06E-451D-BDDA-4385C1485A8C}"/>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(Scenario1)'!$F$4</c:f>
              <c:strCache>
                <c:ptCount val="1"/>
                <c:pt idx="0">
                  <c:v>Road</c:v>
                </c:pt>
              </c:strCache>
            </c:strRef>
          </c:tx>
          <c:spPr>
            <a:solidFill>
              <a:schemeClr val="accent1"/>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(Scenario1)'!$F$10:$F$12</c:f>
              <c:numCache>
                <c:formatCode>"$"#,##0</c:formatCode>
                <c:ptCount val="3"/>
                <c:pt idx="0">
                  <c:v>7980.1108238479956</c:v>
                </c:pt>
                <c:pt idx="1">
                  <c:v>9765.153041384101</c:v>
                </c:pt>
                <c:pt idx="2">
                  <c:v>10073.363921374925</c:v>
                </c:pt>
              </c:numCache>
            </c:numRef>
          </c:val>
          <c:extLst>
            <c:ext xmlns:c16="http://schemas.microsoft.com/office/drawing/2014/chart" uri="{C3380CC4-5D6E-409C-BE32-E72D297353CC}">
              <c16:uniqueId val="{00000000-137D-4DA9-9C4D-2611A8CB50B2}"/>
            </c:ext>
          </c:extLst>
        </c:ser>
        <c:ser>
          <c:idx val="1"/>
          <c:order val="1"/>
          <c:tx>
            <c:strRef>
              <c:f>'RIFvMIF (Scenario1)'!$G$4</c:f>
              <c:strCache>
                <c:ptCount val="1"/>
                <c:pt idx="0">
                  <c:v>Transit</c:v>
                </c:pt>
              </c:strCache>
            </c:strRef>
          </c:tx>
          <c:spPr>
            <a:solidFill>
              <a:schemeClr val="accent2"/>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(Scenario1)'!$G$10:$G$12</c:f>
              <c:numCache>
                <c:formatCode>"$"#,##0</c:formatCode>
                <c:ptCount val="3"/>
                <c:pt idx="0">
                  <c:v>1527.5477625441074</c:v>
                </c:pt>
                <c:pt idx="1">
                  <c:v>157.63010553404891</c:v>
                </c:pt>
                <c:pt idx="2">
                  <c:v>607.34970997571668</c:v>
                </c:pt>
              </c:numCache>
            </c:numRef>
          </c:val>
          <c:extLst>
            <c:ext xmlns:c16="http://schemas.microsoft.com/office/drawing/2014/chart" uri="{C3380CC4-5D6E-409C-BE32-E72D297353CC}">
              <c16:uniqueId val="{00000001-137D-4DA9-9C4D-2611A8CB50B2}"/>
            </c:ext>
          </c:extLst>
        </c:ser>
        <c:ser>
          <c:idx val="2"/>
          <c:order val="2"/>
          <c:tx>
            <c:strRef>
              <c:f>'RIFvMIF (Scenario1)'!$H$4</c:f>
              <c:strCache>
                <c:ptCount val="1"/>
                <c:pt idx="0">
                  <c:v>Walk Bike</c:v>
                </c:pt>
              </c:strCache>
            </c:strRef>
          </c:tx>
          <c:spPr>
            <a:solidFill>
              <a:schemeClr val="accent3"/>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(Scenario1)'!$H$10:$H$12</c:f>
              <c:numCache>
                <c:formatCode>"$"#,##0</c:formatCode>
                <c:ptCount val="3"/>
                <c:pt idx="0">
                  <c:v>42.390266636781412</c:v>
                </c:pt>
                <c:pt idx="1">
                  <c:v>69.007235103160085</c:v>
                </c:pt>
                <c:pt idx="2">
                  <c:v>38.850955490641837</c:v>
                </c:pt>
              </c:numCache>
            </c:numRef>
          </c:val>
          <c:extLst>
            <c:ext xmlns:c16="http://schemas.microsoft.com/office/drawing/2014/chart" uri="{C3380CC4-5D6E-409C-BE32-E72D297353CC}">
              <c16:uniqueId val="{00000002-137D-4DA9-9C4D-2611A8CB50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137D-4DA9-9C4D-2611A8CB50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'RIFvMIF(Scenario2)'!$N$4</c:f>
              <c:strCache>
                <c:ptCount val="1"/>
                <c:pt idx="0">
                  <c:v>Road</c:v>
                </c:pt>
              </c:strCache>
            </c:strRef>
          </c:tx>
          <c:spPr>
            <a:solidFill>
              <a:schemeClr val="accent5"/>
            </a:solidFill>
            <a:ln>
              <a:noFill/>
            </a:ln>
            <a:effectLst/>
          </c:spPr>
          <c:invertIfNegative val="0"/>
          <c:cat>
            <c:strRef>
              <c:f>'RIFvMIF(Scenario2)'!$L$5:$L$12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'RIFvMIF(Scenario2)'!$N$5:$N$12</c:f>
              <c:numCache>
                <c:formatCode>"$"#,##0</c:formatCode>
                <c:ptCount val="8"/>
                <c:pt idx="0">
                  <c:v>3697.3738289835037</c:v>
                </c:pt>
                <c:pt idx="1">
                  <c:v>4064.9947811463717</c:v>
                </c:pt>
                <c:pt idx="2">
                  <c:v>4147.9218789301776</c:v>
                </c:pt>
                <c:pt idx="4">
                  <c:v>4345.5803813198563</c:v>
                </c:pt>
                <c:pt idx="5">
                  <c:v>3761.8107167503804</c:v>
                </c:pt>
                <c:pt idx="6">
                  <c:v>4603.2765926016173</c:v>
                </c:pt>
                <c:pt idx="7">
                  <c:v>4748.5666790379682</c:v>
                </c:pt>
              </c:numCache>
            </c:numRef>
          </c:val>
          <c:extLst>
            <c:ext xmlns:c16="http://schemas.microsoft.com/office/drawing/2014/chart" uri="{C3380CC4-5D6E-409C-BE32-E72D297353CC}">
              <c16:uniqueId val="{00000000-1DB0-449C-9812-B1CE228FE784}"/>
            </c:ext>
          </c:extLst>
        </c:ser>
        <c:ser>
          <c:idx val="3"/>
          <c:order val="2"/>
          <c:tx>
            <c:strRef>
              <c:f>'RIFvMIF(Scenario2)'!$P$4</c:f>
              <c:strCache>
                <c:ptCount val="1"/>
                <c:pt idx="0">
                  <c:v>Walk Bike</c:v>
                </c:pt>
              </c:strCache>
            </c:strRef>
          </c:tx>
          <c:spPr>
            <a:solidFill>
              <a:schemeClr val="accent6">
                <a:lumMod val="60000"/>
              </a:schemeClr>
            </a:solidFill>
            <a:ln>
              <a:noFill/>
            </a:ln>
            <a:effectLst/>
          </c:spPr>
          <c:invertIfNegative val="0"/>
          <c:cat>
            <c:strRef>
              <c:f>'RIFvMIF(Scenario2)'!$L$5:$L$12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'RIFvMIF(Scenario2)'!$P$5:$P$12</c:f>
              <c:numCache>
                <c:formatCode>"$"#,##0</c:formatCode>
                <c:ptCount val="8"/>
                <c:pt idx="0">
                  <c:v>52.092631153615216</c:v>
                </c:pt>
                <c:pt idx="1">
                  <c:v>34.630287350534992</c:v>
                </c:pt>
                <c:pt idx="2">
                  <c:v>33.081246708021609</c:v>
                </c:pt>
                <c:pt idx="4">
                  <c:v>20.965202477872129</c:v>
                </c:pt>
                <c:pt idx="5">
                  <c:v>19.982699844669213</c:v>
                </c:pt>
                <c:pt idx="6">
                  <c:v>32.529893666214242</c:v>
                </c:pt>
                <c:pt idx="7">
                  <c:v>18.314274569211459</c:v>
                </c:pt>
              </c:numCache>
            </c:numRef>
          </c:val>
          <c:extLst>
            <c:ext xmlns:c16="http://schemas.microsoft.com/office/drawing/2014/chart" uri="{C3380CC4-5D6E-409C-BE32-E72D297353CC}">
              <c16:uniqueId val="{00000002-1DB0-449C-9812-B1CE228FE784}"/>
            </c:ext>
          </c:extLst>
        </c:ser>
        <c:ser>
          <c:idx val="2"/>
          <c:order val="3"/>
          <c:tx>
            <c:strRef>
              <c:f>'RIFvMIF(Scenario2)'!$O$4</c:f>
              <c:strCache>
                <c:ptCount val="1"/>
                <c:pt idx="0">
                  <c:v>Transit</c:v>
                </c:pt>
              </c:strCache>
            </c:strRef>
          </c:tx>
          <c:spPr>
            <a:solidFill>
              <a:schemeClr val="accent4"/>
            </a:solidFill>
            <a:ln>
              <a:noFill/>
            </a:ln>
            <a:effectLst/>
          </c:spPr>
          <c:invertIfNegative val="0"/>
          <c:cat>
            <c:strRef>
              <c:f>'RIFvMIF(Scenario2)'!$L$5:$L$12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'RIFvMIF(Scenario2)'!$O$5:$O$12</c:f>
              <c:numCache>
                <c:formatCode>"$"#,##0</c:formatCode>
                <c:ptCount val="8"/>
                <c:pt idx="0">
                  <c:v>400.15431490986106</c:v>
                </c:pt>
                <c:pt idx="1">
                  <c:v>402.22165022658925</c:v>
                </c:pt>
                <c:pt idx="2">
                  <c:v>102.25510554887903</c:v>
                </c:pt>
                <c:pt idx="4">
                  <c:v>230.02232196439971</c:v>
                </c:pt>
                <c:pt idx="5">
                  <c:v>360.04171309964408</c:v>
                </c:pt>
                <c:pt idx="6">
                  <c:v>37.153282289540137</c:v>
                </c:pt>
                <c:pt idx="7">
                  <c:v>143.1518119381324</c:v>
                </c:pt>
              </c:numCache>
            </c:numRef>
          </c:val>
          <c:extLst>
            <c:ext xmlns:c16="http://schemas.microsoft.com/office/drawing/2014/chart" uri="{C3380CC4-5D6E-409C-BE32-E72D297353CC}">
              <c16:uniqueId val="{00000001-1DB0-449C-9812-B1CE228FE78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'RIFvMIF(Scenario2)'!$M$4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'RIFvMIF(Scenario2)'!$L$5:$L$12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'RIFvMIF(Scenario2)'!$M$5:$M$12</c:f>
              <c:numCache>
                <c:formatCode>"$"#,##0</c:formatCode>
                <c:ptCount val="8"/>
                <c:pt idx="0">
                  <c:v>4188.18</c:v>
                </c:pt>
                <c:pt idx="1">
                  <c:v>4188.18</c:v>
                </c:pt>
                <c:pt idx="2">
                  <c:v>4188.18</c:v>
                </c:pt>
                <c:pt idx="4">
                  <c:v>4430.5665723982493</c:v>
                </c:pt>
                <c:pt idx="5">
                  <c:v>4430.5665723982493</c:v>
                </c:pt>
                <c:pt idx="6">
                  <c:v>4430.5665723982493</c:v>
                </c:pt>
                <c:pt idx="7">
                  <c:v>4430.5665723982493</c:v>
                </c:pt>
              </c:numCache>
            </c:numRef>
          </c:val>
          <c:smooth val="0"/>
          <c:extLst>
            <c:ext xmlns:c16="http://schemas.microsoft.com/office/drawing/2014/chart" uri="{C3380CC4-5D6E-409C-BE32-E72D297353CC}">
              <c16:uniqueId val="{00000003-1DB0-449C-9812-B1CE228FE78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'RIFvMIF(Scenario2)'!$V$4</c:f>
              <c:strCache>
                <c:ptCount val="1"/>
                <c:pt idx="0">
                  <c:v>Road</c:v>
                </c:pt>
              </c:strCache>
            </c:strRef>
          </c:tx>
          <c:spPr>
            <a:solidFill>
              <a:schemeClr val="accent5"/>
            </a:solidFill>
            <a:ln>
              <a:noFill/>
            </a:ln>
            <a:effectLst/>
          </c:spPr>
          <c:invertIfNegative val="0"/>
          <c:cat>
            <c:strRef>
              <c:f>'RIFvMIF(Scenario2)'!$T$5:$T$12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'RIFvMIF(Scenario2)'!$V$5:$V$12</c:f>
              <c:numCache>
                <c:formatCode>"$"#,##0</c:formatCode>
                <c:ptCount val="8"/>
                <c:pt idx="0">
                  <c:v>8998.6743192378799</c:v>
                </c:pt>
                <c:pt idx="1">
                  <c:v>12084.042617697605</c:v>
                </c:pt>
                <c:pt idx="2">
                  <c:v>12349.330733972771</c:v>
                </c:pt>
                <c:pt idx="4">
                  <c:v>13036.612294274757</c:v>
                </c:pt>
                <c:pt idx="5">
                  <c:v>11322.869046266578</c:v>
                </c:pt>
                <c:pt idx="6">
                  <c:v>13737.14197762925</c:v>
                </c:pt>
                <c:pt idx="7">
                  <c:v>14148.735260870493</c:v>
                </c:pt>
              </c:numCache>
            </c:numRef>
          </c:val>
          <c:extLst>
            <c:ext xmlns:c16="http://schemas.microsoft.com/office/drawing/2014/chart" uri="{C3380CC4-5D6E-409C-BE32-E72D297353CC}">
              <c16:uniqueId val="{00000000-ECFC-4B76-93A1-A8B7C6A5B329}"/>
            </c:ext>
          </c:extLst>
        </c:ser>
        <c:ser>
          <c:idx val="3"/>
          <c:order val="2"/>
          <c:tx>
            <c:strRef>
              <c:f>'RIFvMIF(Scenario2)'!$X$4</c:f>
              <c:strCache>
                <c:ptCount val="1"/>
                <c:pt idx="0">
                  <c:v>Walk Bike</c:v>
                </c:pt>
              </c:strCache>
            </c:strRef>
          </c:tx>
          <c:spPr>
            <a:solidFill>
              <a:schemeClr val="accent6">
                <a:lumMod val="60000"/>
              </a:schemeClr>
            </a:solidFill>
            <a:ln>
              <a:noFill/>
            </a:ln>
            <a:effectLst/>
          </c:spPr>
          <c:invertIfNegative val="0"/>
          <c:cat>
            <c:strRef>
              <c:f>'RIFvMIF(Scenario2)'!$T$5:$T$12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'RIFvMIF(Scenario2)'!$X$5:$X$12</c:f>
              <c:numCache>
                <c:formatCode>"$"#,##0</c:formatCode>
                <c:ptCount val="8"/>
                <c:pt idx="0">
                  <c:v>192.26570766961737</c:v>
                </c:pt>
                <c:pt idx="1">
                  <c:v>103.03272532983547</c:v>
                </c:pt>
                <c:pt idx="2">
                  <c:v>99.068405621608051</c:v>
                </c:pt>
                <c:pt idx="4">
                  <c:v>62.648977103656335</c:v>
                </c:pt>
                <c:pt idx="5">
                  <c:v>60.060368628548545</c:v>
                </c:pt>
                <c:pt idx="6">
                  <c:v>96.930976415558547</c:v>
                </c:pt>
                <c:pt idx="7">
                  <c:v>54.490762223143399</c:v>
                </c:pt>
              </c:numCache>
            </c:numRef>
          </c:val>
          <c:extLst>
            <c:ext xmlns:c16="http://schemas.microsoft.com/office/drawing/2014/chart" uri="{C3380CC4-5D6E-409C-BE32-E72D297353CC}">
              <c16:uniqueId val="{00000002-ECFC-4B76-93A1-A8B7C6A5B329}"/>
            </c:ext>
          </c:extLst>
        </c:ser>
        <c:ser>
          <c:idx val="2"/>
          <c:order val="3"/>
          <c:tx>
            <c:strRef>
              <c:f>'RIFvMIF(Scenario2)'!$W$4</c:f>
              <c:strCache>
                <c:ptCount val="1"/>
                <c:pt idx="0">
                  <c:v>Transit</c:v>
                </c:pt>
              </c:strCache>
            </c:strRef>
          </c:tx>
          <c:spPr>
            <a:solidFill>
              <a:schemeClr val="accent4"/>
            </a:solidFill>
            <a:ln>
              <a:noFill/>
            </a:ln>
            <a:effectLst/>
          </c:spPr>
          <c:invertIfNegative val="0"/>
          <c:cat>
            <c:strRef>
              <c:f>'RIFvMIF(Scenario2)'!$T$5:$T$12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'RIFvMIF(Scenario2)'!$W$5:$W$12</c:f>
              <c:numCache>
                <c:formatCode>"$"#,##0</c:formatCode>
                <c:ptCount val="8"/>
                <c:pt idx="0">
                  <c:v>1530.1121326029108</c:v>
                </c:pt>
                <c:pt idx="1">
                  <c:v>1192.264491342783</c:v>
                </c:pt>
                <c:pt idx="2">
                  <c:v>304.28220717989922</c:v>
                </c:pt>
                <c:pt idx="4">
                  <c:v>697.71788131950029</c:v>
                </c:pt>
                <c:pt idx="5">
                  <c:v>1111.6324494773803</c:v>
                </c:pt>
                <c:pt idx="6">
                  <c:v>111.25602217705361</c:v>
                </c:pt>
                <c:pt idx="7">
                  <c:v>439.4876305393168</c:v>
                </c:pt>
              </c:numCache>
            </c:numRef>
          </c:val>
          <c:extLst>
            <c:ext xmlns:c16="http://schemas.microsoft.com/office/drawing/2014/chart" uri="{C3380CC4-5D6E-409C-BE32-E72D297353CC}">
              <c16:uniqueId val="{00000001-ECFC-4B76-93A1-A8B7C6A5B329}"/>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'RIFvMIF(Scenario2)'!$U$4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'RIFvMIF(Scenario2)'!$T$5:$T$12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'RIFvMIF(Scenario2)'!$U$5:$U$12</c:f>
              <c:numCache>
                <c:formatCode>"$"#,##0</c:formatCode>
                <c:ptCount val="8"/>
                <c:pt idx="0">
                  <c:v>13259.2</c:v>
                </c:pt>
                <c:pt idx="1">
                  <c:v>13259.2</c:v>
                </c:pt>
                <c:pt idx="2">
                  <c:v>13259.2</c:v>
                </c:pt>
                <c:pt idx="4">
                  <c:v>14022</c:v>
                </c:pt>
                <c:pt idx="5">
                  <c:v>14022</c:v>
                </c:pt>
                <c:pt idx="6">
                  <c:v>14022</c:v>
                </c:pt>
                <c:pt idx="7">
                  <c:v>14022</c:v>
                </c:pt>
              </c:numCache>
            </c:numRef>
          </c:val>
          <c:smooth val="0"/>
          <c:extLst>
            <c:ext xmlns:c16="http://schemas.microsoft.com/office/drawing/2014/chart" uri="{C3380CC4-5D6E-409C-BE32-E72D297353CC}">
              <c16:uniqueId val="{00000003-ECFC-4B76-93A1-A8B7C6A5B329}"/>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0"/>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'RIFvMIF(Scenario2)'!$AD$4</c:f>
              <c:strCache>
                <c:ptCount val="1"/>
                <c:pt idx="0">
                  <c:v>Road</c:v>
                </c:pt>
              </c:strCache>
            </c:strRef>
          </c:tx>
          <c:spPr>
            <a:solidFill>
              <a:schemeClr val="accent5"/>
            </a:solidFill>
            <a:ln>
              <a:noFill/>
            </a:ln>
            <a:effectLst/>
          </c:spPr>
          <c:invertIfNegative val="0"/>
          <c:cat>
            <c:strRef>
              <c:f>'RIFvMIF(Scenario2)'!$AB$5:$AB$12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'RIFvMIF(Scenario2)'!$AD$5:$AD$12</c:f>
              <c:numCache>
                <c:formatCode>"$"#,##0</c:formatCode>
                <c:ptCount val="8"/>
                <c:pt idx="0">
                  <c:v>9718.2062543462307</c:v>
                </c:pt>
                <c:pt idx="1">
                  <c:v>13050.279894454625</c:v>
                </c:pt>
                <c:pt idx="2">
                  <c:v>13336.780387674762</c:v>
                </c:pt>
                <c:pt idx="4">
                  <c:v>14079.016823940106</c:v>
                </c:pt>
                <c:pt idx="5">
                  <c:v>12228.243058794311</c:v>
                </c:pt>
                <c:pt idx="6">
                  <c:v>14835.560700139351</c:v>
                </c:pt>
                <c:pt idx="7">
                  <c:v>15280.064887927396</c:v>
                </c:pt>
              </c:numCache>
            </c:numRef>
          </c:val>
          <c:extLst>
            <c:ext xmlns:c16="http://schemas.microsoft.com/office/drawing/2014/chart" uri="{C3380CC4-5D6E-409C-BE32-E72D297353CC}">
              <c16:uniqueId val="{00000000-271B-4C0D-B54A-D4E9429D2E9A}"/>
            </c:ext>
          </c:extLst>
        </c:ser>
        <c:ser>
          <c:idx val="3"/>
          <c:order val="2"/>
          <c:tx>
            <c:strRef>
              <c:f>'RIFvMIF(Scenario2)'!$AF$4</c:f>
              <c:strCache>
                <c:ptCount val="1"/>
                <c:pt idx="0">
                  <c:v>Walk Bike</c:v>
                </c:pt>
              </c:strCache>
            </c:strRef>
          </c:tx>
          <c:spPr>
            <a:solidFill>
              <a:schemeClr val="accent6">
                <a:lumMod val="60000"/>
              </a:schemeClr>
            </a:solidFill>
            <a:ln>
              <a:noFill/>
            </a:ln>
            <a:effectLst/>
          </c:spPr>
          <c:invertIfNegative val="0"/>
          <c:cat>
            <c:strRef>
              <c:f>'RIFvMIF(Scenario2)'!$AB$5:$AB$12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'RIFvMIF(Scenario2)'!$AF$5:$AF$12</c:f>
              <c:numCache>
                <c:formatCode>"$"#,##0</c:formatCode>
                <c:ptCount val="8"/>
                <c:pt idx="0">
                  <c:v>207.6392295670309</c:v>
                </c:pt>
                <c:pt idx="1">
                  <c:v>111.27119842109661</c:v>
                </c:pt>
                <c:pt idx="2">
                  <c:v>104.22915029640636</c:v>
                </c:pt>
                <c:pt idx="4">
                  <c:v>67.658374947023376</c:v>
                </c:pt>
                <c:pt idx="5">
                  <c:v>64.862781931831705</c:v>
                </c:pt>
                <c:pt idx="6">
                  <c:v>104.68155506280708</c:v>
                </c:pt>
                <c:pt idx="7">
                  <c:v>58.847831075399412</c:v>
                </c:pt>
              </c:numCache>
            </c:numRef>
          </c:val>
          <c:extLst>
            <c:ext xmlns:c16="http://schemas.microsoft.com/office/drawing/2014/chart" uri="{C3380CC4-5D6E-409C-BE32-E72D297353CC}">
              <c16:uniqueId val="{00000002-271B-4C0D-B54A-D4E9429D2E9A}"/>
            </c:ext>
          </c:extLst>
        </c:ser>
        <c:ser>
          <c:idx val="2"/>
          <c:order val="3"/>
          <c:tx>
            <c:strRef>
              <c:f>'RIFvMIF(Scenario2)'!$AE$4</c:f>
              <c:strCache>
                <c:ptCount val="1"/>
                <c:pt idx="0">
                  <c:v>Transit</c:v>
                </c:pt>
              </c:strCache>
            </c:strRef>
          </c:tx>
          <c:spPr>
            <a:solidFill>
              <a:schemeClr val="accent4"/>
            </a:solidFill>
            <a:ln>
              <a:noFill/>
            </a:ln>
            <a:effectLst/>
          </c:spPr>
          <c:invertIfNegative val="0"/>
          <c:cat>
            <c:strRef>
              <c:f>'RIFvMIF(Scenario2)'!$AB$5:$AB$12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'RIFvMIF(Scenario2)'!$AE$5:$AE$12</c:f>
              <c:numCache>
                <c:formatCode>"$"#,##0</c:formatCode>
                <c:ptCount val="8"/>
                <c:pt idx="0">
                  <c:v>1652.4595478606045</c:v>
                </c:pt>
                <c:pt idx="1">
                  <c:v>1287.5976866761043</c:v>
                </c:pt>
                <c:pt idx="2">
                  <c:v>328.61254269200117</c:v>
                </c:pt>
                <c:pt idx="4">
                  <c:v>753.5072431182989</c:v>
                </c:pt>
                <c:pt idx="5">
                  <c:v>1200.518325232626</c:v>
                </c:pt>
                <c:pt idx="6">
                  <c:v>120.15202819855978</c:v>
                </c:pt>
                <c:pt idx="7">
                  <c:v>474.62896069970441</c:v>
                </c:pt>
              </c:numCache>
            </c:numRef>
          </c:val>
          <c:extLst>
            <c:ext xmlns:c16="http://schemas.microsoft.com/office/drawing/2014/chart" uri="{C3380CC4-5D6E-409C-BE32-E72D297353CC}">
              <c16:uniqueId val="{00000001-271B-4C0D-B54A-D4E9429D2E9A}"/>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'RIFvMIF(Scenario2)'!$AC$4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'RIFvMIF(Scenario2)'!$AB$5:$AB$12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'RIFvMIF(Scenario2)'!$AC$5:$AC$12</c:f>
              <c:numCache>
                <c:formatCode>"$"#,##0</c:formatCode>
                <c:ptCount val="8"/>
                <c:pt idx="0">
                  <c:v>13383.7</c:v>
                </c:pt>
                <c:pt idx="1">
                  <c:v>13383.7</c:v>
                </c:pt>
                <c:pt idx="2">
                  <c:v>13383.7</c:v>
                </c:pt>
                <c:pt idx="4">
                  <c:v>14857</c:v>
                </c:pt>
                <c:pt idx="5">
                  <c:v>14857</c:v>
                </c:pt>
                <c:pt idx="6">
                  <c:v>14857</c:v>
                </c:pt>
                <c:pt idx="7">
                  <c:v>14857</c:v>
                </c:pt>
              </c:numCache>
            </c:numRef>
          </c:val>
          <c:smooth val="0"/>
          <c:extLst>
            <c:ext xmlns:c16="http://schemas.microsoft.com/office/drawing/2014/chart" uri="{C3380CC4-5D6E-409C-BE32-E72D297353CC}">
              <c16:uniqueId val="{00000003-271B-4C0D-B54A-D4E9429D2E9A}"/>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Warehousing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(Scenario1)'!$AL$4</c:f>
              <c:strCache>
                <c:ptCount val="1"/>
                <c:pt idx="0">
                  <c:v>Road</c:v>
                </c:pt>
              </c:strCache>
            </c:strRef>
          </c:tx>
          <c:spPr>
            <a:solidFill>
              <a:schemeClr val="accent5"/>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(Scenario1)'!$AL$5:$AL$12</c:f>
              <c:numCache>
                <c:formatCode>"$"#,##0</c:formatCode>
                <c:ptCount val="8"/>
                <c:pt idx="0">
                  <c:v>1179.3160191465954</c:v>
                </c:pt>
                <c:pt idx="1">
                  <c:v>1583.6671635770333</c:v>
                </c:pt>
                <c:pt idx="2">
                  <c:v>1618.4343430652029</c:v>
                </c:pt>
                <c:pt idx="4">
                  <c:v>1483.9120047287395</c:v>
                </c:pt>
                <c:pt idx="5">
                  <c:v>1483.9120047287395</c:v>
                </c:pt>
                <c:pt idx="6">
                  <c:v>1800.3131368889647</c:v>
                </c:pt>
                <c:pt idx="7">
                  <c:v>1854.2542547780552</c:v>
                </c:pt>
              </c:numCache>
            </c:numRef>
          </c:val>
          <c:extLst>
            <c:ext xmlns:c16="http://schemas.microsoft.com/office/drawing/2014/chart" uri="{C3380CC4-5D6E-409C-BE32-E72D297353CC}">
              <c16:uniqueId val="{00000000-C80D-49ED-85C8-CE787E9EB361}"/>
            </c:ext>
          </c:extLst>
        </c:ser>
        <c:ser>
          <c:idx val="3"/>
          <c:order val="2"/>
          <c:tx>
            <c:strRef>
              <c:f>'RIFvMIF (Scenario1)'!$AN$4</c:f>
              <c:strCache>
                <c:ptCount val="1"/>
                <c:pt idx="0">
                  <c:v>Walk Bike</c:v>
                </c:pt>
              </c:strCache>
            </c:strRef>
          </c:tx>
          <c:spPr>
            <a:solidFill>
              <a:schemeClr val="accent6">
                <a:lumMod val="60000"/>
              </a:schemeClr>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(Scenario1)'!$AN$5:$AN$12</c:f>
              <c:numCache>
                <c:formatCode>"$"#,##0</c:formatCode>
                <c:ptCount val="8"/>
                <c:pt idx="0">
                  <c:v>25.197270280422764</c:v>
                </c:pt>
                <c:pt idx="1">
                  <c:v>13.502893778257883</c:v>
                </c:pt>
                <c:pt idx="2">
                  <c:v>12.983352169008144</c:v>
                </c:pt>
                <c:pt idx="4">
                  <c:v>7.8711766118785063</c:v>
                </c:pt>
                <c:pt idx="5">
                  <c:v>7.8711766118785063</c:v>
                </c:pt>
                <c:pt idx="6">
                  <c:v>12.703232629944811</c:v>
                </c:pt>
                <c:pt idx="7">
                  <c:v>7.141255089972371</c:v>
                </c:pt>
              </c:numCache>
            </c:numRef>
          </c:val>
          <c:extLst>
            <c:ext xmlns:c16="http://schemas.microsoft.com/office/drawing/2014/chart" uri="{C3380CC4-5D6E-409C-BE32-E72D297353CC}">
              <c16:uniqueId val="{00000002-C80D-49ED-85C8-CE787E9EB361}"/>
            </c:ext>
          </c:extLst>
        </c:ser>
        <c:ser>
          <c:idx val="2"/>
          <c:order val="3"/>
          <c:tx>
            <c:strRef>
              <c:f>'RIFvMIF (Scenario1)'!$AM$4</c:f>
              <c:strCache>
                <c:ptCount val="1"/>
                <c:pt idx="0">
                  <c:v>Transit</c:v>
                </c:pt>
              </c:strCache>
            </c:strRef>
          </c:tx>
          <c:spPr>
            <a:solidFill>
              <a:schemeClr val="accent4"/>
            </a:solidFill>
            <a:ln>
              <a:noFill/>
            </a:ln>
            <a:effectLst/>
          </c:spPr>
          <c:invertIfNegative val="0"/>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(Scenario1)'!$AM$5:$AM$12</c:f>
              <c:numCache>
                <c:formatCode>"$"#,##0</c:formatCode>
                <c:ptCount val="8"/>
                <c:pt idx="0">
                  <c:v>401.0559078044285</c:v>
                </c:pt>
                <c:pt idx="1">
                  <c:v>312.50305629891795</c:v>
                </c:pt>
                <c:pt idx="2">
                  <c:v>79.755054697641228</c:v>
                </c:pt>
                <c:pt idx="4">
                  <c:v>291.3686857783452</c:v>
                </c:pt>
                <c:pt idx="5">
                  <c:v>291.3686857783452</c:v>
                </c:pt>
                <c:pt idx="6">
                  <c:v>29.161186309283028</c:v>
                </c:pt>
                <c:pt idx="7">
                  <c:v>115.19359063895814</c:v>
                </c:pt>
              </c:numCache>
            </c:numRef>
          </c:val>
          <c:extLst>
            <c:ext xmlns:c16="http://schemas.microsoft.com/office/drawing/2014/chart" uri="{C3380CC4-5D6E-409C-BE32-E72D297353CC}">
              <c16:uniqueId val="{00000001-C80D-49ED-85C8-CE787E9EB361}"/>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(Scenario1)'!$AK$4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(Scenario1)'!$AK$5:$AK$12</c:f>
              <c:numCache>
                <c:formatCode>"$"#,##0</c:formatCode>
                <c:ptCount val="8"/>
                <c:pt idx="0">
                  <c:v>5002.3</c:v>
                </c:pt>
                <c:pt idx="1">
                  <c:v>5002.3</c:v>
                </c:pt>
                <c:pt idx="2">
                  <c:v>5002.3</c:v>
                </c:pt>
                <c:pt idx="4">
                  <c:v>5552.9615203568519</c:v>
                </c:pt>
                <c:pt idx="5">
                  <c:v>5552.9615203568519</c:v>
                </c:pt>
                <c:pt idx="6">
                  <c:v>5552.9615203568519</c:v>
                </c:pt>
                <c:pt idx="7">
                  <c:v>5552.9615203568519</c:v>
                </c:pt>
              </c:numCache>
            </c:numRef>
          </c:val>
          <c:smooth val="0"/>
          <c:extLst>
            <c:ext xmlns:c16="http://schemas.microsoft.com/office/drawing/2014/chart" uri="{C3380CC4-5D6E-409C-BE32-E72D297353CC}">
              <c16:uniqueId val="{00000003-C80D-49ED-85C8-CE787E9EB361}"/>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'RIFvMIF(Scenario3)'!$F$4</c:f>
              <c:strCache>
                <c:ptCount val="1"/>
                <c:pt idx="0">
                  <c:v>Road</c:v>
                </c:pt>
              </c:strCache>
            </c:strRef>
          </c:tx>
          <c:spPr>
            <a:solidFill>
              <a:schemeClr val="accent5"/>
            </a:solidFill>
            <a:ln>
              <a:noFill/>
            </a:ln>
            <a:effectLst/>
          </c:spPr>
          <c:invertIfNegative val="0"/>
          <c:cat>
            <c:strRef>
              <c:f>'RIFvMIF(Scenario3)'!$D$5:$D$12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'RIFvMIF(Scenario3)'!$F$5:$F$12</c:f>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extLst>
            <c:ext xmlns:c16="http://schemas.microsoft.com/office/drawing/2014/chart" uri="{C3380CC4-5D6E-409C-BE32-E72D297353CC}">
              <c16:uniqueId val="{00000000-D780-4E8B-A647-BC6492CAB79D}"/>
            </c:ext>
          </c:extLst>
        </c:ser>
        <c:ser>
          <c:idx val="3"/>
          <c:order val="2"/>
          <c:tx>
            <c:strRef>
              <c:f>'RIFvMIF(Scenario3)'!$H$4</c:f>
              <c:strCache>
                <c:ptCount val="1"/>
                <c:pt idx="0">
                  <c:v>Walk Bike</c:v>
                </c:pt>
              </c:strCache>
            </c:strRef>
          </c:tx>
          <c:spPr>
            <a:solidFill>
              <a:schemeClr val="accent6">
                <a:lumMod val="60000"/>
              </a:schemeClr>
            </a:solidFill>
            <a:ln>
              <a:noFill/>
            </a:ln>
            <a:effectLst/>
          </c:spPr>
          <c:invertIfNegative val="0"/>
          <c:cat>
            <c:strRef>
              <c:f>'RIFvMIF(Scenario3)'!$D$5:$D$12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'RIFvMIF(Scenario3)'!$H$5:$H$12</c:f>
              <c:numCache>
                <c:formatCode>"$"#,##0</c:formatCode>
                <c:ptCount val="8"/>
                <c:pt idx="0">
                  <c:v>110.50661530115225</c:v>
                </c:pt>
                <c:pt idx="1">
                  <c:v>73.462901705404533</c:v>
                </c:pt>
                <c:pt idx="2">
                  <c:v>70.17684694915144</c:v>
                </c:pt>
                <c:pt idx="4">
                  <c:v>44.474496941823112</c:v>
                </c:pt>
                <c:pt idx="5">
                  <c:v>42.390266636781412</c:v>
                </c:pt>
                <c:pt idx="6">
                  <c:v>69.007235103160085</c:v>
                </c:pt>
                <c:pt idx="7">
                  <c:v>38.850955490641837</c:v>
                </c:pt>
              </c:numCache>
            </c:numRef>
          </c:val>
          <c:extLst>
            <c:ext xmlns:c16="http://schemas.microsoft.com/office/drawing/2014/chart" uri="{C3380CC4-5D6E-409C-BE32-E72D297353CC}">
              <c16:uniqueId val="{00000002-D780-4E8B-A647-BC6492CAB79D}"/>
            </c:ext>
          </c:extLst>
        </c:ser>
        <c:ser>
          <c:idx val="2"/>
          <c:order val="3"/>
          <c:tx>
            <c:strRef>
              <c:f>'RIFvMIF(Scenario3)'!$G$4</c:f>
              <c:strCache>
                <c:ptCount val="1"/>
                <c:pt idx="0">
                  <c:v>Transit</c:v>
                </c:pt>
              </c:strCache>
            </c:strRef>
          </c:tx>
          <c:spPr>
            <a:solidFill>
              <a:schemeClr val="accent4"/>
            </a:solidFill>
            <a:ln>
              <a:noFill/>
            </a:ln>
            <a:effectLst/>
          </c:spPr>
          <c:invertIfNegative val="0"/>
          <c:cat>
            <c:strRef>
              <c:f>'RIFvMIF(Scenario3)'!$D$5:$D$12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'RIFvMIF(Scenario3)'!$G$5:$G$12</c:f>
              <c:numCache>
                <c:formatCode>"$"#,##0</c:formatCode>
                <c:ptCount val="8"/>
                <c:pt idx="0">
                  <c:v>424.43334075832445</c:v>
                </c:pt>
                <c:pt idx="1">
                  <c:v>426.62610990325862</c:v>
                </c:pt>
                <c:pt idx="2">
                  <c:v>108.45934790802447</c:v>
                </c:pt>
                <c:pt idx="4">
                  <c:v>243.97873251055427</c:v>
                </c:pt>
                <c:pt idx="5">
                  <c:v>381.88694063602685</c:v>
                </c:pt>
                <c:pt idx="6">
                  <c:v>39.407526383512227</c:v>
                </c:pt>
                <c:pt idx="7">
                  <c:v>151.83742749392917</c:v>
                </c:pt>
              </c:numCache>
            </c:numRef>
          </c:val>
          <c:extLst>
            <c:ext xmlns:c16="http://schemas.microsoft.com/office/drawing/2014/chart" uri="{C3380CC4-5D6E-409C-BE32-E72D297353CC}">
              <c16:uniqueId val="{00000001-D780-4E8B-A647-BC6492CAB79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'RIFvMIF(Scenario3)'!$E$4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'RIFvMIF(Scenario3)'!$D$5:$D$12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'RIFvMIF(Scenario3)'!$E$5:$E$12</c:f>
              <c:numCache>
                <c:formatCode>"$"#,##0</c:formatCode>
                <c:ptCount val="8"/>
                <c:pt idx="0">
                  <c:v>9543.67</c:v>
                </c:pt>
                <c:pt idx="1">
                  <c:v>9543.67</c:v>
                </c:pt>
                <c:pt idx="2">
                  <c:v>9543.67</c:v>
                </c:pt>
                <c:pt idx="4">
                  <c:v>10096</c:v>
                </c:pt>
                <c:pt idx="5">
                  <c:v>10096</c:v>
                </c:pt>
                <c:pt idx="6">
                  <c:v>10096</c:v>
                </c:pt>
                <c:pt idx="7">
                  <c:v>10096</c:v>
                </c:pt>
              </c:numCache>
            </c:numRef>
          </c:val>
          <c:smooth val="0"/>
          <c:extLst>
            <c:ext xmlns:c16="http://schemas.microsoft.com/office/drawing/2014/chart" uri="{C3380CC4-5D6E-409C-BE32-E72D297353CC}">
              <c16:uniqueId val="{00000003-D780-4E8B-A647-BC6492CAB79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(Scenario1)'!$F$4</c:f>
              <c:strCache>
                <c:ptCount val="1"/>
                <c:pt idx="0">
                  <c:v>Road</c:v>
                </c:pt>
              </c:strCache>
            </c:strRef>
          </c:tx>
          <c:spPr>
            <a:solidFill>
              <a:schemeClr val="accent6"/>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(Scenario1)'!$F$5:$F$10</c:f>
              <c:numCache>
                <c:formatCode>"$"#,##0</c:formatCode>
                <c:ptCount val="6"/>
                <c:pt idx="0">
                  <c:v>7843.4177405852297</c:v>
                </c:pt>
                <c:pt idx="1">
                  <c:v>8623.2698278700536</c:v>
                </c:pt>
                <c:pt idx="2">
                  <c:v>8799.187086988959</c:v>
                </c:pt>
                <c:pt idx="4">
                  <c:v>9218.4896179009975</c:v>
                </c:pt>
                <c:pt idx="5">
                  <c:v>7980.1108238479956</c:v>
                </c:pt>
              </c:numCache>
            </c:numRef>
          </c:val>
          <c:extLst>
            <c:ext xmlns:c16="http://schemas.microsoft.com/office/drawing/2014/chart" uri="{C3380CC4-5D6E-409C-BE32-E72D297353CC}">
              <c16:uniqueId val="{00000000-D969-4C20-B935-08AE0DE2B085}"/>
            </c:ext>
          </c:extLst>
        </c:ser>
        <c:ser>
          <c:idx val="1"/>
          <c:order val="1"/>
          <c:tx>
            <c:strRef>
              <c:f>'RIFvMIF (Scenario1)'!$G$4</c:f>
              <c:strCache>
                <c:ptCount val="1"/>
                <c:pt idx="0">
                  <c:v>Transit</c:v>
                </c:pt>
              </c:strCache>
            </c:strRef>
          </c:tx>
          <c:spPr>
            <a:solidFill>
              <a:schemeClr val="accent5"/>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(Scenario1)'!$G$5:$G$10</c:f>
              <c:numCache>
                <c:formatCode>"$"#,##0</c:formatCode>
                <c:ptCount val="6"/>
                <c:pt idx="0">
                  <c:v>1697.7333630332978</c:v>
                </c:pt>
                <c:pt idx="1">
                  <c:v>1706.5044396130345</c:v>
                </c:pt>
                <c:pt idx="2">
                  <c:v>433.83739163209788</c:v>
                </c:pt>
                <c:pt idx="4">
                  <c:v>975.91493004221707</c:v>
                </c:pt>
                <c:pt idx="5">
                  <c:v>1527.5477625441074</c:v>
                </c:pt>
              </c:numCache>
            </c:numRef>
          </c:val>
          <c:extLst>
            <c:ext xmlns:c16="http://schemas.microsoft.com/office/drawing/2014/chart" uri="{C3380CC4-5D6E-409C-BE32-E72D297353CC}">
              <c16:uniqueId val="{00000001-D969-4C20-B935-08AE0DE2B085}"/>
            </c:ext>
          </c:extLst>
        </c:ser>
        <c:ser>
          <c:idx val="2"/>
          <c:order val="2"/>
          <c:tx>
            <c:strRef>
              <c:f>'RIFvMIF (Scenario1)'!$H$4</c:f>
              <c:strCache>
                <c:ptCount val="1"/>
                <c:pt idx="0">
                  <c:v>Walk Bike</c:v>
                </c:pt>
              </c:strCache>
            </c:strRef>
          </c:tx>
          <c:spPr>
            <a:solidFill>
              <a:schemeClr val="accent4"/>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'RIFvMIF (Scenario1)'!$H$5:$H$10</c:f>
              <c:numCache>
                <c:formatCode>"$"#,##0</c:formatCode>
                <c:ptCount val="6"/>
                <c:pt idx="0">
                  <c:v>110.50661530115225</c:v>
                </c:pt>
                <c:pt idx="1">
                  <c:v>73.462901705404533</c:v>
                </c:pt>
                <c:pt idx="2">
                  <c:v>70.17684694915144</c:v>
                </c:pt>
                <c:pt idx="4">
                  <c:v>44.474496941823112</c:v>
                </c:pt>
                <c:pt idx="5">
                  <c:v>42.390266636781412</c:v>
                </c:pt>
              </c:numCache>
            </c:numRef>
          </c:val>
          <c:extLst>
            <c:ext xmlns:c16="http://schemas.microsoft.com/office/drawing/2014/chart" uri="{C3380CC4-5D6E-409C-BE32-E72D297353CC}">
              <c16:uniqueId val="{00000002-D969-4C20-B935-08AE0DE2B08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(Scenario1)'!$D$5:$D$10</c:f>
              <c:strCache>
                <c:ptCount val="6"/>
                <c:pt idx="0">
                  <c:v>Ring 1 In SMART Plan</c:v>
                </c:pt>
                <c:pt idx="1">
                  <c:v>Ring 2 In SMART Plan</c:v>
                </c:pt>
                <c:pt idx="2">
                  <c:v>Ring 2 Out SMART Plan</c:v>
                </c:pt>
                <c:pt idx="4">
                  <c:v>Ring 3 In SMART Plan</c:v>
                </c:pt>
                <c:pt idx="5">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D969-4C20-B935-08AE0DE2B08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(Scenario1)'!$F$4</c:f>
              <c:strCache>
                <c:ptCount val="1"/>
                <c:pt idx="0">
                  <c:v>Road</c:v>
                </c:pt>
              </c:strCache>
            </c:strRef>
          </c:tx>
          <c:spPr>
            <a:solidFill>
              <a:schemeClr val="accent1"/>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(Scenario1)'!$F$10:$F$12</c:f>
              <c:numCache>
                <c:formatCode>"$"#,##0</c:formatCode>
                <c:ptCount val="3"/>
                <c:pt idx="0">
                  <c:v>7980.1108238479956</c:v>
                </c:pt>
                <c:pt idx="1">
                  <c:v>9765.153041384101</c:v>
                </c:pt>
                <c:pt idx="2">
                  <c:v>10073.363921374925</c:v>
                </c:pt>
              </c:numCache>
            </c:numRef>
          </c:val>
          <c:extLst>
            <c:ext xmlns:c16="http://schemas.microsoft.com/office/drawing/2014/chart" uri="{C3380CC4-5D6E-409C-BE32-E72D297353CC}">
              <c16:uniqueId val="{00000000-AC84-473D-8A0B-7A67CE0D64D0}"/>
            </c:ext>
          </c:extLst>
        </c:ser>
        <c:ser>
          <c:idx val="1"/>
          <c:order val="1"/>
          <c:tx>
            <c:strRef>
              <c:f>'RIFvMIF (Scenario1)'!$G$4</c:f>
              <c:strCache>
                <c:ptCount val="1"/>
                <c:pt idx="0">
                  <c:v>Transit</c:v>
                </c:pt>
              </c:strCache>
            </c:strRef>
          </c:tx>
          <c:spPr>
            <a:solidFill>
              <a:schemeClr val="accent2"/>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(Scenario1)'!$G$10:$G$12</c:f>
              <c:numCache>
                <c:formatCode>"$"#,##0</c:formatCode>
                <c:ptCount val="3"/>
                <c:pt idx="0">
                  <c:v>1527.5477625441074</c:v>
                </c:pt>
                <c:pt idx="1">
                  <c:v>157.63010553404891</c:v>
                </c:pt>
                <c:pt idx="2">
                  <c:v>607.34970997571668</c:v>
                </c:pt>
              </c:numCache>
            </c:numRef>
          </c:val>
          <c:extLst>
            <c:ext xmlns:c16="http://schemas.microsoft.com/office/drawing/2014/chart" uri="{C3380CC4-5D6E-409C-BE32-E72D297353CC}">
              <c16:uniqueId val="{00000001-AC84-473D-8A0B-7A67CE0D64D0}"/>
            </c:ext>
          </c:extLst>
        </c:ser>
        <c:ser>
          <c:idx val="2"/>
          <c:order val="2"/>
          <c:tx>
            <c:strRef>
              <c:f>'RIFvMIF (Scenario1)'!$H$4</c:f>
              <c:strCache>
                <c:ptCount val="1"/>
                <c:pt idx="0">
                  <c:v>Walk Bike</c:v>
                </c:pt>
              </c:strCache>
            </c:strRef>
          </c:tx>
          <c:spPr>
            <a:solidFill>
              <a:schemeClr val="accent3"/>
            </a:solidFill>
            <a:ln>
              <a:noFill/>
            </a:ln>
            <a:effectLst/>
          </c:spPr>
          <c:invertIfNegative val="0"/>
          <c:cat>
            <c:strRef>
              <c:f>'RIFvMIF (Scenario1)'!$D$10:$D$12</c:f>
              <c:strCache>
                <c:ptCount val="3"/>
                <c:pt idx="0">
                  <c:v>Ring 4 In SMART Plan</c:v>
                </c:pt>
                <c:pt idx="1">
                  <c:v>Ring 3 Out SMART Plan</c:v>
                </c:pt>
                <c:pt idx="2">
                  <c:v>Ring 4 Out SMART Plan</c:v>
                </c:pt>
              </c:strCache>
            </c:strRef>
          </c:cat>
          <c:val>
            <c:numRef>
              <c:f>'RIFvMIF (Scenario1)'!$H$10:$H$12</c:f>
              <c:numCache>
                <c:formatCode>"$"#,##0</c:formatCode>
                <c:ptCount val="3"/>
                <c:pt idx="0">
                  <c:v>42.390266636781412</c:v>
                </c:pt>
                <c:pt idx="1">
                  <c:v>69.007235103160085</c:v>
                </c:pt>
                <c:pt idx="2">
                  <c:v>38.850955490641837</c:v>
                </c:pt>
              </c:numCache>
            </c:numRef>
          </c:val>
          <c:extLst>
            <c:ext xmlns:c16="http://schemas.microsoft.com/office/drawing/2014/chart" uri="{C3380CC4-5D6E-409C-BE32-E72D297353CC}">
              <c16:uniqueId val="{00000002-AC84-473D-8A0B-7A67CE0D64D0}"/>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AC84-473D-8A0B-7A67CE0D64D0}"/>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'RIFvMIF(Scenario3)'!$N$4</c:f>
              <c:strCache>
                <c:ptCount val="1"/>
                <c:pt idx="0">
                  <c:v>Road</c:v>
                </c:pt>
              </c:strCache>
            </c:strRef>
          </c:tx>
          <c:spPr>
            <a:solidFill>
              <a:schemeClr val="accent5"/>
            </a:solidFill>
            <a:ln>
              <a:noFill/>
            </a:ln>
            <a:effectLst/>
          </c:spPr>
          <c:invertIfNegative val="0"/>
          <c:cat>
            <c:strRef>
              <c:f>'RIFvMIF(Scenario3)'!$L$5:$L$12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'RIFvMIF(Scenario3)'!$N$5:$N$12</c:f>
              <c:numCache>
                <c:formatCode>"$"#,##0</c:formatCode>
                <c:ptCount val="8"/>
                <c:pt idx="0">
                  <c:v>3697.3738289835037</c:v>
                </c:pt>
                <c:pt idx="1">
                  <c:v>4064.9947811463717</c:v>
                </c:pt>
                <c:pt idx="2">
                  <c:v>4147.9218789301776</c:v>
                </c:pt>
                <c:pt idx="4">
                  <c:v>4345.5803813198563</c:v>
                </c:pt>
                <c:pt idx="5">
                  <c:v>3761.8107167503804</c:v>
                </c:pt>
                <c:pt idx="6">
                  <c:v>4603.2765926016173</c:v>
                </c:pt>
                <c:pt idx="7">
                  <c:v>4748.5666790379682</c:v>
                </c:pt>
              </c:numCache>
            </c:numRef>
          </c:val>
          <c:extLst>
            <c:ext xmlns:c16="http://schemas.microsoft.com/office/drawing/2014/chart" uri="{C3380CC4-5D6E-409C-BE32-E72D297353CC}">
              <c16:uniqueId val="{00000000-8367-475F-A43C-C3E5160C3E1B}"/>
            </c:ext>
          </c:extLst>
        </c:ser>
        <c:ser>
          <c:idx val="3"/>
          <c:order val="2"/>
          <c:tx>
            <c:strRef>
              <c:f>'RIFvMIF(Scenario3)'!$P$4</c:f>
              <c:strCache>
                <c:ptCount val="1"/>
                <c:pt idx="0">
                  <c:v>Walk Bike</c:v>
                </c:pt>
              </c:strCache>
            </c:strRef>
          </c:tx>
          <c:spPr>
            <a:solidFill>
              <a:schemeClr val="accent6">
                <a:lumMod val="60000"/>
              </a:schemeClr>
            </a:solidFill>
            <a:ln>
              <a:noFill/>
            </a:ln>
            <a:effectLst/>
          </c:spPr>
          <c:invertIfNegative val="0"/>
          <c:cat>
            <c:strRef>
              <c:f>'RIFvMIF(Scenario3)'!$L$5:$L$12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'RIFvMIF(Scenario3)'!$P$5:$P$12</c:f>
              <c:numCache>
                <c:formatCode>"$"#,##0</c:formatCode>
                <c:ptCount val="8"/>
                <c:pt idx="0">
                  <c:v>52.092631153615216</c:v>
                </c:pt>
                <c:pt idx="1">
                  <c:v>34.630287350534992</c:v>
                </c:pt>
                <c:pt idx="2">
                  <c:v>33.081246708021609</c:v>
                </c:pt>
                <c:pt idx="4">
                  <c:v>20.965202477872129</c:v>
                </c:pt>
                <c:pt idx="5">
                  <c:v>19.982699844669213</c:v>
                </c:pt>
                <c:pt idx="6">
                  <c:v>32.529893666214242</c:v>
                </c:pt>
                <c:pt idx="7">
                  <c:v>18.314274569211459</c:v>
                </c:pt>
              </c:numCache>
            </c:numRef>
          </c:val>
          <c:extLst>
            <c:ext xmlns:c16="http://schemas.microsoft.com/office/drawing/2014/chart" uri="{C3380CC4-5D6E-409C-BE32-E72D297353CC}">
              <c16:uniqueId val="{00000002-8367-475F-A43C-C3E5160C3E1B}"/>
            </c:ext>
          </c:extLst>
        </c:ser>
        <c:ser>
          <c:idx val="2"/>
          <c:order val="3"/>
          <c:tx>
            <c:strRef>
              <c:f>'RIFvMIF(Scenario3)'!$O$4</c:f>
              <c:strCache>
                <c:ptCount val="1"/>
                <c:pt idx="0">
                  <c:v>Transit</c:v>
                </c:pt>
              </c:strCache>
            </c:strRef>
          </c:tx>
          <c:spPr>
            <a:solidFill>
              <a:schemeClr val="accent4"/>
            </a:solidFill>
            <a:ln>
              <a:noFill/>
            </a:ln>
            <a:effectLst/>
          </c:spPr>
          <c:invertIfNegative val="0"/>
          <c:cat>
            <c:strRef>
              <c:f>'RIFvMIF(Scenario3)'!$L$5:$L$12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'RIFvMIF(Scenario3)'!$O$5:$O$12</c:f>
              <c:numCache>
                <c:formatCode>"$"#,##0</c:formatCode>
                <c:ptCount val="8"/>
                <c:pt idx="0">
                  <c:v>200.07715745493053</c:v>
                </c:pt>
                <c:pt idx="1">
                  <c:v>201.11082511329462</c:v>
                </c:pt>
                <c:pt idx="2">
                  <c:v>51.127552774439515</c:v>
                </c:pt>
                <c:pt idx="4">
                  <c:v>115.01116098219985</c:v>
                </c:pt>
                <c:pt idx="5">
                  <c:v>180.02085654982204</c:v>
                </c:pt>
                <c:pt idx="6">
                  <c:v>18.576641144770068</c:v>
                </c:pt>
                <c:pt idx="7">
                  <c:v>71.575905969066199</c:v>
                </c:pt>
              </c:numCache>
            </c:numRef>
          </c:val>
          <c:extLst>
            <c:ext xmlns:c16="http://schemas.microsoft.com/office/drawing/2014/chart" uri="{C3380CC4-5D6E-409C-BE32-E72D297353CC}">
              <c16:uniqueId val="{00000001-8367-475F-A43C-C3E5160C3E1B}"/>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'RIFvMIF(Scenario3)'!$M$4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'RIFvMIF(Scenario3)'!$L$5:$L$12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'RIFvMIF(Scenario3)'!$M$5:$M$12</c:f>
              <c:numCache>
                <c:formatCode>"$"#,##0</c:formatCode>
                <c:ptCount val="8"/>
                <c:pt idx="0">
                  <c:v>4188.18</c:v>
                </c:pt>
                <c:pt idx="1">
                  <c:v>4188.18</c:v>
                </c:pt>
                <c:pt idx="2">
                  <c:v>4188.18</c:v>
                </c:pt>
                <c:pt idx="4">
                  <c:v>4430.5665723982493</c:v>
                </c:pt>
                <c:pt idx="5">
                  <c:v>4430.5665723982493</c:v>
                </c:pt>
                <c:pt idx="6">
                  <c:v>4430.5665723982493</c:v>
                </c:pt>
                <c:pt idx="7">
                  <c:v>4430.5665723982493</c:v>
                </c:pt>
              </c:numCache>
            </c:numRef>
          </c:val>
          <c:smooth val="0"/>
          <c:extLst>
            <c:ext xmlns:c16="http://schemas.microsoft.com/office/drawing/2014/chart" uri="{C3380CC4-5D6E-409C-BE32-E72D297353CC}">
              <c16:uniqueId val="{00000003-8367-475F-A43C-C3E5160C3E1B}"/>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'RIFvMIF(Scenario3)'!$V$4</c:f>
              <c:strCache>
                <c:ptCount val="1"/>
                <c:pt idx="0">
                  <c:v>Road</c:v>
                </c:pt>
              </c:strCache>
            </c:strRef>
          </c:tx>
          <c:spPr>
            <a:solidFill>
              <a:schemeClr val="accent5"/>
            </a:solidFill>
            <a:ln>
              <a:noFill/>
            </a:ln>
            <a:effectLst/>
          </c:spPr>
          <c:invertIfNegative val="0"/>
          <c:cat>
            <c:strRef>
              <c:f>'RIFvMIF(Scenario3)'!$T$5:$T$12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'RIFvMIF(Scenario3)'!$V$5:$V$12</c:f>
              <c:numCache>
                <c:formatCode>"$"#,##0</c:formatCode>
                <c:ptCount val="8"/>
                <c:pt idx="0">
                  <c:v>8998.6743192378799</c:v>
                </c:pt>
                <c:pt idx="1">
                  <c:v>12084.042617697605</c:v>
                </c:pt>
                <c:pt idx="2">
                  <c:v>12349.330733972771</c:v>
                </c:pt>
                <c:pt idx="4">
                  <c:v>13036.612294274757</c:v>
                </c:pt>
                <c:pt idx="5">
                  <c:v>11322.869046266578</c:v>
                </c:pt>
                <c:pt idx="6">
                  <c:v>13737.14197762925</c:v>
                </c:pt>
                <c:pt idx="7">
                  <c:v>14148.735260870493</c:v>
                </c:pt>
              </c:numCache>
            </c:numRef>
          </c:val>
          <c:extLst>
            <c:ext xmlns:c16="http://schemas.microsoft.com/office/drawing/2014/chart" uri="{C3380CC4-5D6E-409C-BE32-E72D297353CC}">
              <c16:uniqueId val="{00000000-47B1-4536-9CDE-9CF2B43DB5C1}"/>
            </c:ext>
          </c:extLst>
        </c:ser>
        <c:ser>
          <c:idx val="3"/>
          <c:order val="2"/>
          <c:tx>
            <c:strRef>
              <c:f>'RIFvMIF(Scenario3)'!$X$4</c:f>
              <c:strCache>
                <c:ptCount val="1"/>
                <c:pt idx="0">
                  <c:v>Walk Bike</c:v>
                </c:pt>
              </c:strCache>
            </c:strRef>
          </c:tx>
          <c:spPr>
            <a:solidFill>
              <a:schemeClr val="accent6">
                <a:lumMod val="60000"/>
              </a:schemeClr>
            </a:solidFill>
            <a:ln>
              <a:noFill/>
            </a:ln>
            <a:effectLst/>
          </c:spPr>
          <c:invertIfNegative val="0"/>
          <c:cat>
            <c:strRef>
              <c:f>'RIFvMIF(Scenario3)'!$T$5:$T$12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'RIFvMIF(Scenario3)'!$X$5:$X$12</c:f>
              <c:numCache>
                <c:formatCode>"$"#,##0</c:formatCode>
                <c:ptCount val="8"/>
                <c:pt idx="0">
                  <c:v>192.26570766961737</c:v>
                </c:pt>
                <c:pt idx="1">
                  <c:v>103.03272532983547</c:v>
                </c:pt>
                <c:pt idx="2">
                  <c:v>99.068405621608051</c:v>
                </c:pt>
                <c:pt idx="4">
                  <c:v>62.648977103656335</c:v>
                </c:pt>
                <c:pt idx="5">
                  <c:v>60.060368628548545</c:v>
                </c:pt>
                <c:pt idx="6">
                  <c:v>96.930976415558547</c:v>
                </c:pt>
                <c:pt idx="7">
                  <c:v>54.490762223143399</c:v>
                </c:pt>
              </c:numCache>
            </c:numRef>
          </c:val>
          <c:extLst>
            <c:ext xmlns:c16="http://schemas.microsoft.com/office/drawing/2014/chart" uri="{C3380CC4-5D6E-409C-BE32-E72D297353CC}">
              <c16:uniqueId val="{00000002-47B1-4536-9CDE-9CF2B43DB5C1}"/>
            </c:ext>
          </c:extLst>
        </c:ser>
        <c:ser>
          <c:idx val="2"/>
          <c:order val="3"/>
          <c:tx>
            <c:strRef>
              <c:f>'RIFvMIF(Scenario3)'!$W$4</c:f>
              <c:strCache>
                <c:ptCount val="1"/>
                <c:pt idx="0">
                  <c:v>Transit</c:v>
                </c:pt>
              </c:strCache>
            </c:strRef>
          </c:tx>
          <c:spPr>
            <a:solidFill>
              <a:schemeClr val="accent4"/>
            </a:solidFill>
            <a:ln>
              <a:noFill/>
            </a:ln>
            <a:effectLst/>
          </c:spPr>
          <c:invertIfNegative val="0"/>
          <c:cat>
            <c:strRef>
              <c:f>'RIFvMIF(Scenario3)'!$T$5:$T$12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'RIFvMIF(Scenario3)'!$W$5:$W$12</c:f>
              <c:numCache>
                <c:formatCode>"$"#,##0</c:formatCode>
                <c:ptCount val="8"/>
                <c:pt idx="0">
                  <c:v>765.05606630145542</c:v>
                </c:pt>
                <c:pt idx="1">
                  <c:v>596.1322456713915</c:v>
                </c:pt>
                <c:pt idx="2">
                  <c:v>152.14110358994961</c:v>
                </c:pt>
                <c:pt idx="4">
                  <c:v>348.85894065975015</c:v>
                </c:pt>
                <c:pt idx="5">
                  <c:v>555.81622473869015</c:v>
                </c:pt>
                <c:pt idx="6">
                  <c:v>55.628011088526804</c:v>
                </c:pt>
                <c:pt idx="7">
                  <c:v>219.7438152696584</c:v>
                </c:pt>
              </c:numCache>
            </c:numRef>
          </c:val>
          <c:extLst>
            <c:ext xmlns:c16="http://schemas.microsoft.com/office/drawing/2014/chart" uri="{C3380CC4-5D6E-409C-BE32-E72D297353CC}">
              <c16:uniqueId val="{00000001-47B1-4536-9CDE-9CF2B43DB5C1}"/>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'RIFvMIF(Scenario3)'!$U$4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'RIFvMIF(Scenario3)'!$T$5:$T$12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'RIFvMIF(Scenario3)'!$U$5:$U$12</c:f>
              <c:numCache>
                <c:formatCode>"$"#,##0</c:formatCode>
                <c:ptCount val="8"/>
                <c:pt idx="0">
                  <c:v>13259.2</c:v>
                </c:pt>
                <c:pt idx="1">
                  <c:v>13259.2</c:v>
                </c:pt>
                <c:pt idx="2">
                  <c:v>13259.2</c:v>
                </c:pt>
                <c:pt idx="4">
                  <c:v>14022</c:v>
                </c:pt>
                <c:pt idx="5">
                  <c:v>14022</c:v>
                </c:pt>
                <c:pt idx="6">
                  <c:v>14022</c:v>
                </c:pt>
                <c:pt idx="7">
                  <c:v>14022</c:v>
                </c:pt>
              </c:numCache>
            </c:numRef>
          </c:val>
          <c:smooth val="0"/>
          <c:extLst>
            <c:ext xmlns:c16="http://schemas.microsoft.com/office/drawing/2014/chart" uri="{C3380CC4-5D6E-409C-BE32-E72D297353CC}">
              <c16:uniqueId val="{00000003-47B1-4536-9CDE-9CF2B43DB5C1}"/>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0"/>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'RIFvMIF(Scenario3)'!$AD$4</c:f>
              <c:strCache>
                <c:ptCount val="1"/>
                <c:pt idx="0">
                  <c:v>Road</c:v>
                </c:pt>
              </c:strCache>
            </c:strRef>
          </c:tx>
          <c:spPr>
            <a:solidFill>
              <a:schemeClr val="accent5"/>
            </a:solidFill>
            <a:ln>
              <a:noFill/>
            </a:ln>
            <a:effectLst/>
          </c:spPr>
          <c:invertIfNegative val="0"/>
          <c:cat>
            <c:strRef>
              <c:f>'RIFvMIF(Scenario3)'!$AB$5:$AB$12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'RIFvMIF(Scenario3)'!$AD$5:$AD$12</c:f>
              <c:numCache>
                <c:formatCode>"$"#,##0</c:formatCode>
                <c:ptCount val="8"/>
                <c:pt idx="0">
                  <c:v>9718.2062543462307</c:v>
                </c:pt>
                <c:pt idx="1">
                  <c:v>13050.279894454625</c:v>
                </c:pt>
                <c:pt idx="2">
                  <c:v>13336.780387674762</c:v>
                </c:pt>
                <c:pt idx="4">
                  <c:v>14079.016823940106</c:v>
                </c:pt>
                <c:pt idx="5">
                  <c:v>12228.243058794311</c:v>
                </c:pt>
                <c:pt idx="6">
                  <c:v>14835.560700139351</c:v>
                </c:pt>
                <c:pt idx="7">
                  <c:v>15280.064887927396</c:v>
                </c:pt>
              </c:numCache>
            </c:numRef>
          </c:val>
          <c:extLst>
            <c:ext xmlns:c16="http://schemas.microsoft.com/office/drawing/2014/chart" uri="{C3380CC4-5D6E-409C-BE32-E72D297353CC}">
              <c16:uniqueId val="{00000000-BB1F-4939-B76E-DA873309A205}"/>
            </c:ext>
          </c:extLst>
        </c:ser>
        <c:ser>
          <c:idx val="3"/>
          <c:order val="2"/>
          <c:tx>
            <c:strRef>
              <c:f>'RIFvMIF(Scenario3)'!$AF$4</c:f>
              <c:strCache>
                <c:ptCount val="1"/>
                <c:pt idx="0">
                  <c:v>Walk Bike</c:v>
                </c:pt>
              </c:strCache>
            </c:strRef>
          </c:tx>
          <c:spPr>
            <a:solidFill>
              <a:schemeClr val="accent6">
                <a:lumMod val="60000"/>
              </a:schemeClr>
            </a:solidFill>
            <a:ln>
              <a:noFill/>
            </a:ln>
            <a:effectLst/>
          </c:spPr>
          <c:invertIfNegative val="0"/>
          <c:cat>
            <c:strRef>
              <c:f>'RIFvMIF(Scenario3)'!$AB$5:$AB$12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'RIFvMIF(Scenario3)'!$AF$5:$AF$12</c:f>
              <c:numCache>
                <c:formatCode>"$"#,##0</c:formatCode>
                <c:ptCount val="8"/>
                <c:pt idx="0">
                  <c:v>207.6392295670309</c:v>
                </c:pt>
                <c:pt idx="1">
                  <c:v>111.27119842109661</c:v>
                </c:pt>
                <c:pt idx="2">
                  <c:v>104.22915029640636</c:v>
                </c:pt>
                <c:pt idx="4">
                  <c:v>67.658374947023376</c:v>
                </c:pt>
                <c:pt idx="5">
                  <c:v>64.862781931831705</c:v>
                </c:pt>
                <c:pt idx="6">
                  <c:v>104.68155506280708</c:v>
                </c:pt>
                <c:pt idx="7">
                  <c:v>58.847831075399412</c:v>
                </c:pt>
              </c:numCache>
            </c:numRef>
          </c:val>
          <c:extLst>
            <c:ext xmlns:c16="http://schemas.microsoft.com/office/drawing/2014/chart" uri="{C3380CC4-5D6E-409C-BE32-E72D297353CC}">
              <c16:uniqueId val="{00000002-BB1F-4939-B76E-DA873309A205}"/>
            </c:ext>
          </c:extLst>
        </c:ser>
        <c:ser>
          <c:idx val="2"/>
          <c:order val="3"/>
          <c:tx>
            <c:strRef>
              <c:f>'RIFvMIF(Scenario3)'!$AE$4</c:f>
              <c:strCache>
                <c:ptCount val="1"/>
                <c:pt idx="0">
                  <c:v>Transit</c:v>
                </c:pt>
              </c:strCache>
            </c:strRef>
          </c:tx>
          <c:spPr>
            <a:solidFill>
              <a:schemeClr val="accent4"/>
            </a:solidFill>
            <a:ln>
              <a:noFill/>
            </a:ln>
            <a:effectLst/>
          </c:spPr>
          <c:invertIfNegative val="0"/>
          <c:cat>
            <c:strRef>
              <c:f>'RIFvMIF(Scenario3)'!$AB$5:$AB$12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'RIFvMIF(Scenario3)'!$AE$5:$AE$12</c:f>
              <c:numCache>
                <c:formatCode>"$"#,##0</c:formatCode>
                <c:ptCount val="8"/>
                <c:pt idx="0">
                  <c:v>826.22977393030226</c:v>
                </c:pt>
                <c:pt idx="1">
                  <c:v>643.79884333805217</c:v>
                </c:pt>
                <c:pt idx="2">
                  <c:v>164.30627134600059</c:v>
                </c:pt>
                <c:pt idx="4">
                  <c:v>376.75362155914945</c:v>
                </c:pt>
                <c:pt idx="5">
                  <c:v>600.25916261631301</c:v>
                </c:pt>
                <c:pt idx="6">
                  <c:v>60.076014099279888</c:v>
                </c:pt>
                <c:pt idx="7">
                  <c:v>237.3144803498522</c:v>
                </c:pt>
              </c:numCache>
            </c:numRef>
          </c:val>
          <c:extLst>
            <c:ext xmlns:c16="http://schemas.microsoft.com/office/drawing/2014/chart" uri="{C3380CC4-5D6E-409C-BE32-E72D297353CC}">
              <c16:uniqueId val="{00000001-BB1F-4939-B76E-DA873309A20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'RIFvMIF(Scenario3)'!$AC$4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'RIFvMIF(Scenario3)'!$AB$5:$AB$12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'RIFvMIF(Scenario3)'!$AC$5:$AC$12</c:f>
              <c:numCache>
                <c:formatCode>"$"#,##0</c:formatCode>
                <c:ptCount val="8"/>
                <c:pt idx="0">
                  <c:v>13383.7</c:v>
                </c:pt>
                <c:pt idx="1">
                  <c:v>13383.7</c:v>
                </c:pt>
                <c:pt idx="2">
                  <c:v>13383.7</c:v>
                </c:pt>
                <c:pt idx="4">
                  <c:v>14857</c:v>
                </c:pt>
                <c:pt idx="5">
                  <c:v>14857</c:v>
                </c:pt>
                <c:pt idx="6">
                  <c:v>14857</c:v>
                </c:pt>
                <c:pt idx="7">
                  <c:v>14857</c:v>
                </c:pt>
              </c:numCache>
            </c:numRef>
          </c:val>
          <c:smooth val="0"/>
          <c:extLst>
            <c:ext xmlns:c16="http://schemas.microsoft.com/office/drawing/2014/chart" uri="{C3380CC4-5D6E-409C-BE32-E72D297353CC}">
              <c16:uniqueId val="{00000003-BB1F-4939-B76E-DA873309A20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(RoadsOnly)'!$F$4</c:f>
              <c:strCache>
                <c:ptCount val="1"/>
                <c:pt idx="0">
                  <c:v>Road</c:v>
                </c:pt>
              </c:strCache>
            </c:strRef>
          </c:tx>
          <c:spPr>
            <a:solidFill>
              <a:schemeClr val="accent5"/>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(RoadsOnly)'!$F$5:$F$12</c:f>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extLst>
            <c:ext xmlns:c16="http://schemas.microsoft.com/office/drawing/2014/chart" uri="{C3380CC4-5D6E-409C-BE32-E72D297353CC}">
              <c16:uniqueId val="{00000000-AF66-ED42-8C2E-0E229F20FD5D}"/>
            </c:ext>
          </c:extLst>
        </c:ser>
        <c:ser>
          <c:idx val="3"/>
          <c:order val="2"/>
          <c:tx>
            <c:strRef>
              <c:f>'RIFvMIF (Scenario1) (RoadsOnly)'!$H$4</c:f>
              <c:strCache>
                <c:ptCount val="1"/>
                <c:pt idx="0">
                  <c:v>Walk Bike</c:v>
                </c:pt>
              </c:strCache>
            </c:strRef>
          </c:tx>
          <c:spPr>
            <a:solidFill>
              <a:schemeClr val="accent6">
                <a:lumMod val="60000"/>
              </a:schemeClr>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(RoadsOnly)'!$H$5:$H$12</c:f>
              <c:numCache>
                <c:formatCode>General</c:formatCode>
                <c:ptCount val="8"/>
              </c:numCache>
            </c:numRef>
          </c:val>
          <c:extLst>
            <c:ext xmlns:c16="http://schemas.microsoft.com/office/drawing/2014/chart" uri="{C3380CC4-5D6E-409C-BE32-E72D297353CC}">
              <c16:uniqueId val="{00000001-AF66-ED42-8C2E-0E229F20FD5D}"/>
            </c:ext>
          </c:extLst>
        </c:ser>
        <c:ser>
          <c:idx val="2"/>
          <c:order val="3"/>
          <c:tx>
            <c:strRef>
              <c:f>'RIFvMIF (Scenario1) (RoadsOnly)'!$G$4</c:f>
              <c:strCache>
                <c:ptCount val="1"/>
                <c:pt idx="0">
                  <c:v>Transit</c:v>
                </c:pt>
              </c:strCache>
            </c:strRef>
          </c:tx>
          <c:spPr>
            <a:solidFill>
              <a:schemeClr val="accent4"/>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(RoadsOnly)'!$G$5:$G$12</c:f>
              <c:numCache>
                <c:formatCode>General</c:formatCode>
                <c:ptCount val="8"/>
              </c:numCache>
            </c:numRef>
          </c:val>
          <c:extLst>
            <c:ext xmlns:c16="http://schemas.microsoft.com/office/drawing/2014/chart" uri="{C3380CC4-5D6E-409C-BE32-E72D297353CC}">
              <c16:uniqueId val="{00000002-AF66-ED42-8C2E-0E229F20FD5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(RoadsOnly)'!$E$4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(RoadsOnly)'!$E$5:$E$12</c:f>
              <c:numCache>
                <c:formatCode>"$"#,##0</c:formatCode>
                <c:ptCount val="8"/>
                <c:pt idx="0">
                  <c:v>9543.67</c:v>
                </c:pt>
                <c:pt idx="1">
                  <c:v>9543.67</c:v>
                </c:pt>
                <c:pt idx="2">
                  <c:v>9543.67</c:v>
                </c:pt>
                <c:pt idx="4">
                  <c:v>10096</c:v>
                </c:pt>
                <c:pt idx="5">
                  <c:v>10096</c:v>
                </c:pt>
                <c:pt idx="6">
                  <c:v>10096</c:v>
                </c:pt>
                <c:pt idx="7">
                  <c:v>10096</c:v>
                </c:pt>
              </c:numCache>
            </c:numRef>
          </c:val>
          <c:smooth val="0"/>
          <c:extLst>
            <c:ext xmlns:c16="http://schemas.microsoft.com/office/drawing/2014/chart" uri="{C3380CC4-5D6E-409C-BE32-E72D297353CC}">
              <c16:uniqueId val="{00000003-AF66-ED42-8C2E-0E229F20FD5D}"/>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(Scenario1) (RoadsOnly)'!$I$4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(Scenario1) (RoadsOnly)'!$D$5:$D$12</c15:sqref>
                        </c15:formulaRef>
                      </c:ext>
                    </c:extLst>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extLst>
                      <c:ext uri="{02D57815-91ED-43cb-92C2-25804820EDAC}">
                        <c15:formulaRef>
                          <c15:sqref>'RIFvMIF (Scenario1) (RoadsOnly)'!$I$5:$I$12</c15:sqref>
                        </c15:formulaRef>
                      </c:ext>
                    </c:extLst>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smooth val="0"/>
                <c:extLst>
                  <c:ext xmlns:c16="http://schemas.microsoft.com/office/drawing/2014/chart" uri="{C3380CC4-5D6E-409C-BE32-E72D297353CC}">
                    <c16:uniqueId val="{00000004-AF66-ED42-8C2E-0E229F20FD5D}"/>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(RoadsOnly)'!$N$4</c:f>
              <c:strCache>
                <c:ptCount val="1"/>
                <c:pt idx="0">
                  <c:v>Road</c:v>
                </c:pt>
              </c:strCache>
            </c:strRef>
          </c:tx>
          <c:spPr>
            <a:solidFill>
              <a:schemeClr val="accent5"/>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(RoadsOnly)'!$N$5:$N$12</c:f>
              <c:numCache>
                <c:formatCode>"$"#,##0</c:formatCode>
                <c:ptCount val="8"/>
                <c:pt idx="0">
                  <c:v>3697.3738289835037</c:v>
                </c:pt>
                <c:pt idx="1">
                  <c:v>4064.9947811463717</c:v>
                </c:pt>
                <c:pt idx="2">
                  <c:v>4147.9218789301776</c:v>
                </c:pt>
                <c:pt idx="4">
                  <c:v>4345.5803813198563</c:v>
                </c:pt>
                <c:pt idx="5">
                  <c:v>3761.8107167503804</c:v>
                </c:pt>
                <c:pt idx="6">
                  <c:v>4603.2765926016173</c:v>
                </c:pt>
                <c:pt idx="7">
                  <c:v>4748.5666790379682</c:v>
                </c:pt>
              </c:numCache>
            </c:numRef>
          </c:val>
          <c:extLst>
            <c:ext xmlns:c16="http://schemas.microsoft.com/office/drawing/2014/chart" uri="{C3380CC4-5D6E-409C-BE32-E72D297353CC}">
              <c16:uniqueId val="{00000000-A743-9F46-BEA5-86A487DB4FBC}"/>
            </c:ext>
          </c:extLst>
        </c:ser>
        <c:ser>
          <c:idx val="3"/>
          <c:order val="2"/>
          <c:tx>
            <c:strRef>
              <c:f>'RIFvMIF (Scenario1) (RoadsOnly)'!$P$4</c:f>
              <c:strCache>
                <c:ptCount val="1"/>
                <c:pt idx="0">
                  <c:v>Walk Bike</c:v>
                </c:pt>
              </c:strCache>
            </c:strRef>
          </c:tx>
          <c:spPr>
            <a:solidFill>
              <a:schemeClr val="accent6">
                <a:lumMod val="60000"/>
              </a:schemeClr>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(RoadsOnly)'!$P$5:$P$12</c:f>
              <c:numCache>
                <c:formatCode>General</c:formatCode>
                <c:ptCount val="8"/>
              </c:numCache>
            </c:numRef>
          </c:val>
          <c:extLst>
            <c:ext xmlns:c16="http://schemas.microsoft.com/office/drawing/2014/chart" uri="{C3380CC4-5D6E-409C-BE32-E72D297353CC}">
              <c16:uniqueId val="{00000001-A743-9F46-BEA5-86A487DB4FBC}"/>
            </c:ext>
          </c:extLst>
        </c:ser>
        <c:ser>
          <c:idx val="2"/>
          <c:order val="3"/>
          <c:tx>
            <c:strRef>
              <c:f>'RIFvMIF (Scenario1) (RoadsOnly)'!$O$4</c:f>
              <c:strCache>
                <c:ptCount val="1"/>
                <c:pt idx="0">
                  <c:v>Transit</c:v>
                </c:pt>
              </c:strCache>
            </c:strRef>
          </c:tx>
          <c:spPr>
            <a:solidFill>
              <a:schemeClr val="accent4"/>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(RoadsOnly)'!$O$5:$O$12</c:f>
              <c:numCache>
                <c:formatCode>General</c:formatCode>
                <c:ptCount val="8"/>
              </c:numCache>
            </c:numRef>
          </c:val>
          <c:extLst>
            <c:ext xmlns:c16="http://schemas.microsoft.com/office/drawing/2014/chart" uri="{C3380CC4-5D6E-409C-BE32-E72D297353CC}">
              <c16:uniqueId val="{00000002-A743-9F46-BEA5-86A487DB4FB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(RoadsOnly)'!$M$4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(RoadsOnly)'!$M$5:$M$12</c:f>
              <c:numCache>
                <c:formatCode>"$"#,##0</c:formatCode>
                <c:ptCount val="8"/>
                <c:pt idx="0">
                  <c:v>4188.18</c:v>
                </c:pt>
                <c:pt idx="1">
                  <c:v>4188.18</c:v>
                </c:pt>
                <c:pt idx="2">
                  <c:v>4188.18</c:v>
                </c:pt>
                <c:pt idx="4">
                  <c:v>4430.5665723982493</c:v>
                </c:pt>
                <c:pt idx="5">
                  <c:v>4430.5665723982493</c:v>
                </c:pt>
                <c:pt idx="6">
                  <c:v>4430.5665723982493</c:v>
                </c:pt>
                <c:pt idx="7">
                  <c:v>4430.5665723982493</c:v>
                </c:pt>
              </c:numCache>
            </c:numRef>
          </c:val>
          <c:smooth val="0"/>
          <c:extLst>
            <c:ext xmlns:c16="http://schemas.microsoft.com/office/drawing/2014/chart" uri="{C3380CC4-5D6E-409C-BE32-E72D297353CC}">
              <c16:uniqueId val="{00000003-A743-9F46-BEA5-86A487DB4FBC}"/>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(RoadsOnly)'!$V$4</c:f>
              <c:strCache>
                <c:ptCount val="1"/>
                <c:pt idx="0">
                  <c:v>Road</c:v>
                </c:pt>
              </c:strCache>
            </c:strRef>
          </c:tx>
          <c:spPr>
            <a:solidFill>
              <a:schemeClr val="accent5"/>
            </a:solidFill>
            <a:ln>
              <a:noFill/>
            </a:ln>
            <a:effectLst/>
          </c:spPr>
          <c:invertIfNegative val="0"/>
          <c:cat>
            <c:strRef>
              <c:f>'RIFvMIF (Scenario1) (RoadsOnly)'!$T$5:$T$12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(RoadsOnly)'!$V$5:$V$12</c:f>
              <c:numCache>
                <c:formatCode>"$"#,##0</c:formatCode>
                <c:ptCount val="8"/>
                <c:pt idx="0">
                  <c:v>8998.6743192378799</c:v>
                </c:pt>
                <c:pt idx="1">
                  <c:v>12084.042617697605</c:v>
                </c:pt>
                <c:pt idx="2">
                  <c:v>12349.330733972771</c:v>
                </c:pt>
                <c:pt idx="4">
                  <c:v>13036.612294274757</c:v>
                </c:pt>
                <c:pt idx="5">
                  <c:v>11322.869046266578</c:v>
                </c:pt>
                <c:pt idx="6">
                  <c:v>13737.14197762925</c:v>
                </c:pt>
                <c:pt idx="7">
                  <c:v>14148.735260870493</c:v>
                </c:pt>
              </c:numCache>
            </c:numRef>
          </c:val>
          <c:extLst>
            <c:ext xmlns:c16="http://schemas.microsoft.com/office/drawing/2014/chart" uri="{C3380CC4-5D6E-409C-BE32-E72D297353CC}">
              <c16:uniqueId val="{00000000-9A49-EA4C-B885-DE41645B6ACE}"/>
            </c:ext>
          </c:extLst>
        </c:ser>
        <c:ser>
          <c:idx val="3"/>
          <c:order val="2"/>
          <c:tx>
            <c:strRef>
              <c:f>'RIFvMIF (Scenario1) (RoadsOnly)'!$X$4</c:f>
              <c:strCache>
                <c:ptCount val="1"/>
                <c:pt idx="0">
                  <c:v>Walk Bike</c:v>
                </c:pt>
              </c:strCache>
            </c:strRef>
          </c:tx>
          <c:spPr>
            <a:solidFill>
              <a:schemeClr val="accent6">
                <a:lumMod val="60000"/>
              </a:schemeClr>
            </a:solidFill>
            <a:ln>
              <a:noFill/>
            </a:ln>
            <a:effectLst/>
          </c:spPr>
          <c:invertIfNegative val="0"/>
          <c:cat>
            <c:strRef>
              <c:f>'RIFvMIF (Scenario1) (RoadsOnly)'!$T$5:$T$12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(RoadsOnly)'!$X$5:$X$12</c:f>
              <c:numCache>
                <c:formatCode>General</c:formatCode>
                <c:ptCount val="8"/>
              </c:numCache>
            </c:numRef>
          </c:val>
          <c:extLst>
            <c:ext xmlns:c16="http://schemas.microsoft.com/office/drawing/2014/chart" uri="{C3380CC4-5D6E-409C-BE32-E72D297353CC}">
              <c16:uniqueId val="{00000001-9A49-EA4C-B885-DE41645B6ACE}"/>
            </c:ext>
          </c:extLst>
        </c:ser>
        <c:ser>
          <c:idx val="2"/>
          <c:order val="3"/>
          <c:tx>
            <c:strRef>
              <c:f>'RIFvMIF (Scenario1) (RoadsOnly)'!$W$4</c:f>
              <c:strCache>
                <c:ptCount val="1"/>
                <c:pt idx="0">
                  <c:v>Transit</c:v>
                </c:pt>
              </c:strCache>
            </c:strRef>
          </c:tx>
          <c:spPr>
            <a:solidFill>
              <a:schemeClr val="accent4"/>
            </a:solidFill>
            <a:ln>
              <a:noFill/>
            </a:ln>
            <a:effectLst/>
          </c:spPr>
          <c:invertIfNegative val="0"/>
          <c:cat>
            <c:strRef>
              <c:f>'RIFvMIF (Scenario1) (RoadsOnly)'!$T$5:$T$12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(RoadsOnly)'!$W$5:$W$12</c:f>
              <c:numCache>
                <c:formatCode>General</c:formatCode>
                <c:ptCount val="8"/>
              </c:numCache>
            </c:numRef>
          </c:val>
          <c:extLst>
            <c:ext xmlns:c16="http://schemas.microsoft.com/office/drawing/2014/chart" uri="{C3380CC4-5D6E-409C-BE32-E72D297353CC}">
              <c16:uniqueId val="{00000002-9A49-EA4C-B885-DE41645B6ACE}"/>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(RoadsOnly)'!$U$4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(RoadsOnly)'!$T$5:$T$12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(RoadsOnly)'!$U$5:$U$12</c:f>
              <c:numCache>
                <c:formatCode>"$"#,##0</c:formatCode>
                <c:ptCount val="8"/>
                <c:pt idx="0">
                  <c:v>13259.2</c:v>
                </c:pt>
                <c:pt idx="1">
                  <c:v>13259.2</c:v>
                </c:pt>
                <c:pt idx="2">
                  <c:v>13259.2</c:v>
                </c:pt>
                <c:pt idx="4">
                  <c:v>14022</c:v>
                </c:pt>
                <c:pt idx="5">
                  <c:v>14022</c:v>
                </c:pt>
                <c:pt idx="6">
                  <c:v>14022</c:v>
                </c:pt>
                <c:pt idx="7">
                  <c:v>14022</c:v>
                </c:pt>
              </c:numCache>
            </c:numRef>
          </c:val>
          <c:smooth val="0"/>
          <c:extLst>
            <c:ext xmlns:c16="http://schemas.microsoft.com/office/drawing/2014/chart" uri="{C3380CC4-5D6E-409C-BE32-E72D297353CC}">
              <c16:uniqueId val="{00000003-9A49-EA4C-B885-DE41645B6ACE}"/>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0"/>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(RoadsOnly)'!$AD$4</c:f>
              <c:strCache>
                <c:ptCount val="1"/>
                <c:pt idx="0">
                  <c:v>Road</c:v>
                </c:pt>
              </c:strCache>
            </c:strRef>
          </c:tx>
          <c:spPr>
            <a:solidFill>
              <a:schemeClr val="accent5"/>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(RoadsOnly)'!$AD$5:$AD$12</c:f>
              <c:numCache>
                <c:formatCode>"$"#,##0</c:formatCode>
                <c:ptCount val="8"/>
                <c:pt idx="0">
                  <c:v>9718.2062543462307</c:v>
                </c:pt>
                <c:pt idx="1">
                  <c:v>13050.279894454625</c:v>
                </c:pt>
                <c:pt idx="2">
                  <c:v>13336.780387674762</c:v>
                </c:pt>
                <c:pt idx="4">
                  <c:v>14079.016823940106</c:v>
                </c:pt>
                <c:pt idx="5">
                  <c:v>12228.243058794311</c:v>
                </c:pt>
                <c:pt idx="6">
                  <c:v>14835.560700139351</c:v>
                </c:pt>
                <c:pt idx="7">
                  <c:v>15280.064887927396</c:v>
                </c:pt>
              </c:numCache>
            </c:numRef>
          </c:val>
          <c:extLst>
            <c:ext xmlns:c16="http://schemas.microsoft.com/office/drawing/2014/chart" uri="{C3380CC4-5D6E-409C-BE32-E72D297353CC}">
              <c16:uniqueId val="{00000000-77FB-A649-9AF1-FAB509492D48}"/>
            </c:ext>
          </c:extLst>
        </c:ser>
        <c:ser>
          <c:idx val="3"/>
          <c:order val="2"/>
          <c:tx>
            <c:strRef>
              <c:f>'RIFvMIF (Scenario1) (RoadsOnly)'!$AF$4</c:f>
              <c:strCache>
                <c:ptCount val="1"/>
                <c:pt idx="0">
                  <c:v>Walk Bike</c:v>
                </c:pt>
              </c:strCache>
            </c:strRef>
          </c:tx>
          <c:spPr>
            <a:solidFill>
              <a:schemeClr val="accent6">
                <a:lumMod val="60000"/>
              </a:schemeClr>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(RoadsOnly)'!$AF$5:$AF$12</c:f>
              <c:numCache>
                <c:formatCode>General</c:formatCode>
                <c:ptCount val="8"/>
              </c:numCache>
            </c:numRef>
          </c:val>
          <c:extLst>
            <c:ext xmlns:c16="http://schemas.microsoft.com/office/drawing/2014/chart" uri="{C3380CC4-5D6E-409C-BE32-E72D297353CC}">
              <c16:uniqueId val="{00000001-77FB-A649-9AF1-FAB509492D48}"/>
            </c:ext>
          </c:extLst>
        </c:ser>
        <c:ser>
          <c:idx val="2"/>
          <c:order val="3"/>
          <c:tx>
            <c:strRef>
              <c:f>'RIFvMIF (Scenario1) (RoadsOnly)'!$AE$4</c:f>
              <c:strCache>
                <c:ptCount val="1"/>
                <c:pt idx="0">
                  <c:v>Transit</c:v>
                </c:pt>
              </c:strCache>
            </c:strRef>
          </c:tx>
          <c:spPr>
            <a:solidFill>
              <a:schemeClr val="accent4"/>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(RoadsOnly)'!$AE$5:$AE$12</c:f>
              <c:numCache>
                <c:formatCode>General</c:formatCode>
                <c:ptCount val="8"/>
              </c:numCache>
            </c:numRef>
          </c:val>
          <c:extLst>
            <c:ext xmlns:c16="http://schemas.microsoft.com/office/drawing/2014/chart" uri="{C3380CC4-5D6E-409C-BE32-E72D297353CC}">
              <c16:uniqueId val="{00000002-77FB-A649-9AF1-FAB509492D48}"/>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(RoadsOnly)'!$AC$4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(RoadsOnly)'!$AB$5:$AB$12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(RoadsOnly)'!$AC$5:$AC$12</c:f>
              <c:numCache>
                <c:formatCode>"$"#,##0</c:formatCode>
                <c:ptCount val="8"/>
                <c:pt idx="0">
                  <c:v>13383.7</c:v>
                </c:pt>
                <c:pt idx="1">
                  <c:v>13383.7</c:v>
                </c:pt>
                <c:pt idx="2">
                  <c:v>13383.7</c:v>
                </c:pt>
                <c:pt idx="4">
                  <c:v>14857</c:v>
                </c:pt>
                <c:pt idx="5">
                  <c:v>14857</c:v>
                </c:pt>
                <c:pt idx="6">
                  <c:v>14857</c:v>
                </c:pt>
                <c:pt idx="7">
                  <c:v>14857</c:v>
                </c:pt>
              </c:numCache>
            </c:numRef>
          </c:val>
          <c:smooth val="0"/>
          <c:extLst>
            <c:ext xmlns:c16="http://schemas.microsoft.com/office/drawing/2014/chart" uri="{C3380CC4-5D6E-409C-BE32-E72D297353CC}">
              <c16:uniqueId val="{00000003-77FB-A649-9AF1-FAB509492D48}"/>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Warehousing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(RoadsOnly)'!$AL$4</c:f>
              <c:strCache>
                <c:ptCount val="1"/>
                <c:pt idx="0">
                  <c:v>Road</c:v>
                </c:pt>
              </c:strCache>
            </c:strRef>
          </c:tx>
          <c:spPr>
            <a:solidFill>
              <a:schemeClr val="accent5"/>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(RoadsOnly)'!$AL$5:$AL$12</c:f>
              <c:numCache>
                <c:formatCode>"$"#,##0</c:formatCode>
                <c:ptCount val="8"/>
                <c:pt idx="0">
                  <c:v>1179.3160191465954</c:v>
                </c:pt>
                <c:pt idx="1">
                  <c:v>1583.6671635770333</c:v>
                </c:pt>
                <c:pt idx="2">
                  <c:v>1618.4343430652029</c:v>
                </c:pt>
                <c:pt idx="4">
                  <c:v>1483.9120047287395</c:v>
                </c:pt>
                <c:pt idx="5">
                  <c:v>1483.9120047287395</c:v>
                </c:pt>
                <c:pt idx="6">
                  <c:v>1800.3131368889647</c:v>
                </c:pt>
                <c:pt idx="7">
                  <c:v>1854.2542547780552</c:v>
                </c:pt>
              </c:numCache>
            </c:numRef>
          </c:val>
          <c:extLst>
            <c:ext xmlns:c16="http://schemas.microsoft.com/office/drawing/2014/chart" uri="{C3380CC4-5D6E-409C-BE32-E72D297353CC}">
              <c16:uniqueId val="{00000000-9A26-674D-8198-E4EA33FDEC07}"/>
            </c:ext>
          </c:extLst>
        </c:ser>
        <c:ser>
          <c:idx val="3"/>
          <c:order val="2"/>
          <c:tx>
            <c:strRef>
              <c:f>'RIFvMIF (Scenario1) (RoadsOnly)'!$AN$4</c:f>
              <c:strCache>
                <c:ptCount val="1"/>
                <c:pt idx="0">
                  <c:v>Walk Bike</c:v>
                </c:pt>
              </c:strCache>
            </c:strRef>
          </c:tx>
          <c:spPr>
            <a:solidFill>
              <a:schemeClr val="accent6">
                <a:lumMod val="60000"/>
              </a:schemeClr>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(RoadsOnly)'!$AN$5:$AN$12</c:f>
              <c:numCache>
                <c:formatCode>General</c:formatCode>
                <c:ptCount val="8"/>
              </c:numCache>
            </c:numRef>
          </c:val>
          <c:extLst>
            <c:ext xmlns:c16="http://schemas.microsoft.com/office/drawing/2014/chart" uri="{C3380CC4-5D6E-409C-BE32-E72D297353CC}">
              <c16:uniqueId val="{00000001-9A26-674D-8198-E4EA33FDEC07}"/>
            </c:ext>
          </c:extLst>
        </c:ser>
        <c:ser>
          <c:idx val="2"/>
          <c:order val="3"/>
          <c:tx>
            <c:strRef>
              <c:f>'RIFvMIF (Scenario1) (RoadsOnly)'!$AM$4</c:f>
              <c:strCache>
                <c:ptCount val="1"/>
                <c:pt idx="0">
                  <c:v>Transit</c:v>
                </c:pt>
              </c:strCache>
            </c:strRef>
          </c:tx>
          <c:spPr>
            <a:solidFill>
              <a:schemeClr val="accent4"/>
            </a:solidFill>
            <a:ln>
              <a:noFill/>
            </a:ln>
            <a:effectLst/>
          </c:spPr>
          <c:invertIfNegative val="0"/>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(RoadsOnly)'!$AM$5:$AM$12</c:f>
              <c:numCache>
                <c:formatCode>General</c:formatCode>
                <c:ptCount val="8"/>
              </c:numCache>
            </c:numRef>
          </c:val>
          <c:extLst>
            <c:ext xmlns:c16="http://schemas.microsoft.com/office/drawing/2014/chart" uri="{C3380CC4-5D6E-409C-BE32-E72D297353CC}">
              <c16:uniqueId val="{00000002-9A26-674D-8198-E4EA33FDEC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(RoadsOnly)'!$AK$4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(RoadsOnly)'!$D$5:$D$12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(RoadsOnly)'!$AK$5:$AK$12</c:f>
              <c:numCache>
                <c:formatCode>"$"#,##0</c:formatCode>
                <c:ptCount val="8"/>
                <c:pt idx="0">
                  <c:v>5002.3</c:v>
                </c:pt>
                <c:pt idx="1">
                  <c:v>5002.3</c:v>
                </c:pt>
                <c:pt idx="2">
                  <c:v>5002.3</c:v>
                </c:pt>
                <c:pt idx="4">
                  <c:v>5552.9615203568519</c:v>
                </c:pt>
                <c:pt idx="5">
                  <c:v>5552.9615203568519</c:v>
                </c:pt>
                <c:pt idx="6">
                  <c:v>5552.9615203568519</c:v>
                </c:pt>
                <c:pt idx="7">
                  <c:v>5552.9615203568519</c:v>
                </c:pt>
              </c:numCache>
            </c:numRef>
          </c:val>
          <c:smooth val="0"/>
          <c:extLst>
            <c:ext xmlns:c16="http://schemas.microsoft.com/office/drawing/2014/chart" uri="{C3380CC4-5D6E-409C-BE32-E72D297353CC}">
              <c16:uniqueId val="{00000003-9A26-674D-8198-E4EA33FDEC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(BW_Only)'!$F$4</c:f>
              <c:strCache>
                <c:ptCount val="1"/>
                <c:pt idx="0">
                  <c:v>Road</c:v>
                </c:pt>
              </c:strCache>
            </c:strRef>
          </c:tx>
          <c:spPr>
            <a:solidFill>
              <a:schemeClr val="accent5"/>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(BW_Only)'!$F$5:$F$12</c:f>
              <c:numCache>
                <c:formatCode>"$"#,##0</c:formatCode>
                <c:ptCount val="8"/>
                <c:pt idx="0">
                  <c:v>7843.4177405852297</c:v>
                </c:pt>
                <c:pt idx="1">
                  <c:v>8623.2698278700536</c:v>
                </c:pt>
                <c:pt idx="2">
                  <c:v>8799.187086988959</c:v>
                </c:pt>
                <c:pt idx="4">
                  <c:v>9218.4896179009975</c:v>
                </c:pt>
                <c:pt idx="5">
                  <c:v>7980.1108238479956</c:v>
                </c:pt>
                <c:pt idx="6">
                  <c:v>9765.153041384101</c:v>
                </c:pt>
                <c:pt idx="7">
                  <c:v>10073.363921374925</c:v>
                </c:pt>
              </c:numCache>
            </c:numRef>
          </c:val>
          <c:extLst>
            <c:ext xmlns:c16="http://schemas.microsoft.com/office/drawing/2014/chart" uri="{C3380CC4-5D6E-409C-BE32-E72D297353CC}">
              <c16:uniqueId val="{00000000-FDC0-F744-9963-7BD6EF8BE76B}"/>
            </c:ext>
          </c:extLst>
        </c:ser>
        <c:ser>
          <c:idx val="3"/>
          <c:order val="2"/>
          <c:tx>
            <c:strRef>
              <c:f>'RIFvMIF (Scenario1) (BW_Only)'!$H$4</c:f>
              <c:strCache>
                <c:ptCount val="1"/>
                <c:pt idx="0">
                  <c:v>Walk Bike</c:v>
                </c:pt>
              </c:strCache>
            </c:strRef>
          </c:tx>
          <c:spPr>
            <a:solidFill>
              <a:schemeClr val="accent6">
                <a:lumMod val="60000"/>
              </a:schemeClr>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(BW_Only)'!$H$5:$H$12</c:f>
              <c:numCache>
                <c:formatCode>"$"#,##0</c:formatCode>
                <c:ptCount val="8"/>
                <c:pt idx="0">
                  <c:v>110.50661530115225</c:v>
                </c:pt>
                <c:pt idx="1">
                  <c:v>73.462901705404533</c:v>
                </c:pt>
                <c:pt idx="2">
                  <c:v>70.17684694915144</c:v>
                </c:pt>
                <c:pt idx="4">
                  <c:v>44.474496941823112</c:v>
                </c:pt>
                <c:pt idx="5">
                  <c:v>42.390266636781412</c:v>
                </c:pt>
                <c:pt idx="6">
                  <c:v>69.007235103160085</c:v>
                </c:pt>
                <c:pt idx="7">
                  <c:v>38.850955490641837</c:v>
                </c:pt>
              </c:numCache>
            </c:numRef>
          </c:val>
          <c:extLst>
            <c:ext xmlns:c16="http://schemas.microsoft.com/office/drawing/2014/chart" uri="{C3380CC4-5D6E-409C-BE32-E72D297353CC}">
              <c16:uniqueId val="{00000001-FDC0-F744-9963-7BD6EF8BE76B}"/>
            </c:ext>
          </c:extLst>
        </c:ser>
        <c:ser>
          <c:idx val="2"/>
          <c:order val="3"/>
          <c:tx>
            <c:strRef>
              <c:f>'RIFvMIF (Scenario1) (BW_Only)'!$G$4</c:f>
              <c:strCache>
                <c:ptCount val="1"/>
                <c:pt idx="0">
                  <c:v>Transit</c:v>
                </c:pt>
              </c:strCache>
            </c:strRef>
          </c:tx>
          <c:spPr>
            <a:solidFill>
              <a:schemeClr val="accent4"/>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(BW_Only)'!$G$5:$G$12</c:f>
              <c:numCache>
                <c:formatCode>General</c:formatCode>
                <c:ptCount val="8"/>
              </c:numCache>
            </c:numRef>
          </c:val>
          <c:extLst>
            <c:ext xmlns:c16="http://schemas.microsoft.com/office/drawing/2014/chart" uri="{C3380CC4-5D6E-409C-BE32-E72D297353CC}">
              <c16:uniqueId val="{00000002-FDC0-F744-9963-7BD6EF8BE76B}"/>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(BW_Only)'!$E$4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(BW_Only)'!$E$5:$E$12</c:f>
              <c:numCache>
                <c:formatCode>"$"#,##0</c:formatCode>
                <c:ptCount val="8"/>
                <c:pt idx="0">
                  <c:v>9543.67</c:v>
                </c:pt>
                <c:pt idx="1">
                  <c:v>9543.67</c:v>
                </c:pt>
                <c:pt idx="2">
                  <c:v>9543.67</c:v>
                </c:pt>
                <c:pt idx="4">
                  <c:v>10096</c:v>
                </c:pt>
                <c:pt idx="5">
                  <c:v>10096</c:v>
                </c:pt>
                <c:pt idx="6">
                  <c:v>10096</c:v>
                </c:pt>
                <c:pt idx="7">
                  <c:v>10096</c:v>
                </c:pt>
              </c:numCache>
            </c:numRef>
          </c:val>
          <c:smooth val="0"/>
          <c:extLst>
            <c:ext xmlns:c16="http://schemas.microsoft.com/office/drawing/2014/chart" uri="{C3380CC4-5D6E-409C-BE32-E72D297353CC}">
              <c16:uniqueId val="{00000003-FDC0-F744-9963-7BD6EF8BE76B}"/>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(Scenario1) (BW_Only)'!$I$4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(Scenario1) (BW_Only)'!$D$5:$D$12</c15:sqref>
                        </c15:formulaRef>
                      </c:ext>
                    </c:extLst>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extLst>
                      <c:ext uri="{02D57815-91ED-43cb-92C2-25804820EDAC}">
                        <c15:formulaRef>
                          <c15:sqref>'RIFvMIF (Scenario1) (BW_Only)'!$I$5:$I$12</c15:sqref>
                        </c15:formulaRef>
                      </c:ext>
                    </c:extLst>
                    <c:numCache>
                      <c:formatCode>"$"#,##0</c:formatCode>
                      <c:ptCount val="8"/>
                      <c:pt idx="0">
                        <c:v>7953.9243558863818</c:v>
                      </c:pt>
                      <c:pt idx="1">
                        <c:v>8696.7327295754585</c:v>
                      </c:pt>
                      <c:pt idx="2">
                        <c:v>8869.3639339381098</c:v>
                      </c:pt>
                      <c:pt idx="4">
                        <c:v>9262.96411484282</c:v>
                      </c:pt>
                      <c:pt idx="5">
                        <c:v>8022.5010904847768</c:v>
                      </c:pt>
                      <c:pt idx="6">
                        <c:v>9834.1602764872605</c:v>
                      </c:pt>
                      <c:pt idx="7">
                        <c:v>10112.214876865566</c:v>
                      </c:pt>
                    </c:numCache>
                  </c:numRef>
                </c:val>
                <c:smooth val="0"/>
                <c:extLst>
                  <c:ext xmlns:c16="http://schemas.microsoft.com/office/drawing/2014/chart" uri="{C3380CC4-5D6E-409C-BE32-E72D297353CC}">
                    <c16:uniqueId val="{00000004-FDC0-F744-9963-7BD6EF8BE76B}"/>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(BW_Only)'!$N$4</c:f>
              <c:strCache>
                <c:ptCount val="1"/>
                <c:pt idx="0">
                  <c:v>Road</c:v>
                </c:pt>
              </c:strCache>
            </c:strRef>
          </c:tx>
          <c:spPr>
            <a:solidFill>
              <a:schemeClr val="accent5"/>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(BW_Only)'!$N$5:$N$12</c:f>
              <c:numCache>
                <c:formatCode>"$"#,##0</c:formatCode>
                <c:ptCount val="8"/>
                <c:pt idx="0">
                  <c:v>3697.3738289835037</c:v>
                </c:pt>
                <c:pt idx="1">
                  <c:v>4064.9947811463717</c:v>
                </c:pt>
                <c:pt idx="2">
                  <c:v>4147.9218789301776</c:v>
                </c:pt>
                <c:pt idx="4">
                  <c:v>4345.5803813198563</c:v>
                </c:pt>
                <c:pt idx="5">
                  <c:v>3761.8107167503804</c:v>
                </c:pt>
                <c:pt idx="6">
                  <c:v>4603.2765926016173</c:v>
                </c:pt>
                <c:pt idx="7">
                  <c:v>4748.5666790379682</c:v>
                </c:pt>
              </c:numCache>
            </c:numRef>
          </c:val>
          <c:extLst>
            <c:ext xmlns:c16="http://schemas.microsoft.com/office/drawing/2014/chart" uri="{C3380CC4-5D6E-409C-BE32-E72D297353CC}">
              <c16:uniqueId val="{00000000-985D-9646-89CE-7A1AEE321BD4}"/>
            </c:ext>
          </c:extLst>
        </c:ser>
        <c:ser>
          <c:idx val="3"/>
          <c:order val="2"/>
          <c:tx>
            <c:strRef>
              <c:f>'RIFvMIF (Scenario1) (BW_Only)'!$P$4</c:f>
              <c:strCache>
                <c:ptCount val="1"/>
                <c:pt idx="0">
                  <c:v>Walk Bike</c:v>
                </c:pt>
              </c:strCache>
            </c:strRef>
          </c:tx>
          <c:spPr>
            <a:solidFill>
              <a:schemeClr val="accent6">
                <a:lumMod val="60000"/>
              </a:schemeClr>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(BW_Only)'!$P$5:$P$12</c:f>
              <c:numCache>
                <c:formatCode>"$"#,##0</c:formatCode>
                <c:ptCount val="8"/>
                <c:pt idx="0">
                  <c:v>85.689451695385017</c:v>
                </c:pt>
                <c:pt idx="1">
                  <c:v>56.964877169868785</c:v>
                </c:pt>
                <c:pt idx="2">
                  <c:v>54.416792337689479</c:v>
                </c:pt>
                <c:pt idx="4">
                  <c:v>34.486580255735724</c:v>
                </c:pt>
                <c:pt idx="5">
                  <c:v>32.870418620894064</c:v>
                </c:pt>
                <c:pt idx="6">
                  <c:v>53.509847558806342</c:v>
                </c:pt>
                <c:pt idx="7">
                  <c:v>30.125952774523125</c:v>
                </c:pt>
              </c:numCache>
            </c:numRef>
          </c:val>
          <c:extLst>
            <c:ext xmlns:c16="http://schemas.microsoft.com/office/drawing/2014/chart" uri="{C3380CC4-5D6E-409C-BE32-E72D297353CC}">
              <c16:uniqueId val="{00000001-985D-9646-89CE-7A1AEE321BD4}"/>
            </c:ext>
          </c:extLst>
        </c:ser>
        <c:ser>
          <c:idx val="2"/>
          <c:order val="3"/>
          <c:tx>
            <c:strRef>
              <c:f>'RIFvMIF (Scenario1) (BW_Only)'!$O$4</c:f>
              <c:strCache>
                <c:ptCount val="1"/>
                <c:pt idx="0">
                  <c:v>Transit</c:v>
                </c:pt>
              </c:strCache>
            </c:strRef>
          </c:tx>
          <c:spPr>
            <a:solidFill>
              <a:schemeClr val="accent4"/>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(BW_Only)'!$O$5:$O$12</c:f>
              <c:numCache>
                <c:formatCode>General</c:formatCode>
                <c:ptCount val="8"/>
              </c:numCache>
            </c:numRef>
          </c:val>
          <c:extLst>
            <c:ext xmlns:c16="http://schemas.microsoft.com/office/drawing/2014/chart" uri="{C3380CC4-5D6E-409C-BE32-E72D297353CC}">
              <c16:uniqueId val="{00000002-985D-9646-89CE-7A1AEE321BD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(BW_Only)'!$M$4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(BW_Only)'!$M$5:$M$12</c:f>
              <c:numCache>
                <c:formatCode>"$"#,##0</c:formatCode>
                <c:ptCount val="8"/>
                <c:pt idx="0">
                  <c:v>4188.18</c:v>
                </c:pt>
                <c:pt idx="1">
                  <c:v>4188.18</c:v>
                </c:pt>
                <c:pt idx="2">
                  <c:v>4188.18</c:v>
                </c:pt>
                <c:pt idx="4">
                  <c:v>4430.5665723982493</c:v>
                </c:pt>
                <c:pt idx="5">
                  <c:v>4430.5665723982493</c:v>
                </c:pt>
                <c:pt idx="6">
                  <c:v>4430.5665723982493</c:v>
                </c:pt>
                <c:pt idx="7">
                  <c:v>4430.5665723982493</c:v>
                </c:pt>
              </c:numCache>
            </c:numRef>
          </c:val>
          <c:smooth val="0"/>
          <c:extLst>
            <c:ext xmlns:c16="http://schemas.microsoft.com/office/drawing/2014/chart" uri="{C3380CC4-5D6E-409C-BE32-E72D297353CC}">
              <c16:uniqueId val="{00000003-985D-9646-89CE-7A1AEE321BD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(BW_Only)'!$V$4</c:f>
              <c:strCache>
                <c:ptCount val="1"/>
                <c:pt idx="0">
                  <c:v>Road</c:v>
                </c:pt>
              </c:strCache>
            </c:strRef>
          </c:tx>
          <c:spPr>
            <a:solidFill>
              <a:schemeClr val="accent5"/>
            </a:solidFill>
            <a:ln>
              <a:noFill/>
            </a:ln>
            <a:effectLst/>
          </c:spPr>
          <c:invertIfNegative val="0"/>
          <c:cat>
            <c:strRef>
              <c:f>'RIFvMIF (Scenario1) (BW_Only)'!$T$5:$T$12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(BW_Only)'!$V$5:$V$12</c:f>
              <c:numCache>
                <c:formatCode>"$"#,##0</c:formatCode>
                <c:ptCount val="8"/>
                <c:pt idx="0">
                  <c:v>8998.6743192378799</c:v>
                </c:pt>
                <c:pt idx="1">
                  <c:v>12084.042617697605</c:v>
                </c:pt>
                <c:pt idx="2">
                  <c:v>12349.330733972771</c:v>
                </c:pt>
                <c:pt idx="4">
                  <c:v>13036.612294274757</c:v>
                </c:pt>
                <c:pt idx="5">
                  <c:v>11322.869046266578</c:v>
                </c:pt>
                <c:pt idx="6">
                  <c:v>13737.14197762925</c:v>
                </c:pt>
                <c:pt idx="7">
                  <c:v>14148.735260870493</c:v>
                </c:pt>
              </c:numCache>
            </c:numRef>
          </c:val>
          <c:extLst>
            <c:ext xmlns:c16="http://schemas.microsoft.com/office/drawing/2014/chart" uri="{C3380CC4-5D6E-409C-BE32-E72D297353CC}">
              <c16:uniqueId val="{00000000-FCD2-6643-BD7B-22DA12AB9A00}"/>
            </c:ext>
          </c:extLst>
        </c:ser>
        <c:ser>
          <c:idx val="3"/>
          <c:order val="2"/>
          <c:tx>
            <c:strRef>
              <c:f>'RIFvMIF (Scenario1) (BW_Only)'!$X$4</c:f>
              <c:strCache>
                <c:ptCount val="1"/>
                <c:pt idx="0">
                  <c:v>Walk Bike</c:v>
                </c:pt>
              </c:strCache>
            </c:strRef>
          </c:tx>
          <c:spPr>
            <a:solidFill>
              <a:schemeClr val="accent6">
                <a:lumMod val="60000"/>
              </a:schemeClr>
            </a:solidFill>
            <a:ln>
              <a:noFill/>
            </a:ln>
            <a:effectLst/>
          </c:spPr>
          <c:invertIfNegative val="0"/>
          <c:cat>
            <c:strRef>
              <c:f>'RIFvMIF (Scenario1) (BW_Only)'!$T$5:$T$12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(BW_Only)'!$X$5:$X$12</c:f>
              <c:numCache>
                <c:formatCode>"$"#,##0</c:formatCode>
                <c:ptCount val="8"/>
                <c:pt idx="0">
                  <c:v>192.26570766961737</c:v>
                </c:pt>
                <c:pt idx="1">
                  <c:v>103.03272532983547</c:v>
                </c:pt>
                <c:pt idx="2">
                  <c:v>99.068405621608051</c:v>
                </c:pt>
                <c:pt idx="4">
                  <c:v>62.648977103656335</c:v>
                </c:pt>
                <c:pt idx="5">
                  <c:v>60.060368628548545</c:v>
                </c:pt>
                <c:pt idx="6">
                  <c:v>96.930976415558547</c:v>
                </c:pt>
                <c:pt idx="7">
                  <c:v>54.490762223143399</c:v>
                </c:pt>
              </c:numCache>
            </c:numRef>
          </c:val>
          <c:extLst>
            <c:ext xmlns:c16="http://schemas.microsoft.com/office/drawing/2014/chart" uri="{C3380CC4-5D6E-409C-BE32-E72D297353CC}">
              <c16:uniqueId val="{00000001-FCD2-6643-BD7B-22DA12AB9A00}"/>
            </c:ext>
          </c:extLst>
        </c:ser>
        <c:ser>
          <c:idx val="2"/>
          <c:order val="3"/>
          <c:tx>
            <c:strRef>
              <c:f>'RIFvMIF (Scenario1) (BW_Only)'!$W$4</c:f>
              <c:strCache>
                <c:ptCount val="1"/>
                <c:pt idx="0">
                  <c:v>Transit</c:v>
                </c:pt>
              </c:strCache>
            </c:strRef>
          </c:tx>
          <c:spPr>
            <a:solidFill>
              <a:schemeClr val="accent4"/>
            </a:solidFill>
            <a:ln>
              <a:noFill/>
            </a:ln>
            <a:effectLst/>
          </c:spPr>
          <c:invertIfNegative val="0"/>
          <c:cat>
            <c:strRef>
              <c:f>'RIFvMIF (Scenario1) (BW_Only)'!$T$5:$T$12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(BW_Only)'!$W$5:$W$12</c:f>
              <c:numCache>
                <c:formatCode>General</c:formatCode>
                <c:ptCount val="8"/>
              </c:numCache>
            </c:numRef>
          </c:val>
          <c:extLst>
            <c:ext xmlns:c16="http://schemas.microsoft.com/office/drawing/2014/chart" uri="{C3380CC4-5D6E-409C-BE32-E72D297353CC}">
              <c16:uniqueId val="{00000002-FCD2-6643-BD7B-22DA12AB9A0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(BW_Only)'!$U$4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(BW_Only)'!$T$5:$T$12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(BW_Only)'!$U$5:$U$12</c:f>
              <c:numCache>
                <c:formatCode>"$"#,##0</c:formatCode>
                <c:ptCount val="8"/>
                <c:pt idx="0">
                  <c:v>13259.2</c:v>
                </c:pt>
                <c:pt idx="1">
                  <c:v>13259.2</c:v>
                </c:pt>
                <c:pt idx="2">
                  <c:v>13259.2</c:v>
                </c:pt>
                <c:pt idx="4">
                  <c:v>14022</c:v>
                </c:pt>
                <c:pt idx="5">
                  <c:v>14022</c:v>
                </c:pt>
                <c:pt idx="6">
                  <c:v>14022</c:v>
                </c:pt>
                <c:pt idx="7">
                  <c:v>14022</c:v>
                </c:pt>
              </c:numCache>
            </c:numRef>
          </c:val>
          <c:smooth val="0"/>
          <c:extLst>
            <c:ext xmlns:c16="http://schemas.microsoft.com/office/drawing/2014/chart" uri="{C3380CC4-5D6E-409C-BE32-E72D297353CC}">
              <c16:uniqueId val="{00000003-FCD2-6643-BD7B-22DA12AB9A0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0"/>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(BW_Only)'!$AD$4</c:f>
              <c:strCache>
                <c:ptCount val="1"/>
                <c:pt idx="0">
                  <c:v>Road</c:v>
                </c:pt>
              </c:strCache>
            </c:strRef>
          </c:tx>
          <c:spPr>
            <a:solidFill>
              <a:schemeClr val="accent5"/>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(BW_Only)'!$AD$5:$AD$12</c:f>
              <c:numCache>
                <c:formatCode>"$"#,##0</c:formatCode>
                <c:ptCount val="8"/>
                <c:pt idx="0">
                  <c:v>9718.2062543462307</c:v>
                </c:pt>
                <c:pt idx="1">
                  <c:v>13050.279894454625</c:v>
                </c:pt>
                <c:pt idx="2">
                  <c:v>13336.780387674762</c:v>
                </c:pt>
                <c:pt idx="4">
                  <c:v>14079.016823940106</c:v>
                </c:pt>
                <c:pt idx="5">
                  <c:v>12228.243058794311</c:v>
                </c:pt>
                <c:pt idx="6">
                  <c:v>14835.560700139351</c:v>
                </c:pt>
                <c:pt idx="7">
                  <c:v>15280.064887927396</c:v>
                </c:pt>
              </c:numCache>
            </c:numRef>
          </c:val>
          <c:extLst>
            <c:ext xmlns:c16="http://schemas.microsoft.com/office/drawing/2014/chart" uri="{C3380CC4-5D6E-409C-BE32-E72D297353CC}">
              <c16:uniqueId val="{00000000-17E6-3C47-9A59-5CEDD5C28C5E}"/>
            </c:ext>
          </c:extLst>
        </c:ser>
        <c:ser>
          <c:idx val="3"/>
          <c:order val="2"/>
          <c:tx>
            <c:strRef>
              <c:f>'RIFvMIF (Scenario1) (BW_Only)'!$AF$4</c:f>
              <c:strCache>
                <c:ptCount val="1"/>
                <c:pt idx="0">
                  <c:v>Walk Bike</c:v>
                </c:pt>
              </c:strCache>
            </c:strRef>
          </c:tx>
          <c:spPr>
            <a:solidFill>
              <a:schemeClr val="accent6">
                <a:lumMod val="60000"/>
              </a:schemeClr>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(BW_Only)'!$AF$5:$AF$12</c:f>
              <c:numCache>
                <c:formatCode>"$"#,##0</c:formatCode>
                <c:ptCount val="8"/>
                <c:pt idx="0">
                  <c:v>207.6392295670309</c:v>
                </c:pt>
                <c:pt idx="1">
                  <c:v>111.27119842109661</c:v>
                </c:pt>
                <c:pt idx="2">
                  <c:v>104.22915029640636</c:v>
                </c:pt>
                <c:pt idx="4">
                  <c:v>67.658374947023376</c:v>
                </c:pt>
                <c:pt idx="5">
                  <c:v>64.862781931831705</c:v>
                </c:pt>
                <c:pt idx="6">
                  <c:v>104.68155506280708</c:v>
                </c:pt>
                <c:pt idx="7">
                  <c:v>58.847831075399412</c:v>
                </c:pt>
              </c:numCache>
            </c:numRef>
          </c:val>
          <c:extLst>
            <c:ext xmlns:c16="http://schemas.microsoft.com/office/drawing/2014/chart" uri="{C3380CC4-5D6E-409C-BE32-E72D297353CC}">
              <c16:uniqueId val="{00000001-17E6-3C47-9A59-5CEDD5C28C5E}"/>
            </c:ext>
          </c:extLst>
        </c:ser>
        <c:ser>
          <c:idx val="2"/>
          <c:order val="3"/>
          <c:tx>
            <c:strRef>
              <c:f>'RIFvMIF (Scenario1) (BW_Only)'!$AE$4</c:f>
              <c:strCache>
                <c:ptCount val="1"/>
                <c:pt idx="0">
                  <c:v>Transit</c:v>
                </c:pt>
              </c:strCache>
            </c:strRef>
          </c:tx>
          <c:spPr>
            <a:solidFill>
              <a:schemeClr val="accent4"/>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(BW_Only)'!$AE$5:$AE$12</c:f>
              <c:numCache>
                <c:formatCode>General</c:formatCode>
                <c:ptCount val="8"/>
              </c:numCache>
            </c:numRef>
          </c:val>
          <c:extLst>
            <c:ext xmlns:c16="http://schemas.microsoft.com/office/drawing/2014/chart" uri="{C3380CC4-5D6E-409C-BE32-E72D297353CC}">
              <c16:uniqueId val="{00000002-17E6-3C47-9A59-5CEDD5C28C5E}"/>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(BW_Only)'!$AC$4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(BW_Only)'!$AB$5:$AB$12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(BW_Only)'!$AC$5:$AC$12</c:f>
              <c:numCache>
                <c:formatCode>"$"#,##0</c:formatCode>
                <c:ptCount val="8"/>
                <c:pt idx="0">
                  <c:v>13383.7</c:v>
                </c:pt>
                <c:pt idx="1">
                  <c:v>13383.7</c:v>
                </c:pt>
                <c:pt idx="2">
                  <c:v>13383.7</c:v>
                </c:pt>
                <c:pt idx="4">
                  <c:v>14857</c:v>
                </c:pt>
                <c:pt idx="5">
                  <c:v>14857</c:v>
                </c:pt>
                <c:pt idx="6">
                  <c:v>14857</c:v>
                </c:pt>
                <c:pt idx="7">
                  <c:v>14857</c:v>
                </c:pt>
              </c:numCache>
            </c:numRef>
          </c:val>
          <c:smooth val="0"/>
          <c:extLst>
            <c:ext xmlns:c16="http://schemas.microsoft.com/office/drawing/2014/chart" uri="{C3380CC4-5D6E-409C-BE32-E72D297353CC}">
              <c16:uniqueId val="{00000003-17E6-3C47-9A59-5CEDD5C28C5E}"/>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Warehousing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(Scenario1) (BW_Only)'!$AL$4</c:f>
              <c:strCache>
                <c:ptCount val="1"/>
                <c:pt idx="0">
                  <c:v>Road</c:v>
                </c:pt>
              </c:strCache>
            </c:strRef>
          </c:tx>
          <c:spPr>
            <a:solidFill>
              <a:schemeClr val="accent5"/>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(BW_Only)'!$AL$5:$AL$12</c:f>
              <c:numCache>
                <c:formatCode>"$"#,##0</c:formatCode>
                <c:ptCount val="8"/>
                <c:pt idx="0">
                  <c:v>1179.3160191465954</c:v>
                </c:pt>
                <c:pt idx="1">
                  <c:v>1583.6671635770333</c:v>
                </c:pt>
                <c:pt idx="2">
                  <c:v>1618.4343430652029</c:v>
                </c:pt>
                <c:pt idx="4">
                  <c:v>1483.9120047287395</c:v>
                </c:pt>
                <c:pt idx="5">
                  <c:v>1483.9120047287395</c:v>
                </c:pt>
                <c:pt idx="6">
                  <c:v>1800.3131368889647</c:v>
                </c:pt>
                <c:pt idx="7">
                  <c:v>1854.2542547780552</c:v>
                </c:pt>
              </c:numCache>
            </c:numRef>
          </c:val>
          <c:extLst>
            <c:ext xmlns:c16="http://schemas.microsoft.com/office/drawing/2014/chart" uri="{C3380CC4-5D6E-409C-BE32-E72D297353CC}">
              <c16:uniqueId val="{00000000-4A41-254D-8644-5C5905493EAF}"/>
            </c:ext>
          </c:extLst>
        </c:ser>
        <c:ser>
          <c:idx val="3"/>
          <c:order val="2"/>
          <c:tx>
            <c:strRef>
              <c:f>'RIFvMIF (Scenario1) (BW_Only)'!$AN$4</c:f>
              <c:strCache>
                <c:ptCount val="1"/>
                <c:pt idx="0">
                  <c:v>Walk Bike</c:v>
                </c:pt>
              </c:strCache>
            </c:strRef>
          </c:tx>
          <c:spPr>
            <a:solidFill>
              <a:schemeClr val="accent6">
                <a:lumMod val="60000"/>
              </a:schemeClr>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(BW_Only)'!$AN$5:$AN$12</c:f>
              <c:numCache>
                <c:formatCode>"$"#,##0</c:formatCode>
                <c:ptCount val="8"/>
                <c:pt idx="0">
                  <c:v>25.197270280422764</c:v>
                </c:pt>
                <c:pt idx="1">
                  <c:v>13.502893778257883</c:v>
                </c:pt>
                <c:pt idx="2">
                  <c:v>12.983352169008144</c:v>
                </c:pt>
                <c:pt idx="4">
                  <c:v>7.8711766118785063</c:v>
                </c:pt>
                <c:pt idx="5">
                  <c:v>7.8711766118785063</c:v>
                </c:pt>
                <c:pt idx="6">
                  <c:v>12.703232629944811</c:v>
                </c:pt>
                <c:pt idx="7">
                  <c:v>7.141255089972371</c:v>
                </c:pt>
              </c:numCache>
            </c:numRef>
          </c:val>
          <c:extLst>
            <c:ext xmlns:c16="http://schemas.microsoft.com/office/drawing/2014/chart" uri="{C3380CC4-5D6E-409C-BE32-E72D297353CC}">
              <c16:uniqueId val="{00000001-4A41-254D-8644-5C5905493EAF}"/>
            </c:ext>
          </c:extLst>
        </c:ser>
        <c:ser>
          <c:idx val="2"/>
          <c:order val="3"/>
          <c:tx>
            <c:strRef>
              <c:f>'RIFvMIF (Scenario1) (BW_Only)'!$AM$4</c:f>
              <c:strCache>
                <c:ptCount val="1"/>
                <c:pt idx="0">
                  <c:v>Transit</c:v>
                </c:pt>
              </c:strCache>
            </c:strRef>
          </c:tx>
          <c:spPr>
            <a:solidFill>
              <a:schemeClr val="accent4"/>
            </a:solidFill>
            <a:ln>
              <a:noFill/>
            </a:ln>
            <a:effectLst/>
          </c:spPr>
          <c:invertIfNegative val="0"/>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(BW_Only)'!$AM$5:$AM$12</c:f>
              <c:numCache>
                <c:formatCode>General</c:formatCode>
                <c:ptCount val="8"/>
              </c:numCache>
            </c:numRef>
          </c:val>
          <c:extLst>
            <c:ext xmlns:c16="http://schemas.microsoft.com/office/drawing/2014/chart" uri="{C3380CC4-5D6E-409C-BE32-E72D297353CC}">
              <c16:uniqueId val="{00000002-4A41-254D-8644-5C5905493EAF}"/>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(Scenario1) (BW_Only)'!$AK$4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(Scenario1) (BW_Only)'!$D$5:$D$12</c:f>
              <c:strCache>
                <c:ptCount val="8"/>
                <c:pt idx="0">
                  <c:v>Ring 1 In SMART Plan</c:v>
                </c:pt>
                <c:pt idx="1">
                  <c:v>Ring 2 In SMART Plan</c:v>
                </c:pt>
                <c:pt idx="2">
                  <c:v>Ring 2 Out SMART Plan</c:v>
                </c:pt>
                <c:pt idx="4">
                  <c:v>Ring 3 In SMART Plan</c:v>
                </c:pt>
                <c:pt idx="5">
                  <c:v>Ring 4 In SMART Plan</c:v>
                </c:pt>
                <c:pt idx="6">
                  <c:v>Ring 3 Out SMART Plan</c:v>
                </c:pt>
                <c:pt idx="7">
                  <c:v>Ring 4 Out SMART Plan</c:v>
                </c:pt>
              </c:strCache>
            </c:strRef>
          </c:cat>
          <c:val>
            <c:numRef>
              <c:f>'RIFvMIF (Scenario1) (BW_Only)'!$AK$5:$AK$12</c:f>
              <c:numCache>
                <c:formatCode>"$"#,##0</c:formatCode>
                <c:ptCount val="8"/>
                <c:pt idx="0">
                  <c:v>5002.3</c:v>
                </c:pt>
                <c:pt idx="1">
                  <c:v>5002.3</c:v>
                </c:pt>
                <c:pt idx="2">
                  <c:v>5002.3</c:v>
                </c:pt>
                <c:pt idx="4">
                  <c:v>5552.9615203568519</c:v>
                </c:pt>
                <c:pt idx="5">
                  <c:v>5552.9615203568519</c:v>
                </c:pt>
                <c:pt idx="6">
                  <c:v>5552.9615203568519</c:v>
                </c:pt>
                <c:pt idx="7">
                  <c:v>5552.9615203568519</c:v>
                </c:pt>
              </c:numCache>
            </c:numRef>
          </c:val>
          <c:smooth val="0"/>
          <c:extLst>
            <c:ext xmlns:c16="http://schemas.microsoft.com/office/drawing/2014/chart" uri="{C3380CC4-5D6E-409C-BE32-E72D297353CC}">
              <c16:uniqueId val="{00000003-4A41-254D-8644-5C5905493EAF}"/>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5" Type="http://schemas.openxmlformats.org/officeDocument/2006/relationships/chart" Target="../charts/chart33.xml"/><Relationship Id="rId4" Type="http://schemas.openxmlformats.org/officeDocument/2006/relationships/chart" Target="../charts/chart3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5" Type="http://schemas.openxmlformats.org/officeDocument/2006/relationships/chart" Target="../charts/chart38.xml"/><Relationship Id="rId4"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711200</xdr:colOff>
      <xdr:row>72</xdr:row>
      <xdr:rowOff>165100</xdr:rowOff>
    </xdr:from>
    <xdr:to>
      <xdr:col>46</xdr:col>
      <xdr:colOff>12700</xdr:colOff>
      <xdr:row>78</xdr:row>
      <xdr:rowOff>132982</xdr:rowOff>
    </xdr:to>
    <xdr:pic>
      <xdr:nvPicPr>
        <xdr:cNvPr id="2" name="Picture 1">
          <a:extLst>
            <a:ext uri="{FF2B5EF4-FFF2-40B4-BE49-F238E27FC236}">
              <a16:creationId xmlns:a16="http://schemas.microsoft.com/office/drawing/2014/main" id="{AE58969F-2358-8A48-A721-718B045BCC8E}"/>
            </a:ext>
          </a:extLst>
        </xdr:cNvPr>
        <xdr:cNvPicPr>
          <a:picLocks noChangeAspect="1"/>
        </xdr:cNvPicPr>
      </xdr:nvPicPr>
      <xdr:blipFill>
        <a:blip xmlns:r="http://schemas.openxmlformats.org/officeDocument/2006/relationships" r:embed="rId1"/>
        <a:stretch>
          <a:fillRect/>
        </a:stretch>
      </xdr:blipFill>
      <xdr:spPr>
        <a:xfrm>
          <a:off x="18834100" y="17145000"/>
          <a:ext cx="7772400" cy="12632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401875</xdr:colOff>
      <xdr:row>2</xdr:row>
      <xdr:rowOff>237647</xdr:rowOff>
    </xdr:from>
    <xdr:to>
      <xdr:col>51</xdr:col>
      <xdr:colOff>417533</xdr:colOff>
      <xdr:row>32</xdr:row>
      <xdr:rowOff>226165</xdr:rowOff>
    </xdr:to>
    <xdr:graphicFrame macro="">
      <xdr:nvGraphicFramePr>
        <xdr:cNvPr id="2" name="Chart 1">
          <a:extLst>
            <a:ext uri="{FF2B5EF4-FFF2-40B4-BE49-F238E27FC236}">
              <a16:creationId xmlns:a16="http://schemas.microsoft.com/office/drawing/2014/main" id="{2F08A3FD-6C3C-0448-8056-62E87254F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532279</xdr:colOff>
      <xdr:row>9</xdr:row>
      <xdr:rowOff>339538</xdr:rowOff>
    </xdr:from>
    <xdr:to>
      <xdr:col>25</xdr:col>
      <xdr:colOff>207308</xdr:colOff>
      <xdr:row>23</xdr:row>
      <xdr:rowOff>95623</xdr:rowOff>
    </xdr:to>
    <xdr:graphicFrame macro="">
      <xdr:nvGraphicFramePr>
        <xdr:cNvPr id="2" name="Chart 1">
          <a:extLst>
            <a:ext uri="{FF2B5EF4-FFF2-40B4-BE49-F238E27FC236}">
              <a16:creationId xmlns:a16="http://schemas.microsoft.com/office/drawing/2014/main" id="{8205D52C-ED14-403D-906B-730C3470D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25</xdr:row>
      <xdr:rowOff>0</xdr:rowOff>
    </xdr:from>
    <xdr:to>
      <xdr:col>25</xdr:col>
      <xdr:colOff>291353</xdr:colOff>
      <xdr:row>38</xdr:row>
      <xdr:rowOff>148291</xdr:rowOff>
    </xdr:to>
    <xdr:graphicFrame macro="">
      <xdr:nvGraphicFramePr>
        <xdr:cNvPr id="5" name="Chart 4">
          <a:extLst>
            <a:ext uri="{FF2B5EF4-FFF2-40B4-BE49-F238E27FC236}">
              <a16:creationId xmlns:a16="http://schemas.microsoft.com/office/drawing/2014/main" id="{3109B14F-68F1-4409-9093-B9EF2580F258}"/>
            </a:ext>
            <a:ext uri="{147F2762-F138-4A5C-976F-8EAC2B608ADB}">
              <a16:predDERef xmlns:a16="http://schemas.microsoft.com/office/drawing/2014/main" pred="{8205D52C-ED14-403D-906B-730C3470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12700</xdr:colOff>
      <xdr:row>5</xdr:row>
      <xdr:rowOff>146050</xdr:rowOff>
    </xdr:from>
    <xdr:to>
      <xdr:col>20</xdr:col>
      <xdr:colOff>330200</xdr:colOff>
      <xdr:row>36</xdr:row>
      <xdr:rowOff>50800</xdr:rowOff>
    </xdr:to>
    <xdr:graphicFrame macro="">
      <xdr:nvGraphicFramePr>
        <xdr:cNvPr id="2" name="Chart 1">
          <a:extLst>
            <a:ext uri="{FF2B5EF4-FFF2-40B4-BE49-F238E27FC236}">
              <a16:creationId xmlns:a16="http://schemas.microsoft.com/office/drawing/2014/main" id="{8C8960B8-2269-E340-AF64-8765CB4D9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23813</xdr:colOff>
      <xdr:row>16</xdr:row>
      <xdr:rowOff>34017</xdr:rowOff>
    </xdr:from>
    <xdr:to>
      <xdr:col>10</xdr:col>
      <xdr:colOff>493713</xdr:colOff>
      <xdr:row>31</xdr:row>
      <xdr:rowOff>186417</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11906</xdr:colOff>
      <xdr:row>16</xdr:row>
      <xdr:rowOff>20833</xdr:rowOff>
    </xdr:from>
    <xdr:to>
      <xdr:col>17</xdr:col>
      <xdr:colOff>469106</xdr:colOff>
      <xdr:row>31</xdr:row>
      <xdr:rowOff>173233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4074</xdr:colOff>
      <xdr:row>15</xdr:row>
      <xdr:rowOff>40846</xdr:rowOff>
    </xdr:from>
    <xdr:to>
      <xdr:col>27</xdr:col>
      <xdr:colOff>143774</xdr:colOff>
      <xdr:row>30</xdr:row>
      <xdr:rowOff>193246</xdr:rowOff>
    </xdr:to>
    <xdr:graphicFrame macro="">
      <xdr:nvGraphicFramePr>
        <xdr:cNvPr id="35"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5111</xdr:colOff>
      <xdr:row>15</xdr:row>
      <xdr:rowOff>129493</xdr:rowOff>
    </xdr:from>
    <xdr:to>
      <xdr:col>35</xdr:col>
      <xdr:colOff>187749</xdr:colOff>
      <xdr:row>31</xdr:row>
      <xdr:rowOff>39988</xdr:rowOff>
    </xdr:to>
    <xdr:graphicFrame macro="">
      <xdr:nvGraphicFramePr>
        <xdr:cNvPr id="34"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358936</xdr:colOff>
      <xdr:row>16</xdr:row>
      <xdr:rowOff>35049</xdr:rowOff>
    </xdr:from>
    <xdr:to>
      <xdr:col>43</xdr:col>
      <xdr:colOff>333537</xdr:colOff>
      <xdr:row>31</xdr:row>
      <xdr:rowOff>189868</xdr:rowOff>
    </xdr:to>
    <xdr:graphicFrame macro="">
      <xdr:nvGraphicFramePr>
        <xdr:cNvPr id="33" name="Chart 1">
          <a:extLst>
            <a:ext uri="{FF2B5EF4-FFF2-40B4-BE49-F238E27FC236}">
              <a16:creationId xmlns:a16="http://schemas.microsoft.com/office/drawing/2014/main" id="{1015CF6E-C171-4399-B2E6-26EC4854D319}"/>
            </a:ext>
            <a:ext uri="{147F2762-F138-4A5C-976F-8EAC2B608ADB}">
              <a16:predDERef xmlns:a16="http://schemas.microsoft.com/office/drawing/2014/main" pred="{0E51A8F2-069B-A64C-BA9D-31C9F2A83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23813</xdr:colOff>
      <xdr:row>16</xdr:row>
      <xdr:rowOff>34017</xdr:rowOff>
    </xdr:from>
    <xdr:to>
      <xdr:col>10</xdr:col>
      <xdr:colOff>493713</xdr:colOff>
      <xdr:row>31</xdr:row>
      <xdr:rowOff>186417</xdr:rowOff>
    </xdr:to>
    <xdr:graphicFrame macro="">
      <xdr:nvGraphicFramePr>
        <xdr:cNvPr id="2" name="Chart 1">
          <a:extLst>
            <a:ext uri="{FF2B5EF4-FFF2-40B4-BE49-F238E27FC236}">
              <a16:creationId xmlns:a16="http://schemas.microsoft.com/office/drawing/2014/main" id="{595AF200-E0CE-4BA2-9B5C-C8950C370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33</xdr:row>
      <xdr:rowOff>0</xdr:rowOff>
    </xdr:from>
    <xdr:to>
      <xdr:col>10</xdr:col>
      <xdr:colOff>385762</xdr:colOff>
      <xdr:row>48</xdr:row>
      <xdr:rowOff>28575</xdr:rowOff>
    </xdr:to>
    <xdr:graphicFrame macro="">
      <xdr:nvGraphicFramePr>
        <xdr:cNvPr id="3" name="Chart 2">
          <a:extLst>
            <a:ext uri="{FF2B5EF4-FFF2-40B4-BE49-F238E27FC236}">
              <a16:creationId xmlns:a16="http://schemas.microsoft.com/office/drawing/2014/main" id="{B88D25B2-0179-449A-A4B9-9C284037378E}"/>
            </a:ext>
            <a:ext uri="{147F2762-F138-4A5C-976F-8EAC2B608ADB}">
              <a16:predDERef xmlns:a16="http://schemas.microsoft.com/office/drawing/2014/main" pred="{595AF200-E0CE-4BA2-9B5C-C8950C370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50</xdr:row>
      <xdr:rowOff>0</xdr:rowOff>
    </xdr:from>
    <xdr:to>
      <xdr:col>10</xdr:col>
      <xdr:colOff>385762</xdr:colOff>
      <xdr:row>65</xdr:row>
      <xdr:rowOff>28575</xdr:rowOff>
    </xdr:to>
    <xdr:graphicFrame macro="">
      <xdr:nvGraphicFramePr>
        <xdr:cNvPr id="4" name="Chart 3">
          <a:extLst>
            <a:ext uri="{FF2B5EF4-FFF2-40B4-BE49-F238E27FC236}">
              <a16:creationId xmlns:a16="http://schemas.microsoft.com/office/drawing/2014/main" id="{2D401E3D-888C-4660-A277-EF0A47404128}"/>
            </a:ext>
            <a:ext uri="{147F2762-F138-4A5C-976F-8EAC2B608ADB}">
              <a16:predDERef xmlns:a16="http://schemas.microsoft.com/office/drawing/2014/main" pred="{B88D25B2-0179-449A-A4B9-9C2840373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37</xdr:row>
      <xdr:rowOff>138113</xdr:rowOff>
    </xdr:from>
    <xdr:to>
      <xdr:col>10</xdr:col>
      <xdr:colOff>209550</xdr:colOff>
      <xdr:row>37</xdr:row>
      <xdr:rowOff>138113</xdr:rowOff>
    </xdr:to>
    <xdr:cxnSp macro="">
      <xdr:nvCxnSpPr>
        <xdr:cNvPr id="5" name="Straight Connector 9">
          <a:extLst>
            <a:ext uri="{FF2B5EF4-FFF2-40B4-BE49-F238E27FC236}">
              <a16:creationId xmlns:a16="http://schemas.microsoft.com/office/drawing/2014/main" id="{3A23DF20-31D0-44F6-9A1C-DBCE5CDA5A23}"/>
            </a:ext>
          </a:extLst>
        </xdr:cNvPr>
        <xdr:cNvCxnSpPr/>
      </xdr:nvCxnSpPr>
      <xdr:spPr>
        <a:xfrm>
          <a:off x="2385060" y="7689533"/>
          <a:ext cx="44767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54</xdr:row>
      <xdr:rowOff>133351</xdr:rowOff>
    </xdr:from>
    <xdr:to>
      <xdr:col>10</xdr:col>
      <xdr:colOff>261937</xdr:colOff>
      <xdr:row>54</xdr:row>
      <xdr:rowOff>133351</xdr:rowOff>
    </xdr:to>
    <xdr:cxnSp macro="">
      <xdr:nvCxnSpPr>
        <xdr:cNvPr id="6" name="Straight Connector 10">
          <a:extLst>
            <a:ext uri="{FF2B5EF4-FFF2-40B4-BE49-F238E27FC236}">
              <a16:creationId xmlns:a16="http://schemas.microsoft.com/office/drawing/2014/main" id="{C08E2316-D2B9-4E35-B025-9308322F7314}"/>
            </a:ext>
          </a:extLst>
        </xdr:cNvPr>
        <xdr:cNvCxnSpPr/>
      </xdr:nvCxnSpPr>
      <xdr:spPr>
        <a:xfrm>
          <a:off x="2437447" y="11052811"/>
          <a:ext cx="44767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11906</xdr:colOff>
      <xdr:row>15</xdr:row>
      <xdr:rowOff>180853</xdr:rowOff>
    </xdr:from>
    <xdr:to>
      <xdr:col>17</xdr:col>
      <xdr:colOff>469106</xdr:colOff>
      <xdr:row>31</xdr:row>
      <xdr:rowOff>130053</xdr:rowOff>
    </xdr:to>
    <xdr:graphicFrame macro="">
      <xdr:nvGraphicFramePr>
        <xdr:cNvPr id="7" name="Chart 1">
          <a:extLst>
            <a:ext uri="{FF2B5EF4-FFF2-40B4-BE49-F238E27FC236}">
              <a16:creationId xmlns:a16="http://schemas.microsoft.com/office/drawing/2014/main" id="{02436844-BE58-4D06-A438-8EEB3595BF6F}"/>
            </a:ext>
            <a:ext uri="{147F2762-F138-4A5C-976F-8EAC2B608ADB}">
              <a16:predDERef xmlns:a16="http://schemas.microsoft.com/office/drawing/2014/main" pred="{C08E2316-D2B9-4E35-B025-9308322F7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6470</xdr:colOff>
      <xdr:row>16</xdr:row>
      <xdr:rowOff>2747</xdr:rowOff>
    </xdr:from>
    <xdr:to>
      <xdr:col>27</xdr:col>
      <xdr:colOff>161267</xdr:colOff>
      <xdr:row>31</xdr:row>
      <xdr:rowOff>147958</xdr:rowOff>
    </xdr:to>
    <xdr:graphicFrame macro="">
      <xdr:nvGraphicFramePr>
        <xdr:cNvPr id="8" name="Chart 1">
          <a:extLst>
            <a:ext uri="{FF2B5EF4-FFF2-40B4-BE49-F238E27FC236}">
              <a16:creationId xmlns:a16="http://schemas.microsoft.com/office/drawing/2014/main" id="{A5578D90-F621-4CDA-8013-8723A2F3C65B}"/>
            </a:ext>
            <a:ext uri="{147F2762-F138-4A5C-976F-8EAC2B608ADB}">
              <a16:predDERef xmlns:a16="http://schemas.microsoft.com/office/drawing/2014/main" pred="{02436844-BE58-4D06-A438-8EEB3595B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230068</xdr:colOff>
      <xdr:row>16</xdr:row>
      <xdr:rowOff>40690</xdr:rowOff>
    </xdr:from>
    <xdr:to>
      <xdr:col>35</xdr:col>
      <xdr:colOff>450760</xdr:colOff>
      <xdr:row>31</xdr:row>
      <xdr:rowOff>185901</xdr:rowOff>
    </xdr:to>
    <xdr:graphicFrame macro="">
      <xdr:nvGraphicFramePr>
        <xdr:cNvPr id="9" name="Chart 1">
          <a:extLst>
            <a:ext uri="{FF2B5EF4-FFF2-40B4-BE49-F238E27FC236}">
              <a16:creationId xmlns:a16="http://schemas.microsoft.com/office/drawing/2014/main" id="{FA0CB8F9-9EED-4EF1-802F-984451B555DC}"/>
            </a:ext>
            <a:ext uri="{147F2762-F138-4A5C-976F-8EAC2B608ADB}">
              <a16:predDERef xmlns:a16="http://schemas.microsoft.com/office/drawing/2014/main" pred="{A5578D90-F621-4CDA-8013-8723A2F3C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154032</xdr:colOff>
      <xdr:row>17</xdr:row>
      <xdr:rowOff>16425</xdr:rowOff>
    </xdr:from>
    <xdr:to>
      <xdr:col>45</xdr:col>
      <xdr:colOff>411666</xdr:colOff>
      <xdr:row>32</xdr:row>
      <xdr:rowOff>161636</xdr:rowOff>
    </xdr:to>
    <xdr:graphicFrame macro="">
      <xdr:nvGraphicFramePr>
        <xdr:cNvPr id="10" name="Chart 1">
          <a:extLst>
            <a:ext uri="{FF2B5EF4-FFF2-40B4-BE49-F238E27FC236}">
              <a16:creationId xmlns:a16="http://schemas.microsoft.com/office/drawing/2014/main" id="{B508285B-9662-4584-B047-D872B9D05845}"/>
            </a:ext>
            <a:ext uri="{147F2762-F138-4A5C-976F-8EAC2B608ADB}">
              <a16:predDERef xmlns:a16="http://schemas.microsoft.com/office/drawing/2014/main" pred="{FA0CB8F9-9EED-4EF1-802F-984451B55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16</xdr:row>
      <xdr:rowOff>107677</xdr:rowOff>
    </xdr:from>
    <xdr:to>
      <xdr:col>7</xdr:col>
      <xdr:colOff>469900</xdr:colOff>
      <xdr:row>32</xdr:row>
      <xdr:rowOff>56877</xdr:rowOff>
    </xdr:to>
    <xdr:graphicFrame macro="">
      <xdr:nvGraphicFramePr>
        <xdr:cNvPr id="2" name="Chart 1">
          <a:extLst>
            <a:ext uri="{FF2B5EF4-FFF2-40B4-BE49-F238E27FC236}">
              <a16:creationId xmlns:a16="http://schemas.microsoft.com/office/drawing/2014/main" id="{4F51A65C-AC59-4639-9D71-6B829C5CD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33</xdr:row>
      <xdr:rowOff>0</xdr:rowOff>
    </xdr:from>
    <xdr:to>
      <xdr:col>10</xdr:col>
      <xdr:colOff>385762</xdr:colOff>
      <xdr:row>48</xdr:row>
      <xdr:rowOff>28575</xdr:rowOff>
    </xdr:to>
    <xdr:graphicFrame macro="">
      <xdr:nvGraphicFramePr>
        <xdr:cNvPr id="3" name="Chart 2">
          <a:extLst>
            <a:ext uri="{FF2B5EF4-FFF2-40B4-BE49-F238E27FC236}">
              <a16:creationId xmlns:a16="http://schemas.microsoft.com/office/drawing/2014/main" id="{D217E6FE-7088-41A7-B815-9D53E1D3B323}"/>
            </a:ext>
            <a:ext uri="{147F2762-F138-4A5C-976F-8EAC2B608ADB}">
              <a16:predDERef xmlns:a16="http://schemas.microsoft.com/office/drawing/2014/main" pred="{4F51A65C-AC59-4639-9D71-6B829C5CD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50</xdr:row>
      <xdr:rowOff>0</xdr:rowOff>
    </xdr:from>
    <xdr:to>
      <xdr:col>10</xdr:col>
      <xdr:colOff>385762</xdr:colOff>
      <xdr:row>65</xdr:row>
      <xdr:rowOff>28575</xdr:rowOff>
    </xdr:to>
    <xdr:graphicFrame macro="">
      <xdr:nvGraphicFramePr>
        <xdr:cNvPr id="4" name="Chart 3">
          <a:extLst>
            <a:ext uri="{FF2B5EF4-FFF2-40B4-BE49-F238E27FC236}">
              <a16:creationId xmlns:a16="http://schemas.microsoft.com/office/drawing/2014/main" id="{FEC69C85-4C42-4CAE-BC96-3937ADF7595B}"/>
            </a:ext>
            <a:ext uri="{147F2762-F138-4A5C-976F-8EAC2B608ADB}">
              <a16:predDERef xmlns:a16="http://schemas.microsoft.com/office/drawing/2014/main" pred="{D217E6FE-7088-41A7-B815-9D53E1D3B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37</xdr:row>
      <xdr:rowOff>138113</xdr:rowOff>
    </xdr:from>
    <xdr:to>
      <xdr:col>10</xdr:col>
      <xdr:colOff>209550</xdr:colOff>
      <xdr:row>37</xdr:row>
      <xdr:rowOff>138113</xdr:rowOff>
    </xdr:to>
    <xdr:cxnSp macro="">
      <xdr:nvCxnSpPr>
        <xdr:cNvPr id="5" name="Straight Connector 9">
          <a:extLst>
            <a:ext uri="{FF2B5EF4-FFF2-40B4-BE49-F238E27FC236}">
              <a16:creationId xmlns:a16="http://schemas.microsoft.com/office/drawing/2014/main" id="{24C642DB-CC61-4085-8B79-0A83C4F88577}"/>
            </a:ext>
          </a:extLst>
        </xdr:cNvPr>
        <xdr:cNvCxnSpPr/>
      </xdr:nvCxnSpPr>
      <xdr:spPr>
        <a:xfrm>
          <a:off x="2385060" y="7689533"/>
          <a:ext cx="44767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54</xdr:row>
      <xdr:rowOff>133351</xdr:rowOff>
    </xdr:from>
    <xdr:to>
      <xdr:col>10</xdr:col>
      <xdr:colOff>261937</xdr:colOff>
      <xdr:row>54</xdr:row>
      <xdr:rowOff>133351</xdr:rowOff>
    </xdr:to>
    <xdr:cxnSp macro="">
      <xdr:nvCxnSpPr>
        <xdr:cNvPr id="6" name="Straight Connector 10">
          <a:extLst>
            <a:ext uri="{FF2B5EF4-FFF2-40B4-BE49-F238E27FC236}">
              <a16:creationId xmlns:a16="http://schemas.microsoft.com/office/drawing/2014/main" id="{1AF8252C-16AD-4C80-B1A9-D4915A8B1A4C}"/>
            </a:ext>
          </a:extLst>
        </xdr:cNvPr>
        <xdr:cNvCxnSpPr/>
      </xdr:nvCxnSpPr>
      <xdr:spPr>
        <a:xfrm>
          <a:off x="2437447" y="11052811"/>
          <a:ext cx="44767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xdr:colOff>
      <xdr:row>16</xdr:row>
      <xdr:rowOff>5593</xdr:rowOff>
    </xdr:from>
    <xdr:to>
      <xdr:col>17</xdr:col>
      <xdr:colOff>461486</xdr:colOff>
      <xdr:row>31</xdr:row>
      <xdr:rowOff>157993</xdr:rowOff>
    </xdr:to>
    <xdr:graphicFrame macro="">
      <xdr:nvGraphicFramePr>
        <xdr:cNvPr id="7" name="Chart 1">
          <a:extLst>
            <a:ext uri="{FF2B5EF4-FFF2-40B4-BE49-F238E27FC236}">
              <a16:creationId xmlns:a16="http://schemas.microsoft.com/office/drawing/2014/main" id="{55C0A055-3309-4D83-A7A7-52964FE90DE3}"/>
            </a:ext>
            <a:ext uri="{147F2762-F138-4A5C-976F-8EAC2B608ADB}">
              <a16:predDERef xmlns:a16="http://schemas.microsoft.com/office/drawing/2014/main" pred="{1AF8252C-16AD-4C80-B1A9-D4915A8B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6614</xdr:colOff>
      <xdr:row>16</xdr:row>
      <xdr:rowOff>33226</xdr:rowOff>
    </xdr:from>
    <xdr:to>
      <xdr:col>27</xdr:col>
      <xdr:colOff>146314</xdr:colOff>
      <xdr:row>31</xdr:row>
      <xdr:rowOff>185626</xdr:rowOff>
    </xdr:to>
    <xdr:graphicFrame macro="">
      <xdr:nvGraphicFramePr>
        <xdr:cNvPr id="8" name="Chart 1">
          <a:extLst>
            <a:ext uri="{FF2B5EF4-FFF2-40B4-BE49-F238E27FC236}">
              <a16:creationId xmlns:a16="http://schemas.microsoft.com/office/drawing/2014/main" id="{8B2B1974-3846-47B7-9F4A-D28580B76DF5}"/>
            </a:ext>
            <a:ext uri="{147F2762-F138-4A5C-976F-8EAC2B608ADB}">
              <a16:predDERef xmlns:a16="http://schemas.microsoft.com/office/drawing/2014/main" pred="{55C0A055-3309-4D83-A7A7-52964FE90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29</xdr:colOff>
      <xdr:row>15</xdr:row>
      <xdr:rowOff>190454</xdr:rowOff>
    </xdr:from>
    <xdr:to>
      <xdr:col>35</xdr:col>
      <xdr:colOff>203229</xdr:colOff>
      <xdr:row>31</xdr:row>
      <xdr:rowOff>139654</xdr:rowOff>
    </xdr:to>
    <xdr:graphicFrame macro="">
      <xdr:nvGraphicFramePr>
        <xdr:cNvPr id="9" name="Chart 1">
          <a:extLst>
            <a:ext uri="{FF2B5EF4-FFF2-40B4-BE49-F238E27FC236}">
              <a16:creationId xmlns:a16="http://schemas.microsoft.com/office/drawing/2014/main" id="{5ECDA5AB-BC93-4552-94E9-676872153CDC}"/>
            </a:ext>
            <a:ext uri="{147F2762-F138-4A5C-976F-8EAC2B608ADB}">
              <a16:predDERef xmlns:a16="http://schemas.microsoft.com/office/drawing/2014/main" pred="{8B2B1974-3846-47B7-9F4A-D28580B76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23813</xdr:colOff>
      <xdr:row>16</xdr:row>
      <xdr:rowOff>34017</xdr:rowOff>
    </xdr:from>
    <xdr:to>
      <xdr:col>10</xdr:col>
      <xdr:colOff>493713</xdr:colOff>
      <xdr:row>31</xdr:row>
      <xdr:rowOff>186417</xdr:rowOff>
    </xdr:to>
    <xdr:graphicFrame macro="">
      <xdr:nvGraphicFramePr>
        <xdr:cNvPr id="2" name="Chart 1">
          <a:extLst>
            <a:ext uri="{FF2B5EF4-FFF2-40B4-BE49-F238E27FC236}">
              <a16:creationId xmlns:a16="http://schemas.microsoft.com/office/drawing/2014/main" id="{7757DE8F-7A7A-5448-A0FC-03D667623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11906</xdr:colOff>
      <xdr:row>16</xdr:row>
      <xdr:rowOff>20833</xdr:rowOff>
    </xdr:from>
    <xdr:to>
      <xdr:col>17</xdr:col>
      <xdr:colOff>469106</xdr:colOff>
      <xdr:row>31</xdr:row>
      <xdr:rowOff>173233</xdr:rowOff>
    </xdr:to>
    <xdr:graphicFrame macro="">
      <xdr:nvGraphicFramePr>
        <xdr:cNvPr id="3" name="Chart 1">
          <a:extLst>
            <a:ext uri="{FF2B5EF4-FFF2-40B4-BE49-F238E27FC236}">
              <a16:creationId xmlns:a16="http://schemas.microsoft.com/office/drawing/2014/main" id="{8E80A75C-AD21-7646-B4D7-EBFD3AE7EDE4}"/>
            </a:ext>
            <a:ext uri="{147F2762-F138-4A5C-976F-8EAC2B608ADB}">
              <a16:predDERef xmlns:a16="http://schemas.microsoft.com/office/drawing/2014/main" pred="{7757DE8F-7A7A-5448-A0FC-03D667623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118374</xdr:colOff>
      <xdr:row>16</xdr:row>
      <xdr:rowOff>15446</xdr:rowOff>
    </xdr:from>
    <xdr:to>
      <xdr:col>26</xdr:col>
      <xdr:colOff>258074</xdr:colOff>
      <xdr:row>31</xdr:row>
      <xdr:rowOff>167846</xdr:rowOff>
    </xdr:to>
    <xdr:graphicFrame macro="">
      <xdr:nvGraphicFramePr>
        <xdr:cNvPr id="4" name="Chart 1">
          <a:extLst>
            <a:ext uri="{FF2B5EF4-FFF2-40B4-BE49-F238E27FC236}">
              <a16:creationId xmlns:a16="http://schemas.microsoft.com/office/drawing/2014/main" id="{544DEF80-4C72-5E4B-8EB8-6F416BDF6BC2}"/>
            </a:ext>
            <a:ext uri="{147F2762-F138-4A5C-976F-8EAC2B608ADB}">
              <a16:predDERef xmlns:a16="http://schemas.microsoft.com/office/drawing/2014/main" pred="{8E80A75C-AD21-7646-B4D7-EBFD3AE7E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5111</xdr:colOff>
      <xdr:row>15</xdr:row>
      <xdr:rowOff>129493</xdr:rowOff>
    </xdr:from>
    <xdr:to>
      <xdr:col>35</xdr:col>
      <xdr:colOff>208311</xdr:colOff>
      <xdr:row>31</xdr:row>
      <xdr:rowOff>78693</xdr:rowOff>
    </xdr:to>
    <xdr:graphicFrame macro="">
      <xdr:nvGraphicFramePr>
        <xdr:cNvPr id="5" name="Chart 1">
          <a:extLst>
            <a:ext uri="{FF2B5EF4-FFF2-40B4-BE49-F238E27FC236}">
              <a16:creationId xmlns:a16="http://schemas.microsoft.com/office/drawing/2014/main" id="{B136EED0-B1E0-0142-940A-A9DE896CE7F5}"/>
            </a:ext>
            <a:ext uri="{147F2762-F138-4A5C-976F-8EAC2B608ADB}">
              <a16:predDERef xmlns:a16="http://schemas.microsoft.com/office/drawing/2014/main" pred="{544DEF80-4C72-5E4B-8EB8-6F416BDF6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187742</xdr:colOff>
      <xdr:row>17</xdr:row>
      <xdr:rowOff>32294</xdr:rowOff>
    </xdr:from>
    <xdr:to>
      <xdr:col>45</xdr:col>
      <xdr:colOff>432874</xdr:colOff>
      <xdr:row>32</xdr:row>
      <xdr:rowOff>184393</xdr:rowOff>
    </xdr:to>
    <xdr:graphicFrame macro="">
      <xdr:nvGraphicFramePr>
        <xdr:cNvPr id="6" name="Chart 1">
          <a:extLst>
            <a:ext uri="{FF2B5EF4-FFF2-40B4-BE49-F238E27FC236}">
              <a16:creationId xmlns:a16="http://schemas.microsoft.com/office/drawing/2014/main" id="{5B35B0D8-AB00-4544-93BC-61317DDB737B}"/>
            </a:ext>
            <a:ext uri="{147F2762-F138-4A5C-976F-8EAC2B608ADB}">
              <a16:predDERef xmlns:a16="http://schemas.microsoft.com/office/drawing/2014/main" pred="{B136EED0-B1E0-0142-940A-A9DE896CE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23813</xdr:colOff>
      <xdr:row>16</xdr:row>
      <xdr:rowOff>34017</xdr:rowOff>
    </xdr:from>
    <xdr:to>
      <xdr:col>10</xdr:col>
      <xdr:colOff>493713</xdr:colOff>
      <xdr:row>31</xdr:row>
      <xdr:rowOff>186417</xdr:rowOff>
    </xdr:to>
    <xdr:graphicFrame macro="">
      <xdr:nvGraphicFramePr>
        <xdr:cNvPr id="2" name="Chart 1">
          <a:extLst>
            <a:ext uri="{FF2B5EF4-FFF2-40B4-BE49-F238E27FC236}">
              <a16:creationId xmlns:a16="http://schemas.microsoft.com/office/drawing/2014/main" id="{7C0F0C8A-1644-694D-9367-1701438C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11906</xdr:colOff>
      <xdr:row>16</xdr:row>
      <xdr:rowOff>20833</xdr:rowOff>
    </xdr:from>
    <xdr:to>
      <xdr:col>17</xdr:col>
      <xdr:colOff>469106</xdr:colOff>
      <xdr:row>31</xdr:row>
      <xdr:rowOff>173233</xdr:rowOff>
    </xdr:to>
    <xdr:graphicFrame macro="">
      <xdr:nvGraphicFramePr>
        <xdr:cNvPr id="3" name="Chart 1">
          <a:extLst>
            <a:ext uri="{FF2B5EF4-FFF2-40B4-BE49-F238E27FC236}">
              <a16:creationId xmlns:a16="http://schemas.microsoft.com/office/drawing/2014/main" id="{57C17481-79A2-EC47-A5A6-103E6276D06D}"/>
            </a:ext>
            <a:ext uri="{147F2762-F138-4A5C-976F-8EAC2B608ADB}">
              <a16:predDERef xmlns:a16="http://schemas.microsoft.com/office/drawing/2014/main" pred="{7C0F0C8A-1644-694D-9367-1701438C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118374</xdr:colOff>
      <xdr:row>16</xdr:row>
      <xdr:rowOff>15446</xdr:rowOff>
    </xdr:from>
    <xdr:to>
      <xdr:col>26</xdr:col>
      <xdr:colOff>258074</xdr:colOff>
      <xdr:row>31</xdr:row>
      <xdr:rowOff>167846</xdr:rowOff>
    </xdr:to>
    <xdr:graphicFrame macro="">
      <xdr:nvGraphicFramePr>
        <xdr:cNvPr id="4" name="Chart 1">
          <a:extLst>
            <a:ext uri="{FF2B5EF4-FFF2-40B4-BE49-F238E27FC236}">
              <a16:creationId xmlns:a16="http://schemas.microsoft.com/office/drawing/2014/main" id="{8E50A363-01E5-E844-98B3-6C57FA6D6A09}"/>
            </a:ext>
            <a:ext uri="{147F2762-F138-4A5C-976F-8EAC2B608ADB}">
              <a16:predDERef xmlns:a16="http://schemas.microsoft.com/office/drawing/2014/main" pred="{57C17481-79A2-EC47-A5A6-103E6276D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5111</xdr:colOff>
      <xdr:row>15</xdr:row>
      <xdr:rowOff>129493</xdr:rowOff>
    </xdr:from>
    <xdr:to>
      <xdr:col>35</xdr:col>
      <xdr:colOff>208311</xdr:colOff>
      <xdr:row>31</xdr:row>
      <xdr:rowOff>78693</xdr:rowOff>
    </xdr:to>
    <xdr:graphicFrame macro="">
      <xdr:nvGraphicFramePr>
        <xdr:cNvPr id="5" name="Chart 1">
          <a:extLst>
            <a:ext uri="{FF2B5EF4-FFF2-40B4-BE49-F238E27FC236}">
              <a16:creationId xmlns:a16="http://schemas.microsoft.com/office/drawing/2014/main" id="{52FA0EF0-8B8A-C24D-8456-C2D86DC66BE3}"/>
            </a:ext>
            <a:ext uri="{147F2762-F138-4A5C-976F-8EAC2B608ADB}">
              <a16:predDERef xmlns:a16="http://schemas.microsoft.com/office/drawing/2014/main" pred="{8E50A363-01E5-E844-98B3-6C57FA6D6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383127</xdr:colOff>
      <xdr:row>17</xdr:row>
      <xdr:rowOff>77383</xdr:rowOff>
    </xdr:from>
    <xdr:to>
      <xdr:col>42</xdr:col>
      <xdr:colOff>357727</xdr:colOff>
      <xdr:row>33</xdr:row>
      <xdr:rowOff>26583</xdr:rowOff>
    </xdr:to>
    <xdr:graphicFrame macro="">
      <xdr:nvGraphicFramePr>
        <xdr:cNvPr id="6" name="Chart 1">
          <a:extLst>
            <a:ext uri="{FF2B5EF4-FFF2-40B4-BE49-F238E27FC236}">
              <a16:creationId xmlns:a16="http://schemas.microsoft.com/office/drawing/2014/main" id="{A332A9B7-D46C-5A4A-8F9E-66C70D94F852}"/>
            </a:ext>
            <a:ext uri="{147F2762-F138-4A5C-976F-8EAC2B608ADB}">
              <a16:predDERef xmlns:a16="http://schemas.microsoft.com/office/drawing/2014/main" pred="{52FA0EF0-8B8A-C24D-8456-C2D86DC66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M" refreshedDate="44424.661568981479" createdVersion="7" refreshedVersion="7" minRefreshableVersion="3" recordCount="7" xr:uid="{42D76B7B-9D52-7E45-A4B8-5F003F7D2120}">
  <cacheSource type="worksheet">
    <worksheetSource ref="A53:L60" sheet="2045_24hr_all_productions"/>
  </cacheSource>
  <cacheFields count="12">
    <cacheField name="Ring" numFmtId="0">
      <sharedItems containsSemiMixedTypes="0" containsString="0" containsNumber="1" containsInteger="1" minValue="1" maxValue="4" count="4">
        <n v="1"/>
        <n v="2"/>
        <n v="3"/>
        <n v="4"/>
      </sharedItems>
    </cacheField>
    <cacheField name="Corridor" numFmtId="0">
      <sharedItems containsSemiMixedTypes="0" containsString="0" containsNumber="1" containsInteger="1" minValue="0" maxValue="0"/>
    </cacheField>
    <cacheField name="Smart" numFmtId="0">
      <sharedItems count="2">
        <s v="In"/>
        <s v="Out"/>
      </sharedItems>
    </cacheField>
    <cacheField name="Auto MI" numFmtId="2">
      <sharedItems containsSemiMixedTypes="0" containsString="0" containsNumber="1" minValue="6.9881027582887967" maxValue="8.7708058664116049"/>
    </cacheField>
    <cacheField name="Bike MI" numFmtId="2">
      <sharedItems containsSemiMixedTypes="0" containsString="0" containsNumber="1" minValue="3.0142857142857142" maxValue="4.9788028773180226"/>
    </cacheField>
    <cacheField name="Transit MI" numFmtId="2">
      <sharedItems containsSemiMixedTypes="0" containsString="0" containsNumber="1" minValue="5.637793526704173" maxValue="8.0354910450698682"/>
    </cacheField>
    <cacheField name="Walk MI" numFmtId="2">
      <sharedItems containsSemiMixedTypes="0" containsString="0" containsNumber="1" minValue="0.84086591138769218" maxValue="0.96266710827411783"/>
    </cacheField>
    <cacheField name="Auto Percent" numFmtId="9">
      <sharedItems containsSemiMixedTypes="0" containsString="0" containsNumber="1" minValue="0.64369868155585797" maxValue="0.89742039884879754"/>
    </cacheField>
    <cacheField name="Bike Percent" numFmtId="9">
      <sharedItems containsSemiMixedTypes="0" containsString="0" containsNumber="1" minValue="2.0538255231519666E-2" maxValue="7.6232815652418712E-2"/>
    </cacheField>
    <cacheField name="Transit Percent" numFmtId="9">
      <sharedItems containsSemiMixedTypes="0" containsString="0" containsNumber="1" minValue="4.6529531905146693E-2" maxValue="0.10364097029981702"/>
    </cacheField>
    <cacheField name="Walk Percent" numFmtId="9">
      <sharedItems containsSemiMixedTypes="0" containsString="0" containsNumber="1" minValue="3.3575323378019842E-2" maxValue="0.17642753249190635" count="7">
        <n v="0.17642753249190635"/>
        <n v="4.1143168613654101E-2"/>
        <n v="3.3575323378019842E-2"/>
        <n v="7.0350674706332855E-2"/>
        <n v="4.8558018463658578E-2"/>
        <n v="3.5328841098406866E-2"/>
        <n v="5.9522704057944097E-2"/>
      </sharedItems>
    </cacheField>
    <cacheField name="BW Percent" numFmtId="9">
      <sharedItems containsSemiMixedTypes="0" containsString="0" containsNumber="1" minValue="5.6050069246055739E-2" maxValue="0.25266034814432503" count="7">
        <n v="0.25266034814432503"/>
        <n v="7.8686371913828768E-2"/>
        <n v="5.6050069246055739E-2"/>
        <n v="9.3455726104824874E-2"/>
        <n v="8.3562835347634409E-2"/>
        <n v="5.612093402590821E-2"/>
        <n v="8.006095928946376E-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0"/>
    <x v="0"/>
    <n v="7.4108296796813216"/>
    <n v="3.5767890444683799"/>
    <n v="6.1592704513558783"/>
    <n v="0.84086591138769218"/>
    <n v="0.64369868155585797"/>
    <n v="7.6232815652418712E-2"/>
    <n v="0.10364097029981702"/>
    <x v="0"/>
    <x v="0"/>
  </r>
  <r>
    <x v="1"/>
    <n v="0"/>
    <x v="0"/>
    <n v="7.5651945690280726"/>
    <n v="4.9788028773180226"/>
    <n v="6.9159276286002855"/>
    <n v="0.96266710827411783"/>
    <n v="0.85017405200500473"/>
    <n v="3.7543203300174674E-2"/>
    <n v="7.1139576081166458E-2"/>
    <x v="1"/>
    <x v="1"/>
  </r>
  <r>
    <x v="2"/>
    <n v="0"/>
    <x v="0"/>
    <n v="7.661605851491232"/>
    <n v="4.693382089270548"/>
    <n v="6.0469665891790871"/>
    <n v="0.94287347609121352"/>
    <n v="0.89742039884879754"/>
    <n v="2.2474745868035894E-2"/>
    <n v="4.6529531905146693E-2"/>
    <x v="2"/>
    <x v="2"/>
  </r>
  <r>
    <x v="3"/>
    <n v="0"/>
    <x v="0"/>
    <n v="6.9881027582887967"/>
    <n v="3.0142857142857142"/>
    <n v="8.0354910450698682"/>
    <n v="0.86804814474087699"/>
    <n v="0.85173719352368216"/>
    <n v="2.3105051398492022E-2"/>
    <n v="5.4807080371492983E-2"/>
    <x v="3"/>
    <x v="3"/>
  </r>
  <r>
    <x v="1"/>
    <n v="0"/>
    <x v="1"/>
    <n v="7.6471373100006446"/>
    <n v="4.8688882138517613"/>
    <n v="5.637793526704173"/>
    <n v="0.94649848902903699"/>
    <n v="0.85822198498152991"/>
    <n v="3.5004816883975831E-2"/>
    <n v="5.8215179670835629E-2"/>
    <x v="4"/>
    <x v="4"/>
  </r>
  <r>
    <x v="2"/>
    <n v="0"/>
    <x v="1"/>
    <n v="8.2090280394683273"/>
    <n v="4.615774741752749"/>
    <n v="5.7353428871024112"/>
    <n v="0.87787443267776089"/>
    <n v="0.8872444414531403"/>
    <n v="2.0792092927501345E-2"/>
    <n v="5.6634624520951443E-2"/>
    <x v="5"/>
    <x v="5"/>
  </r>
  <r>
    <x v="3"/>
    <n v="0"/>
    <x v="1"/>
    <n v="8.7708058664116049"/>
    <n v="3.3822021276595744"/>
    <n v="7.2570589250280397"/>
    <n v="0.84564008442690652"/>
    <n v="0.85662549911783825"/>
    <n v="2.0538255231519666E-2"/>
    <n v="6.3313541592697989E-2"/>
    <x v="6"/>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3673A1-616A-C245-A665-6A80CC38E7D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5" firstHeaderRow="0" firstDataRow="1" firstDataCol="1"/>
  <pivotFields count="12">
    <pivotField axis="axisRow" showAll="0">
      <items count="5">
        <item x="0"/>
        <item x="1"/>
        <item x="2"/>
        <item x="3"/>
        <item t="default"/>
      </items>
    </pivotField>
    <pivotField showAll="0"/>
    <pivotField axis="axisRow" showAll="0">
      <items count="3">
        <item x="0"/>
        <item x="1"/>
        <item t="default"/>
      </items>
    </pivotField>
    <pivotField numFmtId="2" showAll="0"/>
    <pivotField numFmtId="2" showAll="0"/>
    <pivotField numFmtId="2" showAll="0"/>
    <pivotField numFmtId="2" showAll="0"/>
    <pivotField dataField="1" numFmtId="9" showAll="0"/>
    <pivotField numFmtId="9" showAll="0"/>
    <pivotField dataField="1" numFmtId="9" showAll="0"/>
    <pivotField numFmtId="9" showAll="0">
      <items count="8">
        <item x="2"/>
        <item x="5"/>
        <item x="1"/>
        <item x="4"/>
        <item x="6"/>
        <item x="3"/>
        <item x="0"/>
        <item t="default"/>
      </items>
    </pivotField>
    <pivotField dataField="1" numFmtId="9" showAll="0">
      <items count="8">
        <item x="2"/>
        <item x="5"/>
        <item x="1"/>
        <item x="6"/>
        <item x="4"/>
        <item x="3"/>
        <item x="0"/>
        <item t="default"/>
      </items>
    </pivotField>
  </pivotFields>
  <rowFields count="2">
    <field x="0"/>
    <field x="2"/>
  </rowFields>
  <rowItems count="12">
    <i>
      <x/>
    </i>
    <i r="1">
      <x/>
    </i>
    <i>
      <x v="1"/>
    </i>
    <i r="1">
      <x/>
    </i>
    <i r="1">
      <x v="1"/>
    </i>
    <i>
      <x v="2"/>
    </i>
    <i r="1">
      <x/>
    </i>
    <i r="1">
      <x v="1"/>
    </i>
    <i>
      <x v="3"/>
    </i>
    <i r="1">
      <x/>
    </i>
    <i r="1">
      <x v="1"/>
    </i>
    <i t="grand">
      <x/>
    </i>
  </rowItems>
  <colFields count="1">
    <field x="-2"/>
  </colFields>
  <colItems count="3">
    <i>
      <x/>
    </i>
    <i i="1">
      <x v="1"/>
    </i>
    <i i="2">
      <x v="2"/>
    </i>
  </colItems>
  <dataFields count="3">
    <dataField name="Sum of Auto Percent" fld="7" baseField="0" baseItem="0"/>
    <dataField name="Sum of Transit Percent" fld="9" baseField="0" baseItem="0"/>
    <dataField name="Sum of BW Percent" fld="11" baseField="0" baseItem="0"/>
  </dataFields>
  <formats count="1">
    <format dxfId="0">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H13" dT="2021-10-04T13:12:14.90" personId="{F4BEBB54-9035-412B-8E9C-3980D46EB9D4}" id="{E332B017-4BBD-A74D-9981-9B6D1B601B46}">
    <text xml:space="preserve">“Not close to rail transit.”
</text>
  </threadedComment>
  <threadedComment ref="A12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 Id="rId4" Type="http://schemas.microsoft.com/office/2017/10/relationships/threadedComment" Target="../threadedComments/threadedComment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hillsboroughcounty.org/library/hillsborough/media-center/documents/public-works/mobility-fees/mobility-fee-report-5-6-20.pdf"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 Id="rId4" Type="http://schemas.microsoft.com/office/2017/10/relationships/threadedComment" Target="../threadedComments/threadedComment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1"/>
  <sheetViews>
    <sheetView workbookViewId="0"/>
  </sheetViews>
  <sheetFormatPr defaultColWidth="9" defaultRowHeight="18.75" x14ac:dyDescent="0.3"/>
  <cols>
    <col min="1" max="1" width="9" style="208"/>
    <col min="2" max="2" width="17.5703125" style="208" customWidth="1"/>
    <col min="3" max="3" width="34.5703125" style="208" customWidth="1"/>
    <col min="4" max="4" width="103.42578125" style="208" customWidth="1"/>
    <col min="5" max="16384" width="9" style="208"/>
  </cols>
  <sheetData>
    <row r="1" spans="2:7" ht="26.25" x14ac:dyDescent="0.4">
      <c r="B1" s="568" t="s">
        <v>0</v>
      </c>
    </row>
    <row r="2" spans="2:7" x14ac:dyDescent="0.3">
      <c r="G2" s="209"/>
    </row>
    <row r="3" spans="2:7" x14ac:dyDescent="0.3">
      <c r="G3" s="209"/>
    </row>
    <row r="4" spans="2:7" x14ac:dyDescent="0.3">
      <c r="G4" s="209"/>
    </row>
    <row r="5" spans="2:7" x14ac:dyDescent="0.3">
      <c r="B5" s="210" t="s">
        <v>1</v>
      </c>
      <c r="C5" s="210" t="s">
        <v>2</v>
      </c>
      <c r="D5" s="211" t="s">
        <v>3</v>
      </c>
      <c r="G5" s="209"/>
    </row>
    <row r="6" spans="2:7" x14ac:dyDescent="0.3">
      <c r="B6" s="907" t="s">
        <v>4</v>
      </c>
      <c r="C6" s="222" t="s">
        <v>5</v>
      </c>
      <c r="D6" s="222" t="s">
        <v>6</v>
      </c>
      <c r="G6" s="209"/>
    </row>
    <row r="7" spans="2:7" x14ac:dyDescent="0.3">
      <c r="B7" s="908"/>
      <c r="C7" s="223" t="s">
        <v>7</v>
      </c>
      <c r="D7" s="223" t="s">
        <v>8</v>
      </c>
      <c r="G7" s="209"/>
    </row>
    <row r="8" spans="2:7" x14ac:dyDescent="0.3">
      <c r="B8" s="909" t="s">
        <v>9</v>
      </c>
      <c r="C8" s="224" t="s">
        <v>10</v>
      </c>
      <c r="D8" s="224" t="s">
        <v>11</v>
      </c>
      <c r="G8" s="209"/>
    </row>
    <row r="9" spans="2:7" x14ac:dyDescent="0.3">
      <c r="B9" s="910"/>
      <c r="C9" s="225" t="s">
        <v>12</v>
      </c>
      <c r="D9" s="225" t="s">
        <v>13</v>
      </c>
      <c r="G9" s="209"/>
    </row>
    <row r="10" spans="2:7" x14ac:dyDescent="0.3">
      <c r="B10" s="911" t="s">
        <v>14</v>
      </c>
      <c r="C10" s="226" t="s">
        <v>15</v>
      </c>
      <c r="D10" s="226" t="s">
        <v>16</v>
      </c>
      <c r="G10" s="209"/>
    </row>
    <row r="11" spans="2:7" x14ac:dyDescent="0.3">
      <c r="B11" s="912"/>
      <c r="C11" s="227" t="s">
        <v>17</v>
      </c>
      <c r="D11" s="227" t="s">
        <v>18</v>
      </c>
      <c r="G11" s="209"/>
    </row>
    <row r="12" spans="2:7" x14ac:dyDescent="0.3">
      <c r="B12" s="912"/>
      <c r="C12" s="227" t="s">
        <v>19</v>
      </c>
      <c r="D12" s="227" t="s">
        <v>16</v>
      </c>
      <c r="G12" s="209"/>
    </row>
    <row r="13" spans="2:7" x14ac:dyDescent="0.3">
      <c r="B13" s="912"/>
      <c r="C13" s="227" t="s">
        <v>20</v>
      </c>
      <c r="D13" s="227" t="s">
        <v>18</v>
      </c>
      <c r="G13" s="209"/>
    </row>
    <row r="14" spans="2:7" x14ac:dyDescent="0.3">
      <c r="B14" s="912"/>
      <c r="C14" s="227" t="s">
        <v>21</v>
      </c>
      <c r="D14" s="227" t="s">
        <v>16</v>
      </c>
      <c r="G14" s="209"/>
    </row>
    <row r="15" spans="2:7" x14ac:dyDescent="0.3">
      <c r="B15" s="912"/>
      <c r="C15" s="227" t="s">
        <v>22</v>
      </c>
      <c r="D15" s="227" t="s">
        <v>18</v>
      </c>
      <c r="G15" s="209"/>
    </row>
    <row r="16" spans="2:7" x14ac:dyDescent="0.3">
      <c r="B16" s="912"/>
      <c r="C16" s="227" t="s">
        <v>23</v>
      </c>
      <c r="D16" s="227" t="s">
        <v>16</v>
      </c>
      <c r="G16" s="209"/>
    </row>
    <row r="17" spans="2:7" x14ac:dyDescent="0.3">
      <c r="B17" s="913"/>
      <c r="C17" s="228" t="s">
        <v>24</v>
      </c>
      <c r="D17" s="228" t="s">
        <v>18</v>
      </c>
      <c r="G17" s="209"/>
    </row>
    <row r="18" spans="2:7" x14ac:dyDescent="0.3">
      <c r="B18" s="914" t="s">
        <v>25</v>
      </c>
      <c r="C18" s="229" t="s">
        <v>26</v>
      </c>
      <c r="D18" s="229" t="s">
        <v>27</v>
      </c>
      <c r="G18" s="209"/>
    </row>
    <row r="19" spans="2:7" x14ac:dyDescent="0.3">
      <c r="B19" s="915"/>
      <c r="C19" s="230" t="s">
        <v>28</v>
      </c>
      <c r="D19" s="230" t="s">
        <v>29</v>
      </c>
      <c r="G19" s="209"/>
    </row>
    <row r="20" spans="2:7" x14ac:dyDescent="0.3">
      <c r="B20" s="915"/>
      <c r="C20" s="230" t="s">
        <v>30</v>
      </c>
      <c r="D20" s="230" t="s">
        <v>31</v>
      </c>
      <c r="G20" s="209"/>
    </row>
    <row r="21" spans="2:7" x14ac:dyDescent="0.3">
      <c r="B21" s="915"/>
      <c r="C21" s="230" t="s">
        <v>32</v>
      </c>
      <c r="D21" s="230" t="s">
        <v>33</v>
      </c>
      <c r="G21" s="209"/>
    </row>
    <row r="22" spans="2:7" x14ac:dyDescent="0.3">
      <c r="B22" s="915"/>
      <c r="C22" s="230" t="s">
        <v>34</v>
      </c>
      <c r="D22" s="230" t="s">
        <v>35</v>
      </c>
      <c r="G22" s="209"/>
    </row>
    <row r="23" spans="2:7" x14ac:dyDescent="0.3">
      <c r="B23" s="915"/>
      <c r="C23" s="230" t="s">
        <v>36</v>
      </c>
      <c r="D23" s="230" t="s">
        <v>37</v>
      </c>
      <c r="G23" s="209"/>
    </row>
    <row r="24" spans="2:7" ht="18" customHeight="1" x14ac:dyDescent="0.3">
      <c r="B24" s="916" t="s">
        <v>38</v>
      </c>
      <c r="C24" s="220" t="s">
        <v>39</v>
      </c>
      <c r="D24" s="220" t="s">
        <v>40</v>
      </c>
      <c r="G24" s="209"/>
    </row>
    <row r="25" spans="2:7" x14ac:dyDescent="0.3">
      <c r="B25" s="917"/>
      <c r="C25" s="221" t="s">
        <v>41</v>
      </c>
      <c r="D25" s="221" t="s">
        <v>42</v>
      </c>
      <c r="G25" s="209"/>
    </row>
    <row r="26" spans="2:7" x14ac:dyDescent="0.3">
      <c r="B26" s="917"/>
      <c r="C26" s="221" t="s">
        <v>43</v>
      </c>
      <c r="D26" s="221" t="s">
        <v>44</v>
      </c>
      <c r="G26" s="209"/>
    </row>
    <row r="27" spans="2:7" x14ac:dyDescent="0.3">
      <c r="B27" s="905" t="s">
        <v>45</v>
      </c>
      <c r="C27" s="218" t="s">
        <v>46</v>
      </c>
      <c r="D27" s="218" t="s">
        <v>47</v>
      </c>
      <c r="G27" s="209"/>
    </row>
    <row r="28" spans="2:7" x14ac:dyDescent="0.3">
      <c r="B28" s="905"/>
      <c r="C28" s="218" t="s">
        <v>48</v>
      </c>
      <c r="D28" s="218" t="s">
        <v>49</v>
      </c>
      <c r="G28" s="209"/>
    </row>
    <row r="29" spans="2:7" x14ac:dyDescent="0.3">
      <c r="B29" s="905"/>
      <c r="C29" s="218" t="s">
        <v>50</v>
      </c>
      <c r="D29" s="218" t="s">
        <v>51</v>
      </c>
      <c r="G29" s="209"/>
    </row>
    <row r="30" spans="2:7" x14ac:dyDescent="0.3">
      <c r="B30" s="905"/>
      <c r="C30" s="218" t="s">
        <v>52</v>
      </c>
      <c r="D30" s="218" t="s">
        <v>53</v>
      </c>
      <c r="G30" s="209"/>
    </row>
    <row r="31" spans="2:7" ht="0.95" customHeight="1" x14ac:dyDescent="0.3">
      <c r="B31" s="906"/>
      <c r="C31" s="219"/>
      <c r="D31" s="219"/>
      <c r="G31" s="209"/>
    </row>
  </sheetData>
  <mergeCells count="6">
    <mergeCell ref="B27:B31"/>
    <mergeCell ref="B6:B7"/>
    <mergeCell ref="B8:B9"/>
    <mergeCell ref="B10:B17"/>
    <mergeCell ref="B18:B23"/>
    <mergeCell ref="B24:B26"/>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heetViews>
  <sheetFormatPr defaultColWidth="8.85546875" defaultRowHeight="15.75" x14ac:dyDescent="0.25"/>
  <cols>
    <col min="1" max="16384" width="8.85546875" style="23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35"/>
  <sheetViews>
    <sheetView workbookViewId="0"/>
  </sheetViews>
  <sheetFormatPr defaultColWidth="4.42578125" defaultRowHeight="15.75" x14ac:dyDescent="0.25"/>
  <cols>
    <col min="1" max="1" width="4.42578125" style="11"/>
    <col min="2" max="2" width="13.42578125" style="10" customWidth="1"/>
    <col min="3" max="3" width="31.5703125" style="11" customWidth="1"/>
    <col min="4" max="5" width="13.5703125" style="30" customWidth="1"/>
    <col min="6" max="6" width="12.85546875" style="30" customWidth="1"/>
    <col min="7" max="7" width="12.85546875" style="60" customWidth="1"/>
    <col min="8" max="8" width="12.85546875" style="13" customWidth="1"/>
    <col min="9" max="9" width="12.85546875" style="11" customWidth="1"/>
    <col min="10" max="10" width="11.5703125" style="11" customWidth="1"/>
    <col min="11" max="11" width="11.5703125" style="60"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54</v>
      </c>
      <c r="D1" s="15" t="str">
        <f>+HYPERLINK(ContextAreas_Map!A1,"Context Area")</f>
        <v>Context Area</v>
      </c>
      <c r="E1" s="15" t="s">
        <v>55</v>
      </c>
      <c r="F1" s="16" t="s">
        <v>56</v>
      </c>
      <c r="G1" s="11"/>
      <c r="H1" s="11"/>
      <c r="J1" s="60"/>
    </row>
    <row r="2" spans="1:33" x14ac:dyDescent="0.25">
      <c r="A2" s="10"/>
      <c r="D2" s="10" t="s">
        <v>57</v>
      </c>
      <c r="E2" s="232">
        <v>1</v>
      </c>
      <c r="F2" s="232" t="s">
        <v>58</v>
      </c>
      <c r="G2" s="11"/>
      <c r="H2" s="11"/>
      <c r="J2" s="60"/>
    </row>
    <row r="3" spans="1:33" x14ac:dyDescent="0.25">
      <c r="A3" s="10"/>
      <c r="D3" s="10"/>
      <c r="E3" s="10"/>
      <c r="G3" s="11"/>
      <c r="H3" s="11"/>
      <c r="J3" s="60"/>
    </row>
    <row r="4" spans="1:33" x14ac:dyDescent="0.25">
      <c r="A4" s="10"/>
      <c r="D4" s="60"/>
      <c r="E4" s="60"/>
      <c r="F4" s="921" t="s">
        <v>59</v>
      </c>
      <c r="G4" s="921"/>
      <c r="H4" s="921"/>
      <c r="I4" s="921"/>
      <c r="J4" s="921"/>
      <c r="L4" s="23"/>
      <c r="M4" s="23"/>
      <c r="O4" s="23"/>
      <c r="P4" s="23"/>
      <c r="Q4" s="922" t="s">
        <v>60</v>
      </c>
      <c r="R4" s="922"/>
      <c r="S4" s="922"/>
      <c r="T4" s="922"/>
    </row>
    <row r="5" spans="1:33" x14ac:dyDescent="0.25">
      <c r="D5" s="15" t="s">
        <v>61</v>
      </c>
      <c r="E5" s="15"/>
      <c r="F5" s="15" t="s">
        <v>62</v>
      </c>
      <c r="G5" s="16" t="s">
        <v>63</v>
      </c>
      <c r="H5" s="15" t="s">
        <v>64</v>
      </c>
      <c r="I5" s="16" t="s">
        <v>65</v>
      </c>
      <c r="J5" s="16" t="s">
        <v>66</v>
      </c>
      <c r="L5" s="206" t="s">
        <v>67</v>
      </c>
      <c r="M5" s="206"/>
      <c r="O5" s="590"/>
      <c r="P5" s="591"/>
      <c r="Q5" s="17" t="s">
        <v>62</v>
      </c>
      <c r="R5" s="18" t="s">
        <v>63</v>
      </c>
      <c r="S5" s="923" t="s">
        <v>68</v>
      </c>
      <c r="T5" s="924"/>
    </row>
    <row r="6" spans="1:33" x14ac:dyDescent="0.25">
      <c r="D6" s="19" t="s">
        <v>69</v>
      </c>
      <c r="E6" s="19"/>
      <c r="F6" s="134">
        <f>'2045_24hr_all_productions'!$Q$39</f>
        <v>0.72495177066528282</v>
      </c>
      <c r="G6" s="134">
        <f>'2045_24hr_all_productions'!$S$39</f>
        <v>7.9468405555116819E-2</v>
      </c>
      <c r="H6" s="134">
        <f>'2045_24hr_all_productions'!$T$39</f>
        <v>0.14022044472523382</v>
      </c>
      <c r="I6" s="134">
        <f>'2045_24hr_all_productions'!$R$39</f>
        <v>5.5359379054366588E-2</v>
      </c>
      <c r="J6" s="134">
        <f>+H6+I6</f>
        <v>0.1955798237796004</v>
      </c>
      <c r="L6" s="20" t="s">
        <v>70</v>
      </c>
      <c r="M6" s="21">
        <f>ITECountywide!B4</f>
        <v>1.67</v>
      </c>
      <c r="O6" s="207" t="s">
        <v>71</v>
      </c>
      <c r="P6" s="592"/>
      <c r="Q6" s="593">
        <f>+RoadCapCost!L15</f>
        <v>261.71052631578948</v>
      </c>
      <c r="R6" s="593">
        <f>+TransitCapCost!AB13</f>
        <v>405.42115030277023</v>
      </c>
      <c r="S6" s="925">
        <f>+WalkBikeCapCost!$V$7</f>
        <v>37.9060089869281</v>
      </c>
      <c r="T6" s="926"/>
    </row>
    <row r="7" spans="1:33" x14ac:dyDescent="0.25">
      <c r="D7" s="19" t="s">
        <v>72</v>
      </c>
      <c r="E7" s="19"/>
      <c r="F7" s="134">
        <f>'2045_24hr_all_attractions'!$Q$35</f>
        <v>0.64373267284932234</v>
      </c>
      <c r="G7" s="134">
        <f>'2045_24hr_all_attractions'!$S$35</f>
        <v>0.10362046562246396</v>
      </c>
      <c r="H7" s="134">
        <f>'2045_24hr_all_attractions'!$T$35</f>
        <v>0.176430853234636</v>
      </c>
      <c r="I7" s="134">
        <f>'2045_24hr_all_attractions'!$R$35</f>
        <v>7.6216008293577636E-2</v>
      </c>
      <c r="J7" s="134">
        <f>+H7+I7</f>
        <v>0.25264686152821364</v>
      </c>
      <c r="L7" s="20" t="s">
        <v>73</v>
      </c>
      <c r="M7" s="21">
        <f>ITECountywide!B4</f>
        <v>1.67</v>
      </c>
      <c r="O7" s="124"/>
      <c r="P7" s="124"/>
      <c r="Q7" s="124"/>
      <c r="R7" s="125"/>
      <c r="S7" s="125"/>
      <c r="T7" s="126"/>
    </row>
    <row r="8" spans="1:33" x14ac:dyDescent="0.25">
      <c r="D8" s="19" t="s">
        <v>74</v>
      </c>
      <c r="E8" s="19"/>
      <c r="F8" s="102">
        <f>'2045_24hr_all_productions'!$M$39</f>
        <v>8.069603635288443</v>
      </c>
      <c r="G8" s="102">
        <f>'2045_24hr_all_productions'!$O$39</f>
        <v>5.7469378194207836</v>
      </c>
      <c r="H8" s="102">
        <f>'2045_24hr_all_productions'!$P$39</f>
        <v>0.83815592565773589</v>
      </c>
      <c r="I8" s="102">
        <f>'2045_24hr_all_productions'!$N$39</f>
        <v>4.0323313633584679</v>
      </c>
      <c r="J8" s="102">
        <f>+((H6/J6)*H8)+(I6/J6*I8)</f>
        <v>1.7422756114443934</v>
      </c>
      <c r="N8" s="23"/>
      <c r="O8" s="23"/>
      <c r="P8" s="23"/>
      <c r="Q8" s="23"/>
    </row>
    <row r="9" spans="1:33" x14ac:dyDescent="0.25">
      <c r="D9" s="19" t="s">
        <v>75</v>
      </c>
      <c r="E9" s="19"/>
      <c r="F9" s="102">
        <f>'2045_24hr_all_attractions'!$M$35</f>
        <v>7.4131598277332049</v>
      </c>
      <c r="G9" s="102">
        <f>'2045_24hr_all_attractions'!$O$35</f>
        <v>6.0539163403426963</v>
      </c>
      <c r="H9" s="102">
        <f>'2045_24hr_all_attractions'!$P$35</f>
        <v>0.8430772912179948</v>
      </c>
      <c r="I9" s="102">
        <f>'2045_24hr_all_attractions'!$N$35</f>
        <v>3.5791106324049857</v>
      </c>
      <c r="J9" s="102">
        <f>+((H7/J7)*H9)+(I7/J7*I9)</f>
        <v>1.6684567895503961</v>
      </c>
      <c r="L9" s="23"/>
      <c r="M9" s="23"/>
      <c r="N9" s="23"/>
      <c r="O9" s="23"/>
      <c r="P9" s="23"/>
      <c r="Q9" s="23"/>
    </row>
    <row r="10" spans="1:33" x14ac:dyDescent="0.25">
      <c r="D10" s="60"/>
      <c r="E10" s="60"/>
      <c r="F10" s="60"/>
      <c r="L10" s="23"/>
      <c r="M10" s="23"/>
      <c r="N10" s="23"/>
      <c r="O10" s="23"/>
      <c r="P10" s="11"/>
      <c r="Q10" s="23"/>
      <c r="T10" s="24"/>
      <c r="U10" s="23"/>
      <c r="X10" s="23"/>
      <c r="AA10" s="23"/>
    </row>
    <row r="11" spans="1:33" ht="16.5" x14ac:dyDescent="0.25">
      <c r="B11" s="129"/>
      <c r="C11" s="26"/>
      <c r="D11" s="27"/>
      <c r="E11" s="27"/>
      <c r="F11" s="27"/>
      <c r="G11" s="27"/>
      <c r="H11" s="28"/>
      <c r="I11" s="29"/>
      <c r="J11" s="927" t="s">
        <v>76</v>
      </c>
      <c r="K11" s="928"/>
      <c r="L11" s="928"/>
      <c r="M11" s="928"/>
      <c r="N11" s="928"/>
      <c r="O11" s="928"/>
      <c r="P11" s="929"/>
      <c r="Q11" s="918" t="s">
        <v>77</v>
      </c>
      <c r="R11" s="919"/>
      <c r="S11" s="919"/>
      <c r="T11" s="920"/>
      <c r="U11" s="918" t="s">
        <v>63</v>
      </c>
      <c r="V11" s="919"/>
      <c r="W11" s="920"/>
      <c r="X11" s="918" t="s">
        <v>68</v>
      </c>
      <c r="Y11" s="919"/>
      <c r="Z11" s="920"/>
      <c r="AA11" s="918" t="s">
        <v>65</v>
      </c>
      <c r="AB11" s="919"/>
      <c r="AC11" s="920"/>
    </row>
    <row r="12" spans="1:33" s="9" customFormat="1" ht="79.5" x14ac:dyDescent="0.3">
      <c r="B12" s="680" t="s">
        <v>78</v>
      </c>
      <c r="C12" s="594" t="s">
        <v>79</v>
      </c>
      <c r="D12" s="205" t="s">
        <v>80</v>
      </c>
      <c r="E12" s="205" t="s">
        <v>81</v>
      </c>
      <c r="F12" s="205" t="s">
        <v>82</v>
      </c>
      <c r="G12" s="205" t="s">
        <v>83</v>
      </c>
      <c r="H12" s="595" t="s">
        <v>84</v>
      </c>
      <c r="I12" s="205" t="s">
        <v>85</v>
      </c>
      <c r="J12" s="596" t="s">
        <v>86</v>
      </c>
      <c r="K12" s="596" t="s">
        <v>87</v>
      </c>
      <c r="L12" s="597" t="s">
        <v>88</v>
      </c>
      <c r="M12" s="681" t="s">
        <v>89</v>
      </c>
      <c r="N12" s="681" t="s">
        <v>90</v>
      </c>
      <c r="O12" s="598" t="s">
        <v>91</v>
      </c>
      <c r="P12" s="130" t="s">
        <v>92</v>
      </c>
      <c r="Q12" s="599" t="s">
        <v>93</v>
      </c>
      <c r="R12" s="596" t="s">
        <v>94</v>
      </c>
      <c r="S12" s="600" t="s">
        <v>95</v>
      </c>
      <c r="T12" s="601" t="s">
        <v>96</v>
      </c>
      <c r="U12" s="602" t="s">
        <v>93</v>
      </c>
      <c r="V12" s="600" t="s">
        <v>97</v>
      </c>
      <c r="W12" s="601" t="s">
        <v>96</v>
      </c>
      <c r="X12" s="602" t="s">
        <v>93</v>
      </c>
      <c r="Y12" s="600" t="s">
        <v>98</v>
      </c>
      <c r="Z12" s="601" t="s">
        <v>96</v>
      </c>
      <c r="AA12" s="602" t="s">
        <v>99</v>
      </c>
      <c r="AB12" s="600" t="s">
        <v>98</v>
      </c>
      <c r="AC12" s="601" t="s">
        <v>96</v>
      </c>
    </row>
    <row r="13" spans="1:33" x14ac:dyDescent="0.25">
      <c r="B13" s="233">
        <f>ITE_LUC_Rates!A5</f>
        <v>110</v>
      </c>
      <c r="C13" s="11" t="str">
        <f>ITE_LUC_Rates!B5</f>
        <v>General Light Industrial</v>
      </c>
      <c r="D13" s="52" t="str">
        <f>ITE_LUC_Rates!C5</f>
        <v>1000 GSF</v>
      </c>
      <c r="E13" s="234">
        <v>1</v>
      </c>
      <c r="F13" s="112">
        <f>ITE_LUC_Rates!G5</f>
        <v>4.96</v>
      </c>
      <c r="G13" s="53" t="s">
        <v>73</v>
      </c>
      <c r="H13" s="91">
        <f>ITE_LUC_Rates!Q5</f>
        <v>0</v>
      </c>
      <c r="I13" s="101">
        <f t="shared" ref="I13:I19" si="0">+T13+W13+Z13+AC13</f>
        <v>4576.7949530275728</v>
      </c>
      <c r="J13" s="89">
        <f>ITECountywide!$B$9*F13*E13</f>
        <v>8.9903994029645062</v>
      </c>
      <c r="K13" s="22">
        <f t="shared" ref="K13:K19" si="1">IF(G13="Prod",$M$6,$M$7)</f>
        <v>1.67</v>
      </c>
      <c r="L13" s="54">
        <f t="shared" ref="L13:L19" si="2">IF(G13="Prod",$F$6,$F$7)</f>
        <v>0.64373267284932234</v>
      </c>
      <c r="M13" s="22">
        <f>Passby_Length_Adj!H9</f>
        <v>1</v>
      </c>
      <c r="N13" s="22">
        <f>Passby_Length_Adj!J9</f>
        <v>1</v>
      </c>
      <c r="O13" s="54">
        <v>0.5</v>
      </c>
      <c r="P13" s="56">
        <f t="shared" ref="P13:P19" si="3">M13*N13*O13</f>
        <v>0.5</v>
      </c>
      <c r="Q13" s="57">
        <f t="shared" ref="Q13:Q19" si="4">IF($G13="Prod",$J13*$P13*$F$6*$F$8,$J13*P13*$F$7*$F$9)</f>
        <v>21.451511883879327</v>
      </c>
      <c r="R13" s="58">
        <f t="shared" ref="R13:R19" si="5">+Q13/K13</f>
        <v>12.845216696933729</v>
      </c>
      <c r="S13" s="14">
        <f t="shared" ref="S13:S19" si="6">+$Q$6</f>
        <v>261.71052631578948</v>
      </c>
      <c r="T13" s="55">
        <f>+R13*S13</f>
        <v>3361.7284223948932</v>
      </c>
      <c r="U13" s="57">
        <f t="shared" ref="U13:U19" si="7">IF($G13="Prod",$J13*$P13*$G$6*$G$8,$J13*$P13*$G$7*$G$9)</f>
        <v>2.8198820616287086</v>
      </c>
      <c r="V13" s="13">
        <f t="shared" ref="V13:V19" si="8">+$R$6</f>
        <v>405.42115030277023</v>
      </c>
      <c r="W13" s="55">
        <f t="shared" ref="W13:W19" si="9">+U13*V13</f>
        <v>1143.2398291436582</v>
      </c>
      <c r="X13" s="57">
        <f t="shared" ref="X13:X19" si="10">IF($G13="Prod",$J13*$P13*$J$6*$J$8,$J13*$P13*$J$7*$J$9)</f>
        <v>1.8948632000216821</v>
      </c>
      <c r="Y13" s="13">
        <f t="shared" ref="Y13:Y19" si="11">+$S$6</f>
        <v>37.9060089869281</v>
      </c>
      <c r="Z13" s="55">
        <f t="shared" ref="Z13:Z19" si="12">+X13*Y13</f>
        <v>71.826701489021218</v>
      </c>
      <c r="AA13" s="57">
        <f t="shared" ref="AA13:AA19" si="13">IF($G13="Prod",$J13*$P13*$I$6*$I$8,$J13*$P13*$I$7*$I$9)</f>
        <v>1.2262254134391393</v>
      </c>
      <c r="AB13" s="13">
        <f t="shared" ref="AB13:AB19" si="14">$T$6</f>
        <v>0</v>
      </c>
      <c r="AC13" s="55">
        <f t="shared" ref="AC13:AC19" si="15">+AA13*AB13</f>
        <v>0</v>
      </c>
      <c r="AG13" s="59"/>
    </row>
    <row r="14" spans="1:33" x14ac:dyDescent="0.25">
      <c r="B14" s="233">
        <f>ITE_LUC_Rates!A6</f>
        <v>130</v>
      </c>
      <c r="C14" s="11" t="str">
        <f>ITE_LUC_Rates!B6</f>
        <v>Industrial Park</v>
      </c>
      <c r="D14" s="52" t="str">
        <f>ITE_LUC_Rates!C6</f>
        <v>1000 GSF</v>
      </c>
      <c r="E14" s="234">
        <v>1</v>
      </c>
      <c r="F14" s="112">
        <f>ITE_LUC_Rates!G6</f>
        <v>3.37</v>
      </c>
      <c r="G14" s="53" t="s">
        <v>73</v>
      </c>
      <c r="H14" s="91">
        <f>ITE_LUC_Rates!Q6</f>
        <v>7020.7</v>
      </c>
      <c r="I14" s="101">
        <f t="shared" si="0"/>
        <v>3109.6368934884913</v>
      </c>
      <c r="J14" s="89">
        <f>ITECountywide!$B$9*F14*E14</f>
        <v>6.1083963685464484</v>
      </c>
      <c r="K14" s="22">
        <f t="shared" si="1"/>
        <v>1.67</v>
      </c>
      <c r="L14" s="54">
        <f t="shared" si="2"/>
        <v>0.64373267284932234</v>
      </c>
      <c r="M14" s="22">
        <f>Passby_Length_Adj!H10</f>
        <v>1</v>
      </c>
      <c r="N14" s="22">
        <f>Passby_Length_Adj!J10</f>
        <v>1</v>
      </c>
      <c r="O14" s="54">
        <v>0.5</v>
      </c>
      <c r="P14" s="56">
        <f t="shared" si="3"/>
        <v>0.5</v>
      </c>
      <c r="Q14" s="57">
        <f t="shared" si="4"/>
        <v>14.574918356587364</v>
      </c>
      <c r="R14" s="58">
        <f t="shared" si="5"/>
        <v>8.7274960219086015</v>
      </c>
      <c r="S14" s="14">
        <f t="shared" si="6"/>
        <v>261.71052631578948</v>
      </c>
      <c r="T14" s="55">
        <f t="shared" ref="T14:T19" si="16">+R14*S14</f>
        <v>2284.0775773126588</v>
      </c>
      <c r="U14" s="57">
        <f t="shared" si="7"/>
        <v>1.9159279330017633</v>
      </c>
      <c r="V14" s="13">
        <f t="shared" si="8"/>
        <v>405.42115030277023</v>
      </c>
      <c r="W14" s="55">
        <f t="shared" si="9"/>
        <v>776.75770649478375</v>
      </c>
      <c r="X14" s="57">
        <f t="shared" si="10"/>
        <v>1.287437295176022</v>
      </c>
      <c r="Y14" s="13">
        <f t="shared" si="11"/>
        <v>37.9060089869281</v>
      </c>
      <c r="Z14" s="55">
        <f t="shared" si="12"/>
        <v>48.801609681048696</v>
      </c>
      <c r="AA14" s="57">
        <f t="shared" si="13"/>
        <v>0.83314105711489905</v>
      </c>
      <c r="AB14" s="13">
        <f t="shared" si="14"/>
        <v>0</v>
      </c>
      <c r="AC14" s="55">
        <f t="shared" si="15"/>
        <v>0</v>
      </c>
    </row>
    <row r="15" spans="1:33" x14ac:dyDescent="0.25">
      <c r="B15" s="233">
        <f>ITE_LUC_Rates!A7</f>
        <v>140</v>
      </c>
      <c r="C15" s="11" t="str">
        <f>ITE_LUC_Rates!B7</f>
        <v>Manufacturing</v>
      </c>
      <c r="D15" s="52" t="str">
        <f>ITE_LUC_Rates!C7</f>
        <v>1000 GSF</v>
      </c>
      <c r="E15" s="234">
        <v>1</v>
      </c>
      <c r="F15" s="112">
        <f>ITE_LUC_Rates!G7</f>
        <v>3.93</v>
      </c>
      <c r="G15" s="53" t="s">
        <v>73</v>
      </c>
      <c r="H15" s="91">
        <f>ITE_LUC_Rates!Q7</f>
        <v>3853.5</v>
      </c>
      <c r="I15" s="101">
        <f t="shared" si="0"/>
        <v>3626.371807539992</v>
      </c>
      <c r="J15" s="89">
        <f>ITECountywide!$B$9*F15*E15</f>
        <v>7.1234414624295379</v>
      </c>
      <c r="K15" s="22">
        <f t="shared" si="1"/>
        <v>1.67</v>
      </c>
      <c r="L15" s="54">
        <f t="shared" si="2"/>
        <v>0.64373267284932234</v>
      </c>
      <c r="M15" s="22">
        <f>Passby_Length_Adj!H11</f>
        <v>1</v>
      </c>
      <c r="N15" s="22">
        <f>Passby_Length_Adj!J11</f>
        <v>1</v>
      </c>
      <c r="O15" s="54">
        <v>0.5</v>
      </c>
      <c r="P15" s="56">
        <f t="shared" si="3"/>
        <v>0.5</v>
      </c>
      <c r="Q15" s="57">
        <f t="shared" si="4"/>
        <v>16.996863246702773</v>
      </c>
      <c r="R15" s="58">
        <f t="shared" si="5"/>
        <v>10.177762423175313</v>
      </c>
      <c r="S15" s="14">
        <f t="shared" si="6"/>
        <v>261.71052631578948</v>
      </c>
      <c r="T15" s="55">
        <f t="shared" si="16"/>
        <v>2663.6275604862763</v>
      </c>
      <c r="U15" s="57">
        <f t="shared" si="7"/>
        <v>2.2343017141533918</v>
      </c>
      <c r="V15" s="13">
        <f t="shared" si="8"/>
        <v>405.42115030277023</v>
      </c>
      <c r="W15" s="55">
        <f t="shared" si="9"/>
        <v>905.83317107551943</v>
      </c>
      <c r="X15" s="57">
        <f t="shared" si="10"/>
        <v>1.5013734629204054</v>
      </c>
      <c r="Y15" s="13">
        <f t="shared" si="11"/>
        <v>37.9060089869281</v>
      </c>
      <c r="Z15" s="55">
        <f t="shared" si="12"/>
        <v>56.911075978196251</v>
      </c>
      <c r="AA15" s="57">
        <f t="shared" si="13"/>
        <v>0.97158586185802776</v>
      </c>
      <c r="AB15" s="13">
        <f t="shared" si="14"/>
        <v>0</v>
      </c>
      <c r="AC15" s="55">
        <f t="shared" si="15"/>
        <v>0</v>
      </c>
      <c r="AE15" s="59"/>
    </row>
    <row r="16" spans="1:33" x14ac:dyDescent="0.25">
      <c r="B16" s="233">
        <f>ITE_LUC_Rates!A8</f>
        <v>150</v>
      </c>
      <c r="C16" s="11" t="str">
        <f>ITE_LUC_Rates!B8</f>
        <v>Warehousing</v>
      </c>
      <c r="D16" s="52" t="str">
        <f>ITE_LUC_Rates!C8</f>
        <v>1000 GSF</v>
      </c>
      <c r="E16" s="234">
        <v>1</v>
      </c>
      <c r="F16" s="112">
        <f>ITE_LUC_Rates!G8</f>
        <v>1.74</v>
      </c>
      <c r="G16" s="53" t="s">
        <v>73</v>
      </c>
      <c r="H16" s="91">
        <f>ITE_LUC_Rates!Q8</f>
        <v>5002.3</v>
      </c>
      <c r="I16" s="101">
        <f t="shared" si="0"/>
        <v>1605.5691972314467</v>
      </c>
      <c r="J16" s="89">
        <f>ITECountywide!$B$9*F16*E16</f>
        <v>3.1538901131367418</v>
      </c>
      <c r="K16" s="22">
        <f t="shared" si="1"/>
        <v>1.67</v>
      </c>
      <c r="L16" s="54">
        <f t="shared" si="2"/>
        <v>0.64373267284932234</v>
      </c>
      <c r="M16" s="22">
        <f>Passby_Length_Adj!H12</f>
        <v>1</v>
      </c>
      <c r="N16" s="22">
        <f>Passby_Length_Adj!J12</f>
        <v>1</v>
      </c>
      <c r="O16" s="54">
        <v>0.5</v>
      </c>
      <c r="P16" s="56">
        <f t="shared" si="3"/>
        <v>0.5</v>
      </c>
      <c r="Q16" s="57">
        <f t="shared" si="4"/>
        <v>7.5253287657157308</v>
      </c>
      <c r="R16" s="58">
        <f t="shared" si="5"/>
        <v>4.5061848896501386</v>
      </c>
      <c r="S16" s="14">
        <f t="shared" si="6"/>
        <v>261.71052631578948</v>
      </c>
      <c r="T16" s="55">
        <f t="shared" si="16"/>
        <v>1179.3160191465954</v>
      </c>
      <c r="U16" s="57">
        <f t="shared" si="7"/>
        <v>0.98923282000684531</v>
      </c>
      <c r="V16" s="13">
        <f t="shared" si="8"/>
        <v>405.42115030277023</v>
      </c>
      <c r="W16" s="55">
        <f t="shared" si="9"/>
        <v>401.0559078044285</v>
      </c>
      <c r="X16" s="57">
        <f t="shared" si="10"/>
        <v>0.66473023549147714</v>
      </c>
      <c r="Y16" s="13">
        <f t="shared" si="11"/>
        <v>37.9060089869281</v>
      </c>
      <c r="Z16" s="55">
        <f t="shared" si="12"/>
        <v>25.197270280422764</v>
      </c>
      <c r="AA16" s="57">
        <f t="shared" si="13"/>
        <v>0.43016778616614965</v>
      </c>
      <c r="AB16" s="13">
        <f t="shared" si="14"/>
        <v>0</v>
      </c>
      <c r="AC16" s="55">
        <f t="shared" si="15"/>
        <v>0</v>
      </c>
    </row>
    <row r="17" spans="1:31" x14ac:dyDescent="0.25">
      <c r="B17" s="233">
        <f>ITE_LUC_Rates!A9</f>
        <v>151</v>
      </c>
      <c r="C17" s="11" t="str">
        <f>ITE_LUC_Rates!B9</f>
        <v>Mini-Warehousing</v>
      </c>
      <c r="D17" s="52" t="str">
        <f>ITE_LUC_Rates!C9</f>
        <v>1000 GSF</v>
      </c>
      <c r="E17" s="234">
        <v>1</v>
      </c>
      <c r="F17" s="112">
        <f>ITE_LUC_Rates!G9</f>
        <v>1.51</v>
      </c>
      <c r="G17" s="53" t="s">
        <v>73</v>
      </c>
      <c r="H17" s="91">
        <f>ITE_LUC_Rates!Q9</f>
        <v>2415.4</v>
      </c>
      <c r="I17" s="101">
        <f t="shared" si="0"/>
        <v>1393.3387861031524</v>
      </c>
      <c r="J17" s="89">
        <f>ITECountywide!$B$9*F17*E17</f>
        <v>2.736996592434759</v>
      </c>
      <c r="K17" s="60">
        <f t="shared" si="1"/>
        <v>1.67</v>
      </c>
      <c r="L17" s="54">
        <f t="shared" si="2"/>
        <v>0.64373267284932234</v>
      </c>
      <c r="M17" s="22">
        <f>Passby_Length_Adj!H13</f>
        <v>1</v>
      </c>
      <c r="N17" s="22">
        <f>Passby_Length_Adj!J13</f>
        <v>1</v>
      </c>
      <c r="O17" s="54">
        <v>0.5</v>
      </c>
      <c r="P17" s="56">
        <f t="shared" si="3"/>
        <v>0.5</v>
      </c>
      <c r="Q17" s="57">
        <f t="shared" si="4"/>
        <v>6.5306014001326176</v>
      </c>
      <c r="R17" s="58">
        <f>+Q17/K17</f>
        <v>3.910539760558454</v>
      </c>
      <c r="S17" s="14">
        <f t="shared" si="6"/>
        <v>261.71052631578948</v>
      </c>
      <c r="T17" s="55">
        <f t="shared" si="16"/>
        <v>1023.4294189145744</v>
      </c>
      <c r="U17" s="57">
        <f t="shared" si="7"/>
        <v>0.85847215989099801</v>
      </c>
      <c r="V17" s="13">
        <f t="shared" si="8"/>
        <v>405.42115030277023</v>
      </c>
      <c r="W17" s="55">
        <f t="shared" si="9"/>
        <v>348.04277056591212</v>
      </c>
      <c r="X17" s="57">
        <f t="shared" si="10"/>
        <v>0.5768635951678911</v>
      </c>
      <c r="Y17" s="13">
        <f t="shared" si="11"/>
        <v>37.9060089869281</v>
      </c>
      <c r="Z17" s="55">
        <f t="shared" si="12"/>
        <v>21.866596622665732</v>
      </c>
      <c r="AA17" s="57">
        <f t="shared" si="13"/>
        <v>0.37330652707522188</v>
      </c>
      <c r="AB17" s="13">
        <f t="shared" si="14"/>
        <v>0</v>
      </c>
      <c r="AC17" s="55">
        <f t="shared" si="15"/>
        <v>0</v>
      </c>
    </row>
    <row r="18" spans="1:31" x14ac:dyDescent="0.25">
      <c r="B18" s="233">
        <f>ITE_LUC_Rates!A10</f>
        <v>160</v>
      </c>
      <c r="C18" s="11" t="str">
        <f>ITE_LUC_Rates!B10</f>
        <v>Data Center</v>
      </c>
      <c r="D18" s="52" t="str">
        <f>ITE_LUC_Rates!C10</f>
        <v>1000 GSF</v>
      </c>
      <c r="E18" s="234">
        <v>1</v>
      </c>
      <c r="F18" s="112">
        <f>ITE_LUC_Rates!G10</f>
        <v>0.99</v>
      </c>
      <c r="G18" s="53" t="s">
        <v>73</v>
      </c>
      <c r="H18" s="91">
        <f>ITE_LUC_Rates!Q10</f>
        <v>0</v>
      </c>
      <c r="I18" s="101">
        <f t="shared" si="0"/>
        <v>913.51350876961624</v>
      </c>
      <c r="J18" s="89">
        <f>ITECountywide!$B$9*F18*E18</f>
        <v>1.7944547195433187</v>
      </c>
      <c r="K18" s="22">
        <f t="shared" si="1"/>
        <v>1.67</v>
      </c>
      <c r="L18" s="54">
        <f t="shared" si="2"/>
        <v>0.64373267284932234</v>
      </c>
      <c r="M18" s="22">
        <f>Passby_Length_Adj!H14</f>
        <v>1</v>
      </c>
      <c r="N18" s="22">
        <f>Passby_Length_Adj!J14</f>
        <v>1</v>
      </c>
      <c r="O18" s="54">
        <v>0.5</v>
      </c>
      <c r="P18" s="56">
        <f t="shared" si="3"/>
        <v>0.5</v>
      </c>
      <c r="Q18" s="57">
        <f t="shared" si="4"/>
        <v>4.2816525735968813</v>
      </c>
      <c r="R18" s="58">
        <f t="shared" si="5"/>
        <v>2.5638638165250787</v>
      </c>
      <c r="S18" s="14">
        <f t="shared" si="6"/>
        <v>261.71052631578948</v>
      </c>
      <c r="T18" s="55">
        <f t="shared" si="16"/>
        <v>670.99014882478707</v>
      </c>
      <c r="U18" s="57">
        <f t="shared" si="7"/>
        <v>0.56283936310734295</v>
      </c>
      <c r="V18" s="13">
        <f t="shared" si="8"/>
        <v>405.42115030277023</v>
      </c>
      <c r="W18" s="55">
        <f t="shared" si="9"/>
        <v>228.18698202665755</v>
      </c>
      <c r="X18" s="57">
        <f t="shared" si="10"/>
        <v>0.37820858226239223</v>
      </c>
      <c r="Y18" s="13">
        <f t="shared" si="11"/>
        <v>37.9060089869281</v>
      </c>
      <c r="Z18" s="55">
        <f t="shared" si="12"/>
        <v>14.336377918171575</v>
      </c>
      <c r="AA18" s="57">
        <f t="shared" si="13"/>
        <v>0.2447506369566024</v>
      </c>
      <c r="AB18" s="13">
        <f t="shared" si="14"/>
        <v>0</v>
      </c>
      <c r="AC18" s="55">
        <f t="shared" si="15"/>
        <v>0</v>
      </c>
      <c r="AE18" s="58"/>
    </row>
    <row r="19" spans="1:31" x14ac:dyDescent="0.25">
      <c r="B19" s="233">
        <f>ITE_LUC_Rates!A11</f>
        <v>170</v>
      </c>
      <c r="C19" s="11" t="str">
        <f>ITE_LUC_Rates!B11</f>
        <v>Utility</v>
      </c>
      <c r="D19" s="52" t="str">
        <f>ITE_LUC_Rates!C11</f>
        <v>1000 GSF</v>
      </c>
      <c r="E19" s="234">
        <v>1</v>
      </c>
      <c r="F19" s="112">
        <f>ITE_LUC_Rates!G11</f>
        <v>13.24</v>
      </c>
      <c r="G19" s="53" t="s">
        <v>73</v>
      </c>
      <c r="H19" s="91">
        <f>ITE_LUC_Rates!Q11</f>
        <v>0</v>
      </c>
      <c r="I19" s="101">
        <f t="shared" si="0"/>
        <v>12217.089753646182</v>
      </c>
      <c r="J19" s="89">
        <f>ITECountywide!$B$9*F19*E19</f>
        <v>23.998566148235899</v>
      </c>
      <c r="K19" s="22">
        <f t="shared" si="1"/>
        <v>1.67</v>
      </c>
      <c r="L19" s="54">
        <f t="shared" si="2"/>
        <v>0.64373267284932234</v>
      </c>
      <c r="M19" s="22">
        <f>Passby_Length_Adj!H15</f>
        <v>1</v>
      </c>
      <c r="N19" s="22">
        <f>Passby_Length_Adj!J15</f>
        <v>1</v>
      </c>
      <c r="O19" s="54">
        <v>0.5</v>
      </c>
      <c r="P19" s="56">
        <f t="shared" si="3"/>
        <v>0.5</v>
      </c>
      <c r="Q19" s="57">
        <f t="shared" si="4"/>
        <v>57.261697044871426</v>
      </c>
      <c r="R19" s="58">
        <f t="shared" si="5"/>
        <v>34.288441344234386</v>
      </c>
      <c r="S19" s="14">
        <f t="shared" si="6"/>
        <v>261.71052631578948</v>
      </c>
      <c r="T19" s="55">
        <f t="shared" si="16"/>
        <v>8973.6460307476573</v>
      </c>
      <c r="U19" s="57">
        <f t="shared" si="7"/>
        <v>7.5272658257992138</v>
      </c>
      <c r="V19" s="13">
        <f t="shared" si="8"/>
        <v>405.42115030277023</v>
      </c>
      <c r="W19" s="55">
        <f t="shared" si="9"/>
        <v>3051.712769730249</v>
      </c>
      <c r="X19" s="57">
        <f t="shared" si="10"/>
        <v>5.0580622516707807</v>
      </c>
      <c r="Y19" s="13">
        <f t="shared" si="11"/>
        <v>37.9060089869281</v>
      </c>
      <c r="Z19" s="55">
        <f t="shared" si="12"/>
        <v>191.7309531682744</v>
      </c>
      <c r="AA19" s="57">
        <f t="shared" si="13"/>
        <v>3.2732307407125414</v>
      </c>
      <c r="AB19" s="13">
        <f t="shared" si="14"/>
        <v>0</v>
      </c>
      <c r="AC19" s="55">
        <f t="shared" si="15"/>
        <v>0</v>
      </c>
    </row>
    <row r="20" spans="1:31" x14ac:dyDescent="0.25">
      <c r="A20" s="90"/>
      <c r="B20" s="10" t="s">
        <v>100</v>
      </c>
      <c r="F20" s="104"/>
      <c r="I20" s="105">
        <f>SUM(I13:I19)</f>
        <v>27442.314899806457</v>
      </c>
      <c r="L20" s="23"/>
      <c r="M20" s="23"/>
      <c r="N20" s="23"/>
      <c r="O20" s="23"/>
      <c r="P20" s="23"/>
      <c r="Q20" s="23"/>
      <c r="Z20" s="90"/>
      <c r="AA20" s="58"/>
    </row>
    <row r="21" spans="1:31" x14ac:dyDescent="0.25">
      <c r="I21" s="105"/>
      <c r="L21" s="23"/>
      <c r="M21" s="23"/>
      <c r="N21" s="23"/>
      <c r="O21" s="23"/>
      <c r="P21" s="23"/>
      <c r="Q21" s="23"/>
      <c r="Z21" s="90"/>
      <c r="AA21" s="58"/>
    </row>
    <row r="22" spans="1:31" x14ac:dyDescent="0.25">
      <c r="L22" s="23"/>
      <c r="M22" s="23"/>
      <c r="N22" s="23"/>
      <c r="O22" s="23"/>
      <c r="P22" s="23"/>
      <c r="Q22" s="23"/>
      <c r="Z22" s="90"/>
      <c r="AA22" s="58"/>
    </row>
    <row r="23" spans="1:31" x14ac:dyDescent="0.25">
      <c r="Z23" s="90"/>
      <c r="AA23" s="58"/>
    </row>
    <row r="24" spans="1:31" x14ac:dyDescent="0.25">
      <c r="Z24" s="90"/>
      <c r="AA24" s="58"/>
    </row>
    <row r="25" spans="1:31" x14ac:dyDescent="0.25">
      <c r="Z25" s="90"/>
      <c r="AA25" s="58"/>
    </row>
    <row r="26" spans="1:31" x14ac:dyDescent="0.25">
      <c r="Z26" s="90"/>
      <c r="AA26" s="58"/>
    </row>
    <row r="27" spans="1:31" x14ac:dyDescent="0.25">
      <c r="Z27" s="90"/>
      <c r="AA27" s="58"/>
    </row>
    <row r="28" spans="1:31" x14ac:dyDescent="0.25">
      <c r="Z28" s="90"/>
      <c r="AA28" s="58"/>
    </row>
    <row r="29" spans="1:31" x14ac:dyDescent="0.25">
      <c r="Z29" s="90"/>
      <c r="AA29" s="58"/>
    </row>
    <row r="30" spans="1:31" x14ac:dyDescent="0.25">
      <c r="Z30" s="90"/>
      <c r="AA30" s="58"/>
    </row>
    <row r="31" spans="1:31" x14ac:dyDescent="0.25">
      <c r="Z31" s="90"/>
      <c r="AA31" s="58"/>
    </row>
    <row r="32" spans="1:31" x14ac:dyDescent="0.25">
      <c r="Z32" s="90"/>
      <c r="AA32" s="58"/>
    </row>
    <row r="33" spans="26:27" x14ac:dyDescent="0.25">
      <c r="Z33" s="90"/>
      <c r="AA33" s="58"/>
    </row>
    <row r="34" spans="26:27" x14ac:dyDescent="0.25">
      <c r="Z34" s="90"/>
    </row>
    <row r="35" spans="26:27" x14ac:dyDescent="0.25">
      <c r="Z35" s="90"/>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BA245"/>
  <sheetViews>
    <sheetView workbookViewId="0"/>
  </sheetViews>
  <sheetFormatPr defaultColWidth="4.42578125" defaultRowHeight="15.75" x14ac:dyDescent="0.25"/>
  <cols>
    <col min="1" max="1" width="1.5703125" style="11" customWidth="1"/>
    <col min="2" max="2" width="13.42578125" style="10" customWidth="1"/>
    <col min="3" max="3" width="31.5703125" style="11" customWidth="1"/>
    <col min="4" max="4" width="12.140625" style="30" customWidth="1"/>
    <col min="5" max="5" width="12.85546875" style="30" hidden="1" customWidth="1"/>
    <col min="6" max="6" width="12.85546875" style="60" customWidth="1"/>
    <col min="7" max="8" width="12.85546875" style="13" customWidth="1"/>
    <col min="9" max="9" width="13.5703125" style="13" hidden="1" customWidth="1"/>
    <col min="10" max="18" width="12.85546875" style="13" customWidth="1"/>
    <col min="19" max="26" width="12.85546875" style="11" customWidth="1"/>
    <col min="27" max="16384" width="4.42578125" style="11"/>
  </cols>
  <sheetData>
    <row r="1" spans="1:26" x14ac:dyDescent="0.25">
      <c r="A1" s="10" t="s">
        <v>54</v>
      </c>
      <c r="D1" s="60"/>
      <c r="E1" s="60"/>
      <c r="F1" s="11"/>
      <c r="G1" s="11"/>
      <c r="H1" s="11"/>
      <c r="I1" s="11"/>
      <c r="J1" s="11"/>
      <c r="K1" s="11"/>
      <c r="L1" s="11"/>
      <c r="M1" s="11"/>
      <c r="N1" s="11"/>
      <c r="O1" s="11"/>
      <c r="P1" s="11"/>
      <c r="Q1" s="11"/>
      <c r="R1" s="11"/>
    </row>
    <row r="2" spans="1:26" x14ac:dyDescent="0.25">
      <c r="A2" s="10"/>
      <c r="D2" s="11"/>
      <c r="E2" s="11"/>
      <c r="F2" s="11"/>
      <c r="G2" s="11"/>
      <c r="H2" s="11"/>
      <c r="I2" s="11"/>
      <c r="J2" s="11"/>
      <c r="K2" s="11"/>
      <c r="L2" s="11"/>
      <c r="M2" s="11"/>
      <c r="N2" s="11"/>
      <c r="O2" s="11"/>
      <c r="P2" s="11"/>
      <c r="Q2" s="11"/>
      <c r="R2" s="11"/>
    </row>
    <row r="3" spans="1:26" x14ac:dyDescent="0.25">
      <c r="A3" s="10"/>
      <c r="B3" s="10" t="s">
        <v>101</v>
      </c>
      <c r="D3" s="11"/>
      <c r="E3" s="11"/>
      <c r="F3" s="11"/>
      <c r="G3" s="11"/>
      <c r="H3" s="11"/>
      <c r="I3" s="11"/>
      <c r="J3" s="11"/>
      <c r="K3" s="11"/>
      <c r="L3" s="11"/>
      <c r="M3" s="11"/>
      <c r="N3" s="11"/>
      <c r="O3" s="11"/>
      <c r="P3" s="11"/>
      <c r="Q3" s="11"/>
      <c r="R3" s="11"/>
    </row>
    <row r="4" spans="1:26" hidden="1" x14ac:dyDescent="0.25">
      <c r="A4" s="10"/>
      <c r="D4" s="11"/>
      <c r="E4" s="11"/>
      <c r="F4" s="11"/>
      <c r="G4" s="11"/>
      <c r="H4" s="11"/>
      <c r="I4" s="11"/>
      <c r="J4" s="11"/>
      <c r="K4" s="11"/>
      <c r="L4" s="11"/>
      <c r="M4" s="11"/>
      <c r="N4" s="11"/>
      <c r="O4" s="11"/>
      <c r="P4" s="11"/>
      <c r="Q4" s="11"/>
      <c r="R4" s="11"/>
    </row>
    <row r="5" spans="1:26" hidden="1" x14ac:dyDescent="0.25">
      <c r="D5" s="11"/>
      <c r="E5" s="11"/>
      <c r="F5" s="11"/>
      <c r="G5" s="11"/>
      <c r="H5" s="11"/>
      <c r="I5" s="11"/>
      <c r="J5" s="11"/>
      <c r="K5" s="11"/>
      <c r="L5" s="11"/>
      <c r="M5" s="11"/>
      <c r="N5" s="11"/>
      <c r="O5" s="11"/>
      <c r="P5" s="11"/>
      <c r="Q5" s="11"/>
      <c r="R5" s="11"/>
    </row>
    <row r="6" spans="1:26" hidden="1" x14ac:dyDescent="0.25">
      <c r="D6" s="11"/>
      <c r="E6" s="11"/>
      <c r="F6" s="11"/>
      <c r="G6" s="11"/>
      <c r="H6" s="11"/>
      <c r="I6" s="11"/>
      <c r="J6" s="11"/>
      <c r="K6" s="11"/>
      <c r="L6" s="11"/>
      <c r="M6" s="11"/>
      <c r="N6" s="11"/>
      <c r="O6" s="11"/>
      <c r="P6" s="11"/>
      <c r="Q6" s="11"/>
      <c r="R6" s="11"/>
    </row>
    <row r="7" spans="1:26" hidden="1" x14ac:dyDescent="0.25">
      <c r="D7" s="11"/>
      <c r="E7" s="11"/>
      <c r="F7" s="11"/>
      <c r="G7" s="11"/>
      <c r="H7" s="11"/>
      <c r="I7" s="11"/>
      <c r="J7" s="11"/>
      <c r="K7" s="11"/>
      <c r="L7" s="11"/>
      <c r="M7" s="11"/>
      <c r="N7" s="11"/>
      <c r="O7" s="11"/>
      <c r="P7" s="11"/>
      <c r="Q7" s="11"/>
      <c r="R7" s="11"/>
    </row>
    <row r="8" spans="1:26" hidden="1" x14ac:dyDescent="0.25">
      <c r="D8" s="11"/>
      <c r="E8" s="11"/>
      <c r="F8" s="11"/>
      <c r="G8" s="11"/>
      <c r="H8" s="11"/>
      <c r="I8" s="11"/>
      <c r="J8" s="11"/>
      <c r="K8" s="11"/>
      <c r="L8" s="11"/>
      <c r="M8" s="11"/>
      <c r="N8" s="11"/>
      <c r="O8" s="11"/>
      <c r="P8" s="11"/>
      <c r="Q8" s="11"/>
      <c r="R8" s="11"/>
    </row>
    <row r="9" spans="1:26" x14ac:dyDescent="0.25">
      <c r="D9" s="60"/>
      <c r="E9" s="60"/>
    </row>
    <row r="10" spans="1:26" x14ac:dyDescent="0.25">
      <c r="B10" s="25"/>
      <c r="C10" s="26"/>
      <c r="D10" s="27"/>
      <c r="E10" s="27"/>
      <c r="F10" s="27"/>
      <c r="G10" s="28"/>
      <c r="H10" s="923" t="s">
        <v>102</v>
      </c>
      <c r="I10" s="932"/>
      <c r="J10" s="932"/>
      <c r="K10" s="932"/>
      <c r="L10" s="932"/>
      <c r="M10" s="932"/>
      <c r="N10" s="932"/>
      <c r="O10" s="932"/>
      <c r="P10" s="932"/>
      <c r="Q10" s="932"/>
      <c r="R10" s="924"/>
      <c r="S10" s="923" t="s">
        <v>103</v>
      </c>
      <c r="T10" s="932"/>
      <c r="U10" s="932"/>
      <c r="V10" s="932"/>
      <c r="W10" s="932"/>
      <c r="X10" s="932"/>
      <c r="Y10" s="932"/>
      <c r="Z10" s="924"/>
    </row>
    <row r="11" spans="1:26" x14ac:dyDescent="0.25">
      <c r="B11" s="116"/>
      <c r="C11" s="117"/>
      <c r="D11" s="118"/>
      <c r="E11" s="118"/>
      <c r="F11" s="118"/>
      <c r="G11" s="119"/>
      <c r="H11" s="935" t="s">
        <v>104</v>
      </c>
      <c r="I11" s="936"/>
      <c r="J11" s="930" t="s">
        <v>105</v>
      </c>
      <c r="K11" s="933"/>
      <c r="L11" s="933"/>
      <c r="M11" s="930" t="s">
        <v>106</v>
      </c>
      <c r="N11" s="933"/>
      <c r="O11" s="933"/>
      <c r="P11" s="930" t="s">
        <v>107</v>
      </c>
      <c r="Q11" s="933"/>
      <c r="R11" s="931"/>
      <c r="S11" s="930" t="s">
        <v>104</v>
      </c>
      <c r="T11" s="931"/>
      <c r="U11" s="930" t="s">
        <v>105</v>
      </c>
      <c r="V11" s="931"/>
      <c r="W11" s="930" t="s">
        <v>106</v>
      </c>
      <c r="X11" s="931"/>
      <c r="Y11" s="930" t="s">
        <v>107</v>
      </c>
      <c r="Z11" s="931"/>
    </row>
    <row r="12" spans="1:26" ht="30" customHeight="1" x14ac:dyDescent="0.25">
      <c r="B12" s="116"/>
      <c r="C12" s="117"/>
      <c r="D12" s="118"/>
      <c r="E12" s="118"/>
      <c r="F12" s="118"/>
      <c r="G12" s="119"/>
      <c r="H12" s="937"/>
      <c r="I12" s="938"/>
      <c r="J12" s="934" t="s">
        <v>108</v>
      </c>
      <c r="K12" s="934" t="s">
        <v>109</v>
      </c>
      <c r="L12" s="934"/>
      <c r="M12" s="934" t="s">
        <v>108</v>
      </c>
      <c r="N12" s="934" t="s">
        <v>109</v>
      </c>
      <c r="O12" s="934"/>
      <c r="P12" s="934" t="s">
        <v>108</v>
      </c>
      <c r="Q12" s="934" t="s">
        <v>109</v>
      </c>
      <c r="R12" s="934"/>
      <c r="S12" s="848"/>
      <c r="T12" s="849"/>
      <c r="U12" s="848"/>
      <c r="V12" s="849"/>
      <c r="W12" s="848"/>
      <c r="X12" s="849"/>
      <c r="Y12" s="848"/>
      <c r="Z12" s="849"/>
    </row>
    <row r="13" spans="1:26" s="9" customFormat="1" ht="55.5" customHeight="1" x14ac:dyDescent="0.25">
      <c r="B13" s="114" t="s">
        <v>78</v>
      </c>
      <c r="C13" s="115" t="s">
        <v>79</v>
      </c>
      <c r="D13" s="7" t="s">
        <v>80</v>
      </c>
      <c r="E13" s="7" t="s">
        <v>82</v>
      </c>
      <c r="F13" s="7" t="s">
        <v>83</v>
      </c>
      <c r="G13" s="8" t="s">
        <v>84</v>
      </c>
      <c r="H13" s="939"/>
      <c r="I13" s="940"/>
      <c r="J13" s="934"/>
      <c r="K13" s="850" t="s">
        <v>110</v>
      </c>
      <c r="L13" s="850" t="s">
        <v>111</v>
      </c>
      <c r="M13" s="934"/>
      <c r="N13" s="850" t="s">
        <v>110</v>
      </c>
      <c r="O13" s="850" t="s">
        <v>111</v>
      </c>
      <c r="P13" s="934"/>
      <c r="Q13" s="850" t="s">
        <v>110</v>
      </c>
      <c r="R13" s="850" t="s">
        <v>111</v>
      </c>
      <c r="S13" s="7" t="s">
        <v>109</v>
      </c>
      <c r="T13" s="7" t="s">
        <v>108</v>
      </c>
      <c r="U13" s="7" t="s">
        <v>109</v>
      </c>
      <c r="V13" s="7" t="s">
        <v>108</v>
      </c>
      <c r="W13" s="7" t="s">
        <v>109</v>
      </c>
      <c r="X13" s="7" t="s">
        <v>108</v>
      </c>
      <c r="Y13" s="7" t="s">
        <v>109</v>
      </c>
      <c r="Z13" s="7" t="s">
        <v>108</v>
      </c>
    </row>
    <row r="14" spans="1:26" x14ac:dyDescent="0.25">
      <c r="B14" s="92" t="str">
        <f>ITE_LUC_Rates!A2</f>
        <v>Port and Terminal</v>
      </c>
      <c r="C14" s="93"/>
      <c r="D14" s="94"/>
      <c r="E14" s="93"/>
      <c r="F14" s="95"/>
      <c r="G14" s="96"/>
      <c r="H14" s="99"/>
      <c r="I14" s="99"/>
      <c r="J14" s="99"/>
      <c r="K14" s="99"/>
      <c r="L14" s="99"/>
      <c r="M14" s="99"/>
      <c r="N14" s="99"/>
      <c r="O14" s="99"/>
      <c r="P14" s="97"/>
      <c r="Q14" s="97"/>
      <c r="R14" s="99"/>
      <c r="S14" s="99"/>
      <c r="T14" s="99"/>
      <c r="U14" s="99"/>
      <c r="V14" s="99"/>
      <c r="W14" s="99"/>
      <c r="X14" s="99"/>
      <c r="Y14" s="99"/>
      <c r="Z14" s="97"/>
    </row>
    <row r="15" spans="1:26" x14ac:dyDescent="0.25">
      <c r="B15" s="51">
        <v>30</v>
      </c>
      <c r="C15" s="11" t="str">
        <f>+CurrentFee_RIF!C5</f>
        <v>Truck Terminal</v>
      </c>
      <c r="D15" s="11" t="s">
        <v>112</v>
      </c>
      <c r="E15" s="123"/>
      <c r="F15" s="860" t="s">
        <v>73</v>
      </c>
      <c r="G15" s="91">
        <f>ITE_LUC_Rates!Q3</f>
        <v>10080.200000000001</v>
      </c>
      <c r="H15" s="55">
        <f>+FEE_1_In!H12</f>
        <v>9088.9980417987063</v>
      </c>
      <c r="I15" s="55">
        <f>+FEE_1_Out!H12</f>
        <v>8839.9730032134648</v>
      </c>
      <c r="J15" s="55">
        <f>FEE_2_In!$H12</f>
        <v>10810.505844536758</v>
      </c>
      <c r="K15" s="55">
        <f>IF(F15="Prod",FEE_ByContextArea_ByMode!AC15*AreaModeSharesandPMT!$X$11+FEE_ByContextArea_ByMode!AD15+FEE_ByContextArea_ByMode!AE15*AreaModeSharesandPMT!$Z$11,FEE_ByContextArea_ByMode!AC15*AreaModeSharesandPMT!$X$19+FEE_ByContextArea_ByMode!AD15+FEE_ByContextArea_ByMode!AE15*AreaModeSharesandPMT!$Z$19)</f>
        <v>8829.7162245781456</v>
      </c>
      <c r="L15" s="55">
        <f>FEE_2_Out!$H12</f>
        <v>9686.8112567981298</v>
      </c>
      <c r="M15" s="55">
        <f>FEE_3_In!$H12</f>
        <v>10753.449208371063</v>
      </c>
      <c r="N15" s="55">
        <f>IF(I15="Prod",FEE_ByContextArea_ByMode!AG15*AreaModeSharesandPMT!$X$12+FEE_ByContextArea_ByMode!AH15+FEE_ByContextArea_ByMode!AI15*AreaModeSharesandPMT!$Z$12,FEE_ByContextArea_ByMode!AG15*AreaModeSharesandPMT!$X$20+FEE_ByContextArea_ByMode!AH15+FEE_ByContextArea_ByMode!AI15*AreaModeSharesandPMT!$Z$20)</f>
        <v>9478.6557942095442</v>
      </c>
      <c r="O15" s="55">
        <f>FEE_3_Out!$H12</f>
        <v>10428.418922360745</v>
      </c>
      <c r="P15" s="55">
        <f>FEE_4_In!$H12</f>
        <v>10094.279247771145</v>
      </c>
      <c r="Q15" s="55">
        <f>IF(L15="Prod",FEE_ByContextArea_ByMode!AK15*AreaModeSharesandPMT!$X$13+FEE_ByContextArea_ByMode!AL15+FEE_ByContextArea_ByMode!AM15*AreaModeSharesandPMT!$Z$13,FEE_ByContextArea_ByMode!AK15*AreaModeSharesandPMT!$X$21+FEE_ByContextArea_ByMode!AL15+FEE_ByContextArea_ByMode!AM15*AreaModeSharesandPMT!$Z$21)</f>
        <v>10167.814350757402</v>
      </c>
      <c r="R15" s="55">
        <f>FEE_4_Out!$H12</f>
        <v>11189.31186206541</v>
      </c>
      <c r="S15" s="120">
        <f>IFERROR(H15/$G15-1,0)</f>
        <v>-9.833157657599001E-2</v>
      </c>
      <c r="T15" s="120">
        <f>IFERROR(I15/$G15-1,0)</f>
        <v>-0.12303595134883594</v>
      </c>
      <c r="U15" s="120">
        <f>IFERROR(L15/$G15-1,0)</f>
        <v>-3.9025886708782709E-2</v>
      </c>
      <c r="V15" s="120">
        <f>IFERROR(J15/$G15-1,0)</f>
        <v>7.2449539149695097E-2</v>
      </c>
      <c r="W15" s="120">
        <f>IFERROR(O15/$G15-1,0)</f>
        <v>3.4544842598434933E-2</v>
      </c>
      <c r="X15" s="120">
        <f>IFERROR(M15/$G15-1,0)</f>
        <v>6.6789270884611618E-2</v>
      </c>
      <c r="Y15" s="120">
        <f>IFERROR(R15/$G15-1,0)</f>
        <v>0.11002875558673519</v>
      </c>
      <c r="Z15" s="120">
        <f>IFERROR(P15/$G15-1,0)</f>
        <v>1.396723058187721E-3</v>
      </c>
    </row>
    <row r="16" spans="1:26" x14ac:dyDescent="0.25">
      <c r="B16" s="92" t="str">
        <f>ITE_LUC_Rates!A4</f>
        <v>Industrial</v>
      </c>
      <c r="C16" s="93"/>
      <c r="D16" s="94"/>
      <c r="E16" s="113"/>
      <c r="F16" s="95"/>
      <c r="G16" s="96"/>
      <c r="H16" s="99"/>
      <c r="I16" s="99"/>
      <c r="J16" s="99"/>
      <c r="K16" s="99"/>
      <c r="L16" s="99"/>
      <c r="M16" s="99"/>
      <c r="N16" s="99"/>
      <c r="O16" s="99"/>
      <c r="P16" s="99"/>
      <c r="Q16" s="99"/>
      <c r="R16" s="99"/>
      <c r="S16" s="99"/>
      <c r="T16" s="99"/>
      <c r="U16" s="99"/>
      <c r="V16" s="99"/>
      <c r="W16" s="99"/>
      <c r="X16" s="99"/>
      <c r="Y16" s="99"/>
      <c r="Z16" s="99"/>
    </row>
    <row r="17" spans="2:26" x14ac:dyDescent="0.25">
      <c r="B17" s="51">
        <f>ITE_LUC_Rates!A5</f>
        <v>110</v>
      </c>
      <c r="C17" s="11" t="str">
        <f>ITE_LUC_Rates!B5</f>
        <v>General Light Industrial</v>
      </c>
      <c r="D17" s="52" t="str">
        <f>ITE_LUC_Rates!C5</f>
        <v>1000 GSF</v>
      </c>
      <c r="E17" s="112">
        <f>ITE_LUC_Rates!G5</f>
        <v>4.96</v>
      </c>
      <c r="F17" s="53" t="s">
        <v>73</v>
      </c>
      <c r="G17" s="91">
        <f>ITE_LUC_Rates!Q5</f>
        <v>0</v>
      </c>
      <c r="H17" s="55">
        <f>+FEE_1_In!H14</f>
        <v>4576.7949530275728</v>
      </c>
      <c r="I17" s="55">
        <f>FEE_1_Out!$H14</f>
        <v>4451.3975731917562</v>
      </c>
      <c r="J17" s="55">
        <f>FEE_2_In!$H14</f>
        <v>5443.6658871982054</v>
      </c>
      <c r="K17" s="55">
        <f>IF(F17="Prod",FEE_ByContextArea_ByMode!AC17*AreaModeSharesandPMT!$X$11+FEE_ByContextArea_ByMode!AD17+FEE_ByContextArea_ByMode!AE17*AreaModeSharesandPMT!$Z$11,FEE_ByContextArea_ByMode!AC17*AreaModeSharesandPMT!$X$19+FEE_ByContextArea_ByMode!AD17+FEE_ByContextArea_ByMode!AE17*AreaModeSharesandPMT!$Z$19)</f>
        <v>4446.2327384677765</v>
      </c>
      <c r="L17" s="55">
        <f>FEE_2_Out!$H14</f>
        <v>4877.8257699206824</v>
      </c>
      <c r="M17" s="55">
        <f>FEE_3_In!$H14</f>
        <v>5414.9348297990318</v>
      </c>
      <c r="N17" s="55">
        <f>IF(I17="Prod",FEE_ByContextArea_ByMode!AG17*AreaModeSharesandPMT!$X$12+FEE_ByContextArea_ByMode!AH17+FEE_ByContextArea_ByMode!AI17*AreaModeSharesandPMT!$Z$12,FEE_ByContextArea_ByMode!AG17*AreaModeSharesandPMT!$X$20+FEE_ByContextArea_ByMode!AH17+FEE_ByContextArea_ByMode!AI17*AreaModeSharesandPMT!$Z$20)</f>
        <v>4773.0083999268363</v>
      </c>
      <c r="O17" s="55">
        <f>FEE_3_Out!$H14</f>
        <v>5251.2647568435841</v>
      </c>
      <c r="P17" s="55">
        <f>FEE_4_In!$H14</f>
        <v>5083.0076212126769</v>
      </c>
      <c r="Q17" s="55">
        <f>IF(L17="Prod",FEE_ByContextArea_ByMode!AK17*AreaModeSharesandPMT!$X$13+FEE_ByContextArea_ByMode!AL17+FEE_ByContextArea_ByMode!AM17*AreaModeSharesandPMT!$Z$13,FEE_ByContextArea_ByMode!AK17*AreaModeSharesandPMT!$X$21+FEE_ByContextArea_ByMode!AL17+FEE_ByContextArea_ByMode!AM17*AreaModeSharesandPMT!$Z$21)</f>
        <v>5120.0364649499206</v>
      </c>
      <c r="R17" s="55">
        <f>FEE_4_Out!$H14</f>
        <v>5634.4149071923275</v>
      </c>
      <c r="S17" s="120">
        <f t="shared" ref="S17:S23" si="0">IFERROR(H17/$G17-1,0)</f>
        <v>0</v>
      </c>
      <c r="T17" s="120">
        <f t="shared" ref="T17:T23" si="1">IFERROR(I17/$G17-1,0)</f>
        <v>0</v>
      </c>
      <c r="U17" s="120">
        <f t="shared" ref="U17:U23" si="2">IFERROR(L17/$G17-1,0)</f>
        <v>0</v>
      </c>
      <c r="V17" s="120">
        <f t="shared" ref="V17:V23" si="3">IFERROR(J17/$G17-1,0)</f>
        <v>0</v>
      </c>
      <c r="W17" s="120">
        <f t="shared" ref="W17:W23" si="4">IFERROR(O17/$G17-1,0)</f>
        <v>0</v>
      </c>
      <c r="X17" s="120">
        <f t="shared" ref="X17:X23" si="5">IFERROR(M17/$G17-1,0)</f>
        <v>0</v>
      </c>
      <c r="Y17" s="120">
        <f t="shared" ref="Y17:Y23" si="6">IFERROR(R17/$G17-1,0)</f>
        <v>0</v>
      </c>
      <c r="Z17" s="120">
        <f t="shared" ref="Z17:Z23" si="7">IFERROR(P17/$G17-1,0)</f>
        <v>0</v>
      </c>
    </row>
    <row r="18" spans="2:26" x14ac:dyDescent="0.25">
      <c r="B18" s="51">
        <f>ITE_LUC_Rates!A6</f>
        <v>130</v>
      </c>
      <c r="C18" s="11" t="str">
        <f>ITE_LUC_Rates!B6</f>
        <v>Industrial Park</v>
      </c>
      <c r="D18" s="52" t="str">
        <f>ITE_LUC_Rates!C6</f>
        <v>1000 GSF</v>
      </c>
      <c r="E18" s="112">
        <f>ITE_LUC_Rates!G6</f>
        <v>3.37</v>
      </c>
      <c r="F18" s="53" t="s">
        <v>73</v>
      </c>
      <c r="G18" s="91">
        <f>ITE_LUC_Rates!Q6</f>
        <v>7020.7</v>
      </c>
      <c r="H18" s="55">
        <f>+FEE_1_In!H15</f>
        <v>3109.6368934884913</v>
      </c>
      <c r="I18" s="55">
        <f>FEE_1_Out!$H15</f>
        <v>3024.4374640435917</v>
      </c>
      <c r="J18" s="55">
        <f>FEE_2_In!$H15</f>
        <v>3698.6197661003939</v>
      </c>
      <c r="K18" s="55">
        <f>IF(F18="Prod",FEE_ByContextArea_ByMode!AC18*AreaModeSharesandPMT!$X$11+FEE_ByContextArea_ByMode!AD18+FEE_ByContextArea_ByMode!AE18*AreaModeSharesandPMT!$Z$11,FEE_ByContextArea_ByMode!AC18*AreaModeSharesandPMT!$X$19+FEE_ByContextArea_ByMode!AD18+FEE_ByContextArea_ByMode!AE18*AreaModeSharesandPMT!$Z$19)</f>
        <v>3020.928292063792</v>
      </c>
      <c r="L18" s="55">
        <f>FEE_2_Out!$H15</f>
        <v>3314.1679122243349</v>
      </c>
      <c r="M18" s="55">
        <f>FEE_3_In!$H15</f>
        <v>3679.0988662142618</v>
      </c>
      <c r="N18" s="55">
        <f>IF(I18="Prod",FEE_ByContextArea_ByMode!AG18*AreaModeSharesandPMT!$X$12+FEE_ByContextArea_ByMode!AH18+FEE_ByContextArea_ByMode!AI18*AreaModeSharesandPMT!$Z$12,FEE_ByContextArea_ByMode!AG18*AreaModeSharesandPMT!$X$20+FEE_ByContextArea_ByMode!AH18+FEE_ByContextArea_ByMode!AI18*AreaModeSharesandPMT!$Z$20)</f>
        <v>3242.9512717244834</v>
      </c>
      <c r="O18" s="55">
        <f>FEE_3_Out!$H15</f>
        <v>3567.8956110005797</v>
      </c>
      <c r="P18" s="55">
        <f>FEE_4_In!$H15</f>
        <v>3453.5757426384525</v>
      </c>
      <c r="Q18" s="55">
        <f>IF(L18="Prod",FEE_ByContextArea_ByMode!AK18*AreaModeSharesandPMT!$X$13+FEE_ByContextArea_ByMode!AL18+FEE_ByContextArea_ByMode!AM18*AreaModeSharesandPMT!$Z$13,FEE_ByContextArea_ByMode!AK18*AreaModeSharesandPMT!$X$21+FEE_ByContextArea_ByMode!AL18+FEE_ByContextArea_ByMode!AM18*AreaModeSharesandPMT!$Z$21)</f>
        <v>3478.7344530002483</v>
      </c>
      <c r="R18" s="55">
        <f>FEE_4_Out!$H15</f>
        <v>3828.221418798013</v>
      </c>
      <c r="S18" s="120">
        <f t="shared" si="0"/>
        <v>-0.55707594777038028</v>
      </c>
      <c r="T18" s="120">
        <f t="shared" si="1"/>
        <v>-0.56921140854279606</v>
      </c>
      <c r="U18" s="120">
        <f t="shared" si="2"/>
        <v>-0.52794337997288943</v>
      </c>
      <c r="V18" s="120">
        <f t="shared" si="3"/>
        <v>-0.4731836189980495</v>
      </c>
      <c r="W18" s="120">
        <f t="shared" si="4"/>
        <v>-0.49180343683670003</v>
      </c>
      <c r="X18" s="120">
        <f t="shared" si="5"/>
        <v>-0.47596409671197148</v>
      </c>
      <c r="Y18" s="120">
        <f t="shared" si="6"/>
        <v>-0.45472368584357503</v>
      </c>
      <c r="Z18" s="120">
        <f t="shared" si="7"/>
        <v>-0.50808669468308676</v>
      </c>
    </row>
    <row r="19" spans="2:26" x14ac:dyDescent="0.25">
      <c r="B19" s="51">
        <f>ITE_LUC_Rates!A7</f>
        <v>140</v>
      </c>
      <c r="C19" s="11" t="str">
        <f>ITE_LUC_Rates!B7</f>
        <v>Manufacturing</v>
      </c>
      <c r="D19" s="52" t="str">
        <f>ITE_LUC_Rates!C7</f>
        <v>1000 GSF</v>
      </c>
      <c r="E19" s="112">
        <f>ITE_LUC_Rates!G7</f>
        <v>3.93</v>
      </c>
      <c r="F19" s="53" t="s">
        <v>73</v>
      </c>
      <c r="G19" s="91">
        <f>ITE_LUC_Rates!Q7</f>
        <v>3853.5</v>
      </c>
      <c r="H19" s="55">
        <f>+FEE_1_In!H16</f>
        <v>3626.371807539992</v>
      </c>
      <c r="I19" s="55">
        <f>FEE_1_Out!$H16</f>
        <v>3527.0146094039519</v>
      </c>
      <c r="J19" s="55">
        <f>FEE_2_In!$H16</f>
        <v>4313.2272049776102</v>
      </c>
      <c r="K19" s="55">
        <f>IF(F19="Prod",FEE_ByContextArea_ByMode!AC19*AreaModeSharesandPMT!$X$11+FEE_ByContextArea_ByMode!AD19+FEE_ByContextArea_ByMode!AE19*AreaModeSharesandPMT!$Z$11,FEE_ByContextArea_ByMode!AC19*AreaModeSharesandPMT!$X$19+FEE_ByContextArea_ByMode!AD19+FEE_ByContextArea_ByMode!AE19*AreaModeSharesandPMT!$Z$19)</f>
        <v>3522.9223109230566</v>
      </c>
      <c r="L19" s="55">
        <f>FEE_2_Out!$H16</f>
        <v>3864.890176570218</v>
      </c>
      <c r="M19" s="55">
        <f>FEE_3_In!$H16</f>
        <v>4290.4624760302813</v>
      </c>
      <c r="N19" s="55">
        <f>IF(I19="Prod",FEE_ByContextArea_ByMode!AG19*AreaModeSharesandPMT!$X$12+FEE_ByContextArea_ByMode!AH19+FEE_ByContextArea_ByMode!AI19*AreaModeSharesandPMT!$Z$12,FEE_ByContextArea_ByMode!AG19*AreaModeSharesandPMT!$X$20+FEE_ByContextArea_ByMode!AH19+FEE_ByContextArea_ByMode!AI19*AreaModeSharesandPMT!$Z$20)</f>
        <v>3781.8393168775137</v>
      </c>
      <c r="O19" s="55">
        <f>FEE_3_Out!$H16</f>
        <v>4160.7803416119523</v>
      </c>
      <c r="P19" s="55">
        <f>FEE_4_In!$H16</f>
        <v>4027.4636998721417</v>
      </c>
      <c r="Q19" s="55">
        <f>IF(L19="Prod",FEE_ByContextArea_ByMode!AK19*AreaModeSharesandPMT!$X$13+FEE_ByContextArea_ByMode!AL19+FEE_ByContextArea_ByMode!AM19*AreaModeSharesandPMT!$Z$13,FEE_ByContextArea_ByMode!AK19*AreaModeSharesandPMT!$X$21+FEE_ByContextArea_ByMode!AL19+FEE_ByContextArea_ByMode!AM19*AreaModeSharesandPMT!$Z$21)</f>
        <v>4056.8030861397551</v>
      </c>
      <c r="R19" s="55">
        <f>FEE_4_Out!$H16</f>
        <v>4464.3650373519858</v>
      </c>
      <c r="S19" s="120">
        <f t="shared" si="0"/>
        <v>-5.8940753200988238E-2</v>
      </c>
      <c r="T19" s="120">
        <f t="shared" si="1"/>
        <v>-8.4724377993005917E-2</v>
      </c>
      <c r="U19" s="120">
        <f t="shared" si="2"/>
        <v>2.9558003296270563E-3</v>
      </c>
      <c r="V19" s="120">
        <f t="shared" si="3"/>
        <v>0.11930120798692356</v>
      </c>
      <c r="W19" s="120">
        <f t="shared" si="4"/>
        <v>7.9740584303088724E-2</v>
      </c>
      <c r="X19" s="120">
        <f t="shared" si="5"/>
        <v>0.11339366187369437</v>
      </c>
      <c r="Y19" s="120">
        <f t="shared" si="6"/>
        <v>0.15852213243855862</v>
      </c>
      <c r="Z19" s="120">
        <f t="shared" si="7"/>
        <v>4.5144336284453468E-2</v>
      </c>
    </row>
    <row r="20" spans="2:26" x14ac:dyDescent="0.25">
      <c r="B20" s="51">
        <f>ITE_LUC_Rates!A8</f>
        <v>150</v>
      </c>
      <c r="C20" s="11" t="str">
        <f>ITE_LUC_Rates!B8</f>
        <v>Warehousing</v>
      </c>
      <c r="D20" s="52" t="str">
        <f>ITE_LUC_Rates!C8</f>
        <v>1000 GSF</v>
      </c>
      <c r="E20" s="112">
        <f>ITE_LUC_Rates!G8</f>
        <v>1.74</v>
      </c>
      <c r="F20" s="53" t="s">
        <v>73</v>
      </c>
      <c r="G20" s="91">
        <f>ITE_LUC_Rates!Q8</f>
        <v>5002.3</v>
      </c>
      <c r="H20" s="55">
        <f>+FEE_1_In!H17</f>
        <v>1605.5691972314467</v>
      </c>
      <c r="I20" s="55">
        <f>FEE_1_Out!$H17</f>
        <v>1561.5789873696881</v>
      </c>
      <c r="J20" s="55">
        <f>FEE_2_In!$H17</f>
        <v>1909.6731136542091</v>
      </c>
      <c r="K20" s="55">
        <f>IF(F20="Prod",FEE_ByContextArea_ByMode!AC20*AreaModeSharesandPMT!$X$11+FEE_ByContextArea_ByMode!AD20+FEE_ByContextArea_ByMode!AE20*AreaModeSharesandPMT!$Z$11,FEE_ByContextArea_ByMode!AC20*AreaModeSharesandPMT!$X$19+FEE_ByContextArea_ByMode!AD20+FEE_ByContextArea_ByMode!AE20*AreaModeSharesandPMT!$Z$19)</f>
        <v>1559.7671300270024</v>
      </c>
      <c r="L20" s="55">
        <f>FEE_2_Out!$H17</f>
        <v>1711.1727499318524</v>
      </c>
      <c r="M20" s="55">
        <f>FEE_3_In!$H17</f>
        <v>1899.5940733569182</v>
      </c>
      <c r="N20" s="55">
        <f>IF(I20="Prod",FEE_ByContextArea_ByMode!AG20*AreaModeSharesandPMT!$X$12+FEE_ByContextArea_ByMode!AH20+FEE_ByContextArea_ByMode!AI20*AreaModeSharesandPMT!$Z$12,FEE_ByContextArea_ByMode!AG20*AreaModeSharesandPMT!$X$20+FEE_ByContextArea_ByMode!AH20+FEE_ByContextArea_ByMode!AI20*AreaModeSharesandPMT!$Z$20)</f>
        <v>1674.4021402969142</v>
      </c>
      <c r="O20" s="55">
        <f>FEE_3_Out!$H17</f>
        <v>1842.1775558281925</v>
      </c>
      <c r="P20" s="55">
        <f>FEE_4_In!$H17</f>
        <v>1783.1518671189633</v>
      </c>
      <c r="Q20" s="55">
        <f>IF(L20="Prod",FEE_ByContextArea_ByMode!AK20*AreaModeSharesandPMT!$X$13+FEE_ByContextArea_ByMode!AL20+FEE_ByContextArea_ByMode!AM20*AreaModeSharesandPMT!$Z$13,FEE_ByContextArea_ByMode!AK20*AreaModeSharesandPMT!$X$21+FEE_ByContextArea_ByMode!AL20+FEE_ByContextArea_ByMode!AM20*AreaModeSharesandPMT!$Z$21)</f>
        <v>1796.1418243977541</v>
      </c>
      <c r="R20" s="55">
        <f>FEE_4_Out!$H17</f>
        <v>1976.5891005069857</v>
      </c>
      <c r="S20" s="120">
        <f t="shared" si="0"/>
        <v>-0.67903380500340904</v>
      </c>
      <c r="T20" s="120">
        <f t="shared" si="1"/>
        <v>-0.68782780173726321</v>
      </c>
      <c r="U20" s="120">
        <f t="shared" si="2"/>
        <v>-0.6579228055230889</v>
      </c>
      <c r="V20" s="120">
        <f t="shared" si="3"/>
        <v>-0.61824098641540703</v>
      </c>
      <c r="W20" s="120">
        <f t="shared" si="4"/>
        <v>-0.63173389124438906</v>
      </c>
      <c r="X20" s="120">
        <f t="shared" si="5"/>
        <v>-0.6202558676295068</v>
      </c>
      <c r="Y20" s="120">
        <f t="shared" si="6"/>
        <v>-0.6048639424850597</v>
      </c>
      <c r="Z20" s="120">
        <f t="shared" si="7"/>
        <v>-0.64353360111969227</v>
      </c>
    </row>
    <row r="21" spans="2:26" x14ac:dyDescent="0.25">
      <c r="B21" s="51">
        <f>ITE_LUC_Rates!A9</f>
        <v>151</v>
      </c>
      <c r="C21" s="11" t="str">
        <f>ITE_LUC_Rates!B9</f>
        <v>Mini-Warehousing</v>
      </c>
      <c r="D21" s="52" t="str">
        <f>ITE_LUC_Rates!C9</f>
        <v>1000 GSF</v>
      </c>
      <c r="E21" s="112">
        <f>ITE_LUC_Rates!G9</f>
        <v>1.51</v>
      </c>
      <c r="F21" s="53" t="s">
        <v>73</v>
      </c>
      <c r="G21" s="91">
        <f>ITE_LUC_Rates!Q9</f>
        <v>2415.4</v>
      </c>
      <c r="H21" s="55">
        <f>+FEE_1_In!H18</f>
        <v>1393.3387861031524</v>
      </c>
      <c r="I21" s="55">
        <f>FEE_1_Out!$H18</f>
        <v>1355.1633740966836</v>
      </c>
      <c r="J21" s="55">
        <f>FEE_2_In!$H18</f>
        <v>1657.2450584010669</v>
      </c>
      <c r="K21" s="55">
        <f>IF(F21="Prod",FEE_ByContextArea_ByMode!AC21*AreaModeSharesandPMT!$X$11+FEE_ByContextArea_ByMode!AD21+FEE_ByContextArea_ByMode!AE21*AreaModeSharesandPMT!$Z$11,FEE_ByContextArea_ByMode!AC21*AreaModeSharesandPMT!$X$19+FEE_ByContextArea_ByMode!AD21+FEE_ByContextArea_ByMode!AE21*AreaModeSharesandPMT!$Z$19)</f>
        <v>1353.5910151383755</v>
      </c>
      <c r="L21" s="55">
        <f>FEE_2_Out!$H18</f>
        <v>1484.9832485040788</v>
      </c>
      <c r="M21" s="55">
        <f>FEE_3_In!$H18</f>
        <v>1648.4983050396245</v>
      </c>
      <c r="N21" s="55">
        <f>IF(I21="Prod",FEE_ByContextArea_ByMode!AG21*AreaModeSharesandPMT!$X$12+FEE_ByContextArea_ByMode!AH21+FEE_ByContextArea_ByMode!AI21*AreaModeSharesandPMT!$Z$12,FEE_ByContextArea_ByMode!AG21*AreaModeSharesandPMT!$X$20+FEE_ByContextArea_ByMode!AH21+FEE_ByContextArea_ByMode!AI21*AreaModeSharesandPMT!$Z$20)</f>
        <v>1453.0731217519201</v>
      </c>
      <c r="O21" s="55">
        <f>FEE_3_Out!$H18</f>
        <v>1598.6713271842364</v>
      </c>
      <c r="P21" s="55">
        <f>FEE_4_In!$H18</f>
        <v>1547.447884683698</v>
      </c>
      <c r="Q21" s="55">
        <f>IF(L21="Prod",FEE_ByContextArea_ByMode!AK21*AreaModeSharesandPMT!$X$13+FEE_ByContextArea_ByMode!AL21+FEE_ByContextArea_ByMode!AM21*AreaModeSharesandPMT!$Z$13,FEE_ByContextArea_ByMode!AK21*AreaModeSharesandPMT!$X$21+FEE_ByContextArea_ByMode!AL21+FEE_ByContextArea_ByMode!AM21*AreaModeSharesandPMT!$Z$21)</f>
        <v>1558.7207786440283</v>
      </c>
      <c r="R21" s="55">
        <f>FEE_4_Out!$H18</f>
        <v>1715.3158286008902</v>
      </c>
      <c r="S21" s="120">
        <f t="shared" si="0"/>
        <v>-0.42314366725877606</v>
      </c>
      <c r="T21" s="120">
        <f t="shared" si="1"/>
        <v>-0.43894867347160571</v>
      </c>
      <c r="U21" s="120">
        <f t="shared" si="2"/>
        <v>-0.38520193404650216</v>
      </c>
      <c r="V21" s="120">
        <f t="shared" si="3"/>
        <v>-0.31388380458679022</v>
      </c>
      <c r="W21" s="120">
        <f t="shared" si="4"/>
        <v>-0.3381339210133989</v>
      </c>
      <c r="X21" s="120">
        <f t="shared" si="5"/>
        <v>-0.3175050488367871</v>
      </c>
      <c r="Y21" s="120">
        <f t="shared" si="6"/>
        <v>-0.28984191910205759</v>
      </c>
      <c r="Z21" s="120">
        <f t="shared" si="7"/>
        <v>-0.35934094365997438</v>
      </c>
    </row>
    <row r="22" spans="2:26" x14ac:dyDescent="0.25">
      <c r="B22" s="51">
        <f>ITE_LUC_Rates!A10</f>
        <v>160</v>
      </c>
      <c r="C22" s="11" t="str">
        <f>ITE_LUC_Rates!B10</f>
        <v>Data Center</v>
      </c>
      <c r="D22" s="52" t="str">
        <f>ITE_LUC_Rates!C10</f>
        <v>1000 GSF</v>
      </c>
      <c r="E22" s="112">
        <f>ITE_LUC_Rates!G10</f>
        <v>0.99</v>
      </c>
      <c r="F22" s="53" t="s">
        <v>73</v>
      </c>
      <c r="G22" s="91">
        <f>ITE_LUC_Rates!Q10</f>
        <v>0</v>
      </c>
      <c r="H22" s="55">
        <f>+FEE_1_In!H19</f>
        <v>913.51350876961624</v>
      </c>
      <c r="I22" s="55">
        <f>FEE_1_Out!$H19</f>
        <v>888.48459626206397</v>
      </c>
      <c r="J22" s="55">
        <f>FEE_2_In!$H19</f>
        <v>1086.5381508722226</v>
      </c>
      <c r="K22" s="55">
        <f>IF(F22="Prod",FEE_ByContextArea_ByMode!AC22*AreaModeSharesandPMT!$X$11+FEE_ByContextArea_ByMode!AD22+FEE_ByContextArea_ByMode!AE22*AreaModeSharesandPMT!$Z$11,FEE_ByContextArea_ByMode!AC22*AreaModeSharesandPMT!$X$19+FEE_ByContextArea_ByMode!AD22+FEE_ByContextArea_ByMode!AE22*AreaModeSharesandPMT!$Z$19)</f>
        <v>887.45371191191521</v>
      </c>
      <c r="L22" s="55">
        <f>FEE_2_Out!$H19</f>
        <v>973.59828875432981</v>
      </c>
      <c r="M22" s="55">
        <f>FEE_3_In!$H19</f>
        <v>1080.8035244961777</v>
      </c>
      <c r="N22" s="55">
        <f>IF(I22="Prod",FEE_ByContextArea_ByMode!AG22*AreaModeSharesandPMT!$X$12+FEE_ByContextArea_ByMode!AH22+FEE_ByContextArea_ByMode!AI22*AreaModeSharesandPMT!$Z$12,FEE_ByContextArea_ByMode!AG22*AreaModeSharesandPMT!$X$20+FEE_ByContextArea_ByMode!AH22+FEE_ByContextArea_ByMode!AI22*AreaModeSharesandPMT!$Z$20)</f>
        <v>952.6770798241065</v>
      </c>
      <c r="O22" s="55">
        <f>FEE_3_Out!$H19</f>
        <v>1048.1355059022474</v>
      </c>
      <c r="P22" s="55">
        <f>FEE_4_In!$H19</f>
        <v>1014.5519243952723</v>
      </c>
      <c r="Q22" s="55">
        <f>IF(L22="Prod",FEE_ByContextArea_ByMode!AK22*AreaModeSharesandPMT!$X$13+FEE_ByContextArea_ByMode!AL22+FEE_ByContextArea_ByMode!AM22*AreaModeSharesandPMT!$Z$13,FEE_ByContextArea_ByMode!AK22*AreaModeSharesandPMT!$X$21+FEE_ByContextArea_ByMode!AL22+FEE_ByContextArea_ByMode!AM22*AreaModeSharesandPMT!$Z$21)</f>
        <v>1021.9427621573428</v>
      </c>
      <c r="R22" s="55">
        <f>FEE_4_Out!$H19</f>
        <v>1124.6110399436297</v>
      </c>
      <c r="S22" s="120">
        <f t="shared" si="0"/>
        <v>0</v>
      </c>
      <c r="T22" s="120">
        <f t="shared" si="1"/>
        <v>0</v>
      </c>
      <c r="U22" s="120">
        <f t="shared" si="2"/>
        <v>0</v>
      </c>
      <c r="V22" s="120">
        <f t="shared" si="3"/>
        <v>0</v>
      </c>
      <c r="W22" s="120">
        <f t="shared" si="4"/>
        <v>0</v>
      </c>
      <c r="X22" s="120">
        <f t="shared" si="5"/>
        <v>0</v>
      </c>
      <c r="Y22" s="120">
        <f t="shared" si="6"/>
        <v>0</v>
      </c>
      <c r="Z22" s="120">
        <f t="shared" si="7"/>
        <v>0</v>
      </c>
    </row>
    <row r="23" spans="2:26" x14ac:dyDescent="0.25">
      <c r="B23" s="51">
        <f>ITE_LUC_Rates!A11</f>
        <v>170</v>
      </c>
      <c r="C23" s="11" t="str">
        <f>ITE_LUC_Rates!B11</f>
        <v>Utility</v>
      </c>
      <c r="D23" s="52" t="str">
        <f>ITE_LUC_Rates!C11</f>
        <v>1000 GSF</v>
      </c>
      <c r="E23" s="112">
        <f>ITE_LUC_Rates!G11</f>
        <v>13.24</v>
      </c>
      <c r="F23" s="53" t="s">
        <v>73</v>
      </c>
      <c r="G23" s="91">
        <f>ITE_LUC_Rates!Q11</f>
        <v>0</v>
      </c>
      <c r="H23" s="55">
        <f>+FEE_1_In!H20</f>
        <v>12217.089753646182</v>
      </c>
      <c r="I23" s="55">
        <f>FEE_1_Out!$H20</f>
        <v>11882.359651019931</v>
      </c>
      <c r="J23" s="55">
        <f>FEE_2_In!$H20</f>
        <v>14531.075876311341</v>
      </c>
      <c r="K23" s="55">
        <f>IF(F23="Prod",FEE_ByContextArea_ByMode!AC23*AreaModeSharesandPMT!$X$11+FEE_ByContextArea_ByMode!AD23+FEE_ByContextArea_ByMode!AE23*AreaModeSharesandPMT!$Z$11,FEE_ByContextArea_ByMode!AC23*AreaModeSharesandPMT!$X$19+FEE_ByContextArea_ByMode!AD23+FEE_ByContextArea_ByMode!AE23*AreaModeSharesandPMT!$Z$19)</f>
        <v>11868.572874458339</v>
      </c>
      <c r="L23" s="55">
        <f>FEE_2_Out!$H20</f>
        <v>13020.647821320532</v>
      </c>
      <c r="M23" s="55">
        <f>FEE_3_In!$H20</f>
        <v>14454.382489221607</v>
      </c>
      <c r="N23" s="55">
        <f>IF(I23="Prod",FEE_ByContextArea_ByMode!AG23*AreaModeSharesandPMT!$X$12+FEE_ByContextArea_ByMode!AH23+FEE_ByContextArea_ByMode!AI23*AreaModeSharesandPMT!$Z$12,FEE_ByContextArea_ByMode!AG23*AreaModeSharesandPMT!$X$20+FEE_ByContextArea_ByMode!AH23+FEE_ByContextArea_ByMode!AI23*AreaModeSharesandPMT!$Z$20)</f>
        <v>12740.853067546635</v>
      </c>
      <c r="O23" s="55">
        <f>FEE_3_Out!$H20</f>
        <v>14017.488988026018</v>
      </c>
      <c r="P23" s="55">
        <f>FEE_4_In!$H20</f>
        <v>13568.35098888223</v>
      </c>
      <c r="Q23" s="55">
        <f>IF(L23="Prod",FEE_ByContextArea_ByMode!AK23*AreaModeSharesandPMT!$X$13+FEE_ByContextArea_ByMode!AL23+FEE_ByContextArea_ByMode!AM23*AreaModeSharesandPMT!$Z$13,FEE_ByContextArea_ByMode!AK23*AreaModeSharesandPMT!$X$21+FEE_ByContextArea_ByMode!AL23+FEE_ByContextArea_ByMode!AM23*AreaModeSharesandPMT!$Z$21)</f>
        <v>13667.194112084062</v>
      </c>
      <c r="R23" s="55">
        <f>FEE_4_Out!$H20</f>
        <v>15040.252695811776</v>
      </c>
      <c r="S23" s="120">
        <f t="shared" si="0"/>
        <v>0</v>
      </c>
      <c r="T23" s="120">
        <f t="shared" si="1"/>
        <v>0</v>
      </c>
      <c r="U23" s="120">
        <f t="shared" si="2"/>
        <v>0</v>
      </c>
      <c r="V23" s="120">
        <f t="shared" si="3"/>
        <v>0</v>
      </c>
      <c r="W23" s="120">
        <f t="shared" si="4"/>
        <v>0</v>
      </c>
      <c r="X23" s="120">
        <f t="shared" si="5"/>
        <v>0</v>
      </c>
      <c r="Y23" s="120">
        <f t="shared" si="6"/>
        <v>0</v>
      </c>
      <c r="Z23" s="120">
        <f t="shared" si="7"/>
        <v>0</v>
      </c>
    </row>
    <row r="24" spans="2:26" x14ac:dyDescent="0.25">
      <c r="B24" s="92" t="str">
        <f>ITE_LUC_Rates!A12</f>
        <v>Residential</v>
      </c>
      <c r="C24" s="93"/>
      <c r="D24" s="94"/>
      <c r="E24" s="113"/>
      <c r="F24" s="95"/>
      <c r="G24" s="96"/>
      <c r="H24" s="99"/>
      <c r="I24" s="99"/>
      <c r="J24" s="99"/>
      <c r="K24" s="99"/>
      <c r="L24" s="99"/>
      <c r="M24" s="99"/>
      <c r="N24" s="99"/>
      <c r="O24" s="99"/>
      <c r="P24" s="99"/>
      <c r="Q24" s="99"/>
      <c r="R24" s="99"/>
      <c r="S24" s="99"/>
      <c r="T24" s="99"/>
      <c r="U24" s="99"/>
      <c r="V24" s="99"/>
      <c r="W24" s="99"/>
      <c r="X24" s="99"/>
      <c r="Y24" s="99"/>
      <c r="Z24" s="99"/>
    </row>
    <row r="25" spans="2:26" x14ac:dyDescent="0.25">
      <c r="B25" s="51">
        <f>ITE_LUC_Rates!A13</f>
        <v>210</v>
      </c>
      <c r="C25" s="11" t="str">
        <f>ITE_LUC_Rates!B13</f>
        <v>Single Family Detached</v>
      </c>
      <c r="D25" s="52" t="str">
        <f>ITE_LUC_Rates!C13</f>
        <v>Dwelling unit</v>
      </c>
      <c r="E25" s="112">
        <f>ITE_LUC_Rates!G13</f>
        <v>9.44</v>
      </c>
      <c r="F25" s="53" t="s">
        <v>70</v>
      </c>
      <c r="G25" s="91">
        <f>ITE_LUC_Rates!Q13</f>
        <v>9543.67</v>
      </c>
      <c r="H25" s="55">
        <f>+FEE_1_In!H22</f>
        <v>9651.6577189196796</v>
      </c>
      <c r="I25" s="55">
        <f>FEE_1_Out!$H22</f>
        <v>7376.1219959648506</v>
      </c>
      <c r="J25" s="55">
        <f>FEE_2_In!$H22</f>
        <v>10403.237169188493</v>
      </c>
      <c r="K25" s="55">
        <f>IF(F25="Prod",FEE_ByContextArea_ByMode!AC25*AreaModeSharesandPMT!$X$11+FEE_ByContextArea_ByMode!AD25+FEE_ByContextArea_ByMode!AE25*AreaModeSharesandPMT!$Z$11,FEE_ByContextArea_ByMode!AC25*AreaModeSharesandPMT!$X$19+FEE_ByContextArea_ByMode!AD25+FEE_ByContextArea_ByMode!AE25*AreaModeSharesandPMT!$Z$19)</f>
        <v>8479.6893874286397</v>
      </c>
      <c r="L25" s="55">
        <f>FEE_2_Out!$H22</f>
        <v>9303.2013255702077</v>
      </c>
      <c r="M25" s="55">
        <f>FEE_3_In!$H22</f>
        <v>10238.879044885038</v>
      </c>
      <c r="N25" s="55">
        <f>IF(I25="Prod",FEE_ByContextArea_ByMode!AG25*AreaModeSharesandPMT!$X$12+FEE_ByContextArea_ByMode!AH25+FEE_ByContextArea_ByMode!AI25*AreaModeSharesandPMT!$Z$12,FEE_ByContextArea_ByMode!AG25*AreaModeSharesandPMT!$X$20+FEE_ByContextArea_ByMode!AH25+FEE_ByContextArea_ByMode!AI25*AreaModeSharesandPMT!$Z$20)</f>
        <v>9081.8522767896957</v>
      </c>
      <c r="O25" s="55">
        <f>FEE_3_Out!$H22</f>
        <v>9991.7903820213087</v>
      </c>
      <c r="P25" s="55">
        <f>FEE_4_In!$H22</f>
        <v>9550.048853028884</v>
      </c>
      <c r="Q25" s="55">
        <f>IF(L25="Prod",FEE_ByContextArea_ByMode!AK25*AreaModeSharesandPMT!$X$13+FEE_ByContextArea_ByMode!AL25+FEE_ByContextArea_ByMode!AM25*AreaModeSharesandPMT!$Z$13,FEE_ByContextArea_ByMode!AK25*AreaModeSharesandPMT!$X$21+FEE_ByContextArea_ByMode!AL25+FEE_ByContextArea_ByMode!AM25*AreaModeSharesandPMT!$Z$21)</f>
        <v>9739.3110893921221</v>
      </c>
      <c r="R25" s="55">
        <f>FEE_4_Out!$H22</f>
        <v>10719.564586841283</v>
      </c>
      <c r="S25" s="120">
        <f t="shared" ref="S25:S38" si="8">IFERROR(H25/$G25-1,0)</f>
        <v>1.1315114512517654E-2</v>
      </c>
      <c r="T25" s="120">
        <f t="shared" ref="T25:T38" si="9">IFERROR(I25/$G25-1,0)</f>
        <v>-0.22711891798806427</v>
      </c>
      <c r="U25" s="120">
        <f t="shared" ref="U25:U38" si="10">IFERROR(L25/$G25-1,0)</f>
        <v>-2.5196666945712987E-2</v>
      </c>
      <c r="V25" s="120">
        <f t="shared" ref="V25:V38" si="11">IFERROR(J25/$G25-1,0)</f>
        <v>9.0066732104996605E-2</v>
      </c>
      <c r="W25" s="120">
        <f t="shared" ref="W25:W38" si="12">IFERROR(O25/$G25-1,0)</f>
        <v>4.6954723080461669E-2</v>
      </c>
      <c r="X25" s="120">
        <f t="shared" ref="X25:X38" si="13">IFERROR(M25/$G25-1,0)</f>
        <v>7.2845042303960383E-2</v>
      </c>
      <c r="Y25" s="120">
        <f t="shared" ref="Y25:Y38" si="14">IFERROR(R25/$G25-1,0)</f>
        <v>0.12321199149187723</v>
      </c>
      <c r="Z25" s="120">
        <f t="shared" ref="Z25:Z38" si="15">IFERROR(P25/$G25-1,0)</f>
        <v>6.6838574980954135E-4</v>
      </c>
    </row>
    <row r="26" spans="2:26" x14ac:dyDescent="0.25">
      <c r="B26" s="51">
        <f>ITE_LUC_Rates!A14</f>
        <v>220</v>
      </c>
      <c r="C26" s="11" t="str">
        <f>ITE_LUC_Rates!B14</f>
        <v>Multi-family Housing (Low-Rise)</v>
      </c>
      <c r="D26" s="52" t="str">
        <f>ITE_LUC_Rates!C14</f>
        <v>Dwelling unit</v>
      </c>
      <c r="E26" s="112">
        <f>ITE_LUC_Rates!G14</f>
        <v>7.32</v>
      </c>
      <c r="F26" s="53" t="s">
        <v>70</v>
      </c>
      <c r="G26" s="91">
        <f>ITE_LUC_Rates!Q14</f>
        <v>6701.09</v>
      </c>
      <c r="H26" s="55">
        <f>+FEE_1_In!H23</f>
        <v>7484.1244176368718</v>
      </c>
      <c r="I26" s="55">
        <f>FEE_1_Out!$H23</f>
        <v>5719.6200222947791</v>
      </c>
      <c r="J26" s="55">
        <f>FEE_2_In!$H23</f>
        <v>8066.91695746396</v>
      </c>
      <c r="K26" s="55">
        <f>IF(F26="Prod",FEE_ByContextArea_ByMode!AC26*AreaModeSharesandPMT!$X$11+FEE_ByContextArea_ByMode!AD26+FEE_ByContextArea_ByMode!AE26*AreaModeSharesandPMT!$Z$11,FEE_ByContextArea_ByMode!AC26*AreaModeSharesandPMT!$X$19+FEE_ByContextArea_ByMode!AD26+FEE_ByContextArea_ByMode!AE26*AreaModeSharesandPMT!$Z$19)</f>
        <v>6575.3523639806845</v>
      </c>
      <c r="L26" s="55">
        <f>FEE_2_Out!$H23</f>
        <v>7213.9230617769008</v>
      </c>
      <c r="M26" s="55">
        <f>FEE_3_In!$H23</f>
        <v>7939.4697678557714</v>
      </c>
      <c r="N26" s="55">
        <f>IF(I26="Prod",FEE_ByContextArea_ByMode!AG26*AreaModeSharesandPMT!$X$12+FEE_ByContextArea_ByMode!AH26+FEE_ByContextArea_ByMode!AI26*AreaModeSharesandPMT!$Z$12,FEE_ByContextArea_ByMode!AG26*AreaModeSharesandPMT!$X$20+FEE_ByContextArea_ByMode!AH26+FEE_ByContextArea_ByMode!AI26*AreaModeSharesandPMT!$Z$20)</f>
        <v>7042.2837570021811</v>
      </c>
      <c r="O26" s="55">
        <f>FEE_3_Out!$H23</f>
        <v>7747.8713555504237</v>
      </c>
      <c r="P26" s="55">
        <f>FEE_4_In!$H23</f>
        <v>7405.3344919673145</v>
      </c>
      <c r="Q26" s="55">
        <f>IF(L26="Prod",FEE_ByContextArea_ByMode!AK26*AreaModeSharesandPMT!$X$13+FEE_ByContextArea_ByMode!AL26+FEE_ByContextArea_ByMode!AM26*AreaModeSharesandPMT!$Z$13,FEE_ByContextArea_ByMode!AK26*AreaModeSharesandPMT!$X$21+FEE_ByContextArea_ByMode!AL26+FEE_ByContextArea_ByMode!AM26*AreaModeSharesandPMT!$Z$21)</f>
        <v>7552.0929210116892</v>
      </c>
      <c r="R26" s="55">
        <f>FEE_4_Out!$H23</f>
        <v>8312.2047431862502</v>
      </c>
      <c r="S26" s="120">
        <f t="shared" si="8"/>
        <v>0.11685179838457205</v>
      </c>
      <c r="T26" s="120">
        <f t="shared" si="9"/>
        <v>-0.14646422861134845</v>
      </c>
      <c r="U26" s="120">
        <f t="shared" si="10"/>
        <v>7.6529797656336607E-2</v>
      </c>
      <c r="V26" s="120">
        <f t="shared" si="11"/>
        <v>0.20382161073257632</v>
      </c>
      <c r="W26" s="120">
        <f t="shared" si="12"/>
        <v>0.15621060984861024</v>
      </c>
      <c r="X26" s="120">
        <f t="shared" si="13"/>
        <v>0.1848027362497402</v>
      </c>
      <c r="Y26" s="120">
        <f t="shared" si="14"/>
        <v>0.24042577299905687</v>
      </c>
      <c r="Z26" s="120">
        <f t="shared" si="15"/>
        <v>0.10509402081860042</v>
      </c>
    </row>
    <row r="27" spans="2:26" x14ac:dyDescent="0.25">
      <c r="B27" s="51">
        <f>ITE_LUC_Rates!A15</f>
        <v>221</v>
      </c>
      <c r="C27" s="11" t="str">
        <f>ITE_LUC_Rates!B15</f>
        <v>Multi-family Housing (Mid-Rise)</v>
      </c>
      <c r="D27" s="52" t="str">
        <f>ITE_LUC_Rates!C15</f>
        <v>Dwelling unit</v>
      </c>
      <c r="E27" s="112">
        <f>ITE_LUC_Rates!G15</f>
        <v>5.44</v>
      </c>
      <c r="F27" s="53" t="s">
        <v>70</v>
      </c>
      <c r="G27" s="91">
        <f>ITE_LUC_Rates!Q15</f>
        <v>0</v>
      </c>
      <c r="H27" s="55">
        <f>+FEE_1_In!H24</f>
        <v>5561.9722448011717</v>
      </c>
      <c r="I27" s="55">
        <f>FEE_1_Out!$H24</f>
        <v>4250.6465739458472</v>
      </c>
      <c r="J27" s="55">
        <f>FEE_2_In!$H24</f>
        <v>5995.0858263120135</v>
      </c>
      <c r="K27" s="55">
        <f>IF(F27="Prod",FEE_ByContextArea_ByMode!AC27*AreaModeSharesandPMT!$X$11+FEE_ByContextArea_ByMode!AD27+FEE_ByContextArea_ByMode!AE27*AreaModeSharesandPMT!$Z$11,FEE_ByContextArea_ByMode!AC27*AreaModeSharesandPMT!$X$19+FEE_ByContextArea_ByMode!AD27+FEE_ByContextArea_ByMode!AE27*AreaModeSharesandPMT!$Z$19)</f>
        <v>4886.6006639419293</v>
      </c>
      <c r="L27" s="55">
        <f>FEE_2_Out!$H24</f>
        <v>5361.1668655828316</v>
      </c>
      <c r="M27" s="55">
        <f>FEE_3_In!$H24</f>
        <v>5900.3709750184962</v>
      </c>
      <c r="N27" s="55">
        <f>IF(I27="Prod",FEE_ByContextArea_ByMode!AG27*AreaModeSharesandPMT!$X$12+FEE_ByContextArea_ByMode!AH27+FEE_ByContextArea_ByMode!AI27*AreaModeSharesandPMT!$Z$12,FEE_ByContextArea_ByMode!AG27*AreaModeSharesandPMT!$X$20+FEE_ByContextArea_ByMode!AH27+FEE_ByContextArea_ByMode!AI27*AreaModeSharesandPMT!$Z$20)</f>
        <v>5233.6097866245709</v>
      </c>
      <c r="O27" s="55">
        <f>FEE_3_Out!$H24</f>
        <v>5757.9808981139749</v>
      </c>
      <c r="P27" s="55">
        <f>FEE_4_In!$H24</f>
        <v>5503.4179831013917</v>
      </c>
      <c r="Q27" s="55">
        <f>IF(L27="Prod",FEE_ByContextArea_ByMode!AK27*AreaModeSharesandPMT!$X$13+FEE_ByContextArea_ByMode!AL27+FEE_ByContextArea_ByMode!AM27*AreaModeSharesandPMT!$Z$13,FEE_ByContextArea_ByMode!AK27*AreaModeSharesandPMT!$X$21+FEE_ByContextArea_ByMode!AL27+FEE_ByContextArea_ByMode!AM27*AreaModeSharesandPMT!$Z$21)</f>
        <v>5612.4843565988504</v>
      </c>
      <c r="R27" s="55">
        <f>FEE_4_Out!$H24</f>
        <v>6177.3762025865035</v>
      </c>
      <c r="S27" s="120">
        <f t="shared" si="8"/>
        <v>0</v>
      </c>
      <c r="T27" s="120">
        <f t="shared" si="9"/>
        <v>0</v>
      </c>
      <c r="U27" s="120">
        <f t="shared" si="10"/>
        <v>0</v>
      </c>
      <c r="V27" s="120">
        <f t="shared" si="11"/>
        <v>0</v>
      </c>
      <c r="W27" s="120">
        <f t="shared" si="12"/>
        <v>0</v>
      </c>
      <c r="X27" s="120">
        <f t="shared" si="13"/>
        <v>0</v>
      </c>
      <c r="Y27" s="120">
        <f t="shared" si="14"/>
        <v>0</v>
      </c>
      <c r="Z27" s="120">
        <f t="shared" si="15"/>
        <v>0</v>
      </c>
    </row>
    <row r="28" spans="2:26" x14ac:dyDescent="0.25">
      <c r="B28" s="51">
        <f>ITE_LUC_Rates!A16</f>
        <v>222</v>
      </c>
      <c r="C28" s="11" t="str">
        <f>ITE_LUC_Rates!B16</f>
        <v>Multi-family Housing (High-Rise)</v>
      </c>
      <c r="D28" s="52" t="str">
        <f>ITE_LUC_Rates!C16</f>
        <v>Dwelling unit</v>
      </c>
      <c r="E28" s="112">
        <f>ITE_LUC_Rates!G16</f>
        <v>4.45</v>
      </c>
      <c r="F28" s="53" t="s">
        <v>70</v>
      </c>
      <c r="G28" s="91">
        <f>ITE_LUC_Rates!Q16</f>
        <v>4188.18</v>
      </c>
      <c r="H28" s="55">
        <f>+FEE_1_In!H25</f>
        <v>4549.7750899568409</v>
      </c>
      <c r="I28" s="55">
        <f>FEE_1_Out!$H25</f>
        <v>3477.0914069961432</v>
      </c>
      <c r="J28" s="55">
        <f>FEE_2_In!$H25</f>
        <v>4904.0683689500847</v>
      </c>
      <c r="K28" s="55">
        <f>IF(F28="Prod",FEE_ByContextArea_ByMode!AC28*AreaModeSharesandPMT!$X$11+FEE_ByContextArea_ByMode!AD28+FEE_ByContextArea_ByMode!AE28*AreaModeSharesandPMT!$Z$11,FEE_ByContextArea_ByMode!AC28*AreaModeSharesandPMT!$X$19+FEE_ByContextArea_ByMode!AD28+FEE_ByContextArea_ByMode!AE28*AreaModeSharesandPMT!$Z$19)</f>
        <v>3997.3112048789685</v>
      </c>
      <c r="L28" s="55">
        <f>FEE_2_Out!$H25</f>
        <v>4385.5133367359567</v>
      </c>
      <c r="M28" s="55">
        <f>FEE_3_In!$H25</f>
        <v>4826.5902277265286</v>
      </c>
      <c r="N28" s="55">
        <f>IF(I28="Prod",FEE_ByContextArea_ByMode!AG28*AreaModeSharesandPMT!$X$12+FEE_ByContextArea_ByMode!AH28+FEE_ByContextArea_ByMode!AI28*AreaModeSharesandPMT!$Z$12,FEE_ByContextArea_ByMode!AG28*AreaModeSharesandPMT!$X$20+FEE_ByContextArea_ByMode!AH28+FEE_ByContextArea_ByMode!AI28*AreaModeSharesandPMT!$Z$20)</f>
        <v>4281.1697703087038</v>
      </c>
      <c r="O28" s="55">
        <f>FEE_3_Out!$H25</f>
        <v>4710.1130508469114</v>
      </c>
      <c r="P28" s="55">
        <f>FEE_4_In!$H25</f>
        <v>4501.8768427943369</v>
      </c>
      <c r="Q28" s="55">
        <f>IF(L28="Prod",FEE_ByContextArea_ByMode!AK28*AreaModeSharesandPMT!$X$13+FEE_ByContextArea_ByMode!AL28+FEE_ByContextArea_ByMode!AM28*AreaModeSharesandPMT!$Z$13,FEE_ByContextArea_ByMode!AK28*AreaModeSharesandPMT!$X$21+FEE_ByContextArea_ByMode!AL28+FEE_ByContextArea_ByMode!AM28*AreaModeSharesandPMT!$Z$21)</f>
        <v>4591.0947402325164</v>
      </c>
      <c r="R28" s="55">
        <f>FEE_4_Out!$H25</f>
        <v>5053.1845774834446</v>
      </c>
      <c r="S28" s="120">
        <f t="shared" si="8"/>
        <v>8.6337046152944907E-2</v>
      </c>
      <c r="T28" s="120">
        <f t="shared" si="9"/>
        <v>-0.16978463031766955</v>
      </c>
      <c r="U28" s="120">
        <f t="shared" si="10"/>
        <v>4.7116727728024221E-2</v>
      </c>
      <c r="V28" s="120">
        <f t="shared" si="11"/>
        <v>0.17093065936757368</v>
      </c>
      <c r="W28" s="120">
        <f t="shared" si="12"/>
        <v>0.12462049168061329</v>
      </c>
      <c r="X28" s="120">
        <f t="shared" si="13"/>
        <v>0.1524314207427877</v>
      </c>
      <c r="Y28" s="120">
        <f t="shared" si="14"/>
        <v>0.20653471853727501</v>
      </c>
      <c r="Z28" s="120">
        <f t="shared" si="15"/>
        <v>7.4900515926807465E-2</v>
      </c>
    </row>
    <row r="29" spans="2:26" x14ac:dyDescent="0.25">
      <c r="B29" s="51">
        <f>ITE_LUC_Rates!A17</f>
        <v>230</v>
      </c>
      <c r="C29" s="11" t="str">
        <f>ITE_LUC_Rates!B17</f>
        <v>Low Rise Residential w/ 1st Commercial (up to 25ksf)</v>
      </c>
      <c r="D29" s="52" t="str">
        <f>ITE_LUC_Rates!C17</f>
        <v>Dwelling unit</v>
      </c>
      <c r="E29" s="112">
        <f>ITE_LUC_Rates!G17</f>
        <v>5.86</v>
      </c>
      <c r="F29" s="53" t="s">
        <v>70</v>
      </c>
      <c r="G29" s="91">
        <f>ITE_LUC_Rates!Q17</f>
        <v>5843.27</v>
      </c>
      <c r="H29" s="55">
        <f>+FEE_1_In!H26</f>
        <v>5991.3892195836161</v>
      </c>
      <c r="I29" s="55">
        <f>FEE_1_Out!$H26</f>
        <v>4578.8214932578421</v>
      </c>
      <c r="J29" s="55">
        <f>FEE_2_In!$H26</f>
        <v>6457.9417173140455</v>
      </c>
      <c r="K29" s="55">
        <f>IF(F29="Prod",FEE_ByContextArea_ByMode!AC29*AreaModeSharesandPMT!$X$11+FEE_ByContextArea_ByMode!AD29+FEE_ByContextArea_ByMode!AE29*AreaModeSharesandPMT!$Z$11,FEE_ByContextArea_ByMode!AC29*AreaModeSharesandPMT!$X$19+FEE_ByContextArea_ByMode!AD29+FEE_ByContextArea_ByMode!AE29*AreaModeSharesandPMT!$Z$19)</f>
        <v>5263.8749799080342</v>
      </c>
      <c r="L29" s="55">
        <f>FEE_2_Out!$H26</f>
        <v>5775.0804838815075</v>
      </c>
      <c r="M29" s="55">
        <f>FEE_3_In!$H26</f>
        <v>6355.9143223544843</v>
      </c>
      <c r="N29" s="55">
        <f>IF(I29="Prod",FEE_ByContextArea_ByMode!AG29*AreaModeSharesandPMT!$X$12+FEE_ByContextArea_ByMode!AH29+FEE_ByContextArea_ByMode!AI29*AreaModeSharesandPMT!$Z$12,FEE_ByContextArea_ByMode!AG29*AreaModeSharesandPMT!$X$20+FEE_ByContextArea_ByMode!AH29+FEE_ByContextArea_ByMode!AI29*AreaModeSharesandPMT!$Z$20)</f>
        <v>5637.6752480919095</v>
      </c>
      <c r="O29" s="55">
        <f>FEE_3_Out!$H26</f>
        <v>6202.5308939242459</v>
      </c>
      <c r="P29" s="55">
        <f>FEE_4_In!$H26</f>
        <v>5928.3142244437795</v>
      </c>
      <c r="Q29" s="55">
        <f>IF(L29="Prod",FEE_ByContextArea_ByMode!AK29*AreaModeSharesandPMT!$X$13+FEE_ByContextArea_ByMode!AL29+FEE_ByContextArea_ByMode!AM29*AreaModeSharesandPMT!$Z$13,FEE_ByContextArea_ByMode!AK29*AreaModeSharesandPMT!$X$21+FEE_ByContextArea_ByMode!AL29+FEE_ByContextArea_ByMode!AM29*AreaModeSharesandPMT!$Z$21)</f>
        <v>6045.8011635421435</v>
      </c>
      <c r="R29" s="55">
        <f>FEE_4_Out!$H26</f>
        <v>6654.3059829332542</v>
      </c>
      <c r="S29" s="120">
        <f>IFERROR(H29/$G29-1,0)</f>
        <v>2.5348686537437937E-2</v>
      </c>
      <c r="T29" s="120">
        <f>IFERROR(I29/$G29-1,0)</f>
        <v>-0.21639398945148147</v>
      </c>
      <c r="U29" s="120">
        <f t="shared" si="10"/>
        <v>-1.1669752744352557E-2</v>
      </c>
      <c r="V29" s="120">
        <f t="shared" si="11"/>
        <v>0.10519310545534344</v>
      </c>
      <c r="W29" s="120">
        <f>IFERROR(O29/$G29-1,0)</f>
        <v>6.1482850171949099E-2</v>
      </c>
      <c r="X29" s="120">
        <f t="shared" si="13"/>
        <v>8.7732437890852832E-2</v>
      </c>
      <c r="Y29" s="120">
        <f>IFERROR(R29/$G29-1,0)</f>
        <v>0.13879830692972495</v>
      </c>
      <c r="Z29" s="120">
        <f t="shared" si="15"/>
        <v>1.4554217834154448E-2</v>
      </c>
    </row>
    <row r="30" spans="2:26" x14ac:dyDescent="0.25">
      <c r="B30" s="51">
        <f>ITE_LUC_Rates!A18</f>
        <v>231</v>
      </c>
      <c r="C30" s="11" t="str">
        <f>ITE_LUC_Rates!B18</f>
        <v>Mid Rise Residential w/ 1st Commercial</v>
      </c>
      <c r="D30" s="52" t="str">
        <f>ITE_LUC_Rates!C18</f>
        <v>Dwelling unit</v>
      </c>
      <c r="E30" s="112">
        <f>ITE_LUC_Rates!G18</f>
        <v>3.44</v>
      </c>
      <c r="F30" s="53" t="s">
        <v>70</v>
      </c>
      <c r="G30" s="91">
        <f>ITE_LUC_Rates!Q18</f>
        <v>0</v>
      </c>
      <c r="H30" s="55">
        <f>+FEE_1_In!H27</f>
        <v>3517.1295077419172</v>
      </c>
      <c r="I30" s="55">
        <f>FEE_1_Out!$H27</f>
        <v>2687.9088629363441</v>
      </c>
      <c r="J30" s="55">
        <f>FEE_2_In!$H27</f>
        <v>3791.0101548737725</v>
      </c>
      <c r="K30" s="55">
        <f>IF(F30="Prod",FEE_ByContextArea_ByMode!AC30*AreaModeSharesandPMT!$X$11+FEE_ByContextArea_ByMode!AD30+FEE_ByContextArea_ByMode!AE30*AreaModeSharesandPMT!$Z$11,FEE_ByContextArea_ByMode!AC30*AreaModeSharesandPMT!$X$19+FEE_ByContextArea_ByMode!AD30+FEE_ByContextArea_ByMode!AE30*AreaModeSharesandPMT!$Z$19)</f>
        <v>3090.0563021985736</v>
      </c>
      <c r="L30" s="55">
        <f>FEE_2_Out!$H27</f>
        <v>3390.1496355891445</v>
      </c>
      <c r="M30" s="55">
        <f>FEE_3_In!$H27</f>
        <v>3731.1169400852264</v>
      </c>
      <c r="N30" s="55">
        <f>IF(I30="Prod",FEE_ByContextArea_ByMode!AG30*AreaModeSharesandPMT!$X$12+FEE_ByContextArea_ByMode!AH30+FEE_ByContextArea_ByMode!AI30*AreaModeSharesandPMT!$Z$12,FEE_ByContextArea_ByMode!AG30*AreaModeSharesandPMT!$X$20+FEE_ByContextArea_ByMode!AH30+FEE_ByContextArea_ByMode!AI30*AreaModeSharesandPMT!$Z$20)</f>
        <v>3309.488541542009</v>
      </c>
      <c r="O30" s="55">
        <f>FEE_3_Out!$H27</f>
        <v>3641.076156160309</v>
      </c>
      <c r="P30" s="55">
        <f>FEE_4_In!$H27</f>
        <v>3480.1025481376446</v>
      </c>
      <c r="Q30" s="55">
        <f>IF(L30="Prod",FEE_ByContextArea_ByMode!AK30*AreaModeSharesandPMT!$X$13+FEE_ByContextArea_ByMode!AL30+FEE_ByContextArea_ByMode!AM30*AreaModeSharesandPMT!$Z$13,FEE_ByContextArea_ByMode!AK30*AreaModeSharesandPMT!$X$21+FEE_ByContextArea_ByMode!AL30+FEE_ByContextArea_ByMode!AM30*AreaModeSharesandPMT!$Z$21)</f>
        <v>3549.070990202214</v>
      </c>
      <c r="R30" s="55">
        <f>FEE_4_Out!$H27</f>
        <v>3906.2820104591119</v>
      </c>
      <c r="S30" s="120">
        <f t="shared" si="8"/>
        <v>0</v>
      </c>
      <c r="T30" s="120">
        <f t="shared" si="9"/>
        <v>0</v>
      </c>
      <c r="U30" s="120">
        <f t="shared" si="10"/>
        <v>0</v>
      </c>
      <c r="V30" s="120">
        <f t="shared" si="11"/>
        <v>0</v>
      </c>
      <c r="W30" s="120">
        <f t="shared" si="12"/>
        <v>0</v>
      </c>
      <c r="X30" s="120">
        <f t="shared" si="13"/>
        <v>0</v>
      </c>
      <c r="Y30" s="120">
        <f t="shared" si="14"/>
        <v>0</v>
      </c>
      <c r="Z30" s="120">
        <f t="shared" si="15"/>
        <v>0</v>
      </c>
    </row>
    <row r="31" spans="2:26" x14ac:dyDescent="0.25">
      <c r="B31" s="51">
        <f>ITE_LUC_Rates!A19</f>
        <v>240</v>
      </c>
      <c r="C31" s="11" t="str">
        <f>ITE_LUC_Rates!B19</f>
        <v>Mobile Home Park</v>
      </c>
      <c r="D31" s="52" t="str">
        <f>ITE_LUC_Rates!C19</f>
        <v>Dwelling unit</v>
      </c>
      <c r="E31" s="112">
        <f>ITE_LUC_Rates!G19</f>
        <v>5</v>
      </c>
      <c r="F31" s="53" t="s">
        <v>70</v>
      </c>
      <c r="G31" s="91">
        <f>ITE_LUC_Rates!Q19</f>
        <v>4975.3599999999997</v>
      </c>
      <c r="H31" s="55">
        <f>+FEE_1_In!H28</f>
        <v>5112.1068426481361</v>
      </c>
      <c r="I31" s="55">
        <f>FEE_1_Out!$H28</f>
        <v>3906.8442775237563</v>
      </c>
      <c r="J31" s="55">
        <f>FEE_2_In!$H28</f>
        <v>5510.1891785956004</v>
      </c>
      <c r="K31" s="55">
        <f>IF(F31="Prod",FEE_ByContextArea_ByMode!AC31*AreaModeSharesandPMT!$X$11+FEE_ByContextArea_ByMode!AD31+FEE_ByContextArea_ByMode!AE31*AreaModeSharesandPMT!$Z$11,FEE_ByContextArea_ByMode!AC31*AreaModeSharesandPMT!$X$19+FEE_ByContextArea_ByMode!AD31+FEE_ByContextArea_ByMode!AE31*AreaModeSharesandPMT!$Z$19)</f>
        <v>4491.3609043583911</v>
      </c>
      <c r="L31" s="55">
        <f>FEE_2_Out!$H28</f>
        <v>4927.5430749842217</v>
      </c>
      <c r="M31" s="55">
        <f>FEE_3_In!$H28</f>
        <v>5423.1350873331785</v>
      </c>
      <c r="N31" s="55">
        <f>IF(I31="Prod",FEE_ByContextArea_ByMode!AG31*AreaModeSharesandPMT!$X$12+FEE_ByContextArea_ByMode!AH31+FEE_ByContextArea_ByMode!AI31*AreaModeSharesandPMT!$Z$12,FEE_ByContextArea_ByMode!AG31*AreaModeSharesandPMT!$X$20+FEE_ByContextArea_ByMode!AH31+FEE_ByContextArea_ByMode!AI31*AreaModeSharesandPMT!$Z$20)</f>
        <v>4810.3031127064087</v>
      </c>
      <c r="O31" s="55">
        <f>FEE_3_Out!$H28</f>
        <v>5292.2618548841701</v>
      </c>
      <c r="P31" s="55">
        <f>FEE_4_In!$H28</f>
        <v>5058.2885874093681</v>
      </c>
      <c r="Q31" s="55">
        <f>IF(L31="Prod",FEE_ByContextArea_ByMode!AK31*AreaModeSharesandPMT!$X$13+FEE_ByContextArea_ByMode!AL31+FEE_ByContextArea_ByMode!AM31*AreaModeSharesandPMT!$Z$13,FEE_ByContextArea_ByMode!AK31*AreaModeSharesandPMT!$X$21+FEE_ByContextArea_ByMode!AL31+FEE_ByContextArea_ByMode!AM31*AreaModeSharesandPMT!$Z$21)</f>
        <v>5158.5334159915901</v>
      </c>
      <c r="R31" s="55">
        <f>FEE_4_Out!$H28</f>
        <v>5677.7354803184762</v>
      </c>
      <c r="S31" s="120">
        <f t="shared" ref="S31:T33" si="16">IFERROR(H31/$G31-1,0)</f>
        <v>2.7484813691498911E-2</v>
      </c>
      <c r="T31" s="120">
        <f t="shared" si="16"/>
        <v>-0.21476148911360049</v>
      </c>
      <c r="U31" s="120">
        <f t="shared" si="10"/>
        <v>-9.610746763204725E-3</v>
      </c>
      <c r="V31" s="120">
        <f t="shared" si="11"/>
        <v>0.10749557390733555</v>
      </c>
      <c r="W31" s="120">
        <f>IFERROR(O31/$G31-1,0)</f>
        <v>6.3694256271741301E-2</v>
      </c>
      <c r="X31" s="120">
        <f t="shared" si="13"/>
        <v>8.9998530223577511E-2</v>
      </c>
      <c r="Y31" s="120">
        <f>IFERROR(R31/$G31-1,0)</f>
        <v>0.14117078569560326</v>
      </c>
      <c r="Z31" s="120">
        <f t="shared" si="15"/>
        <v>1.6667856679590809E-2</v>
      </c>
    </row>
    <row r="32" spans="2:26" x14ac:dyDescent="0.25">
      <c r="B32" s="51">
        <f>ITE_LUC_Rates!A20</f>
        <v>251</v>
      </c>
      <c r="C32" s="11" t="str">
        <f>ITE_LUC_Rates!B20</f>
        <v>Senior Adult Housing - Single-Family</v>
      </c>
      <c r="D32" s="52" t="str">
        <f>ITE_LUC_Rates!C20</f>
        <v>Dwelling unit</v>
      </c>
      <c r="E32" s="112">
        <f>ITE_LUC_Rates!G20</f>
        <v>4.2699999999999996</v>
      </c>
      <c r="F32" s="53" t="s">
        <v>70</v>
      </c>
      <c r="G32" s="91">
        <f>ITE_LUC_Rates!Q20</f>
        <v>3670.12</v>
      </c>
      <c r="H32" s="55">
        <f>+FEE_1_In!H29</f>
        <v>4365.7392436215077</v>
      </c>
      <c r="I32" s="55">
        <f>FEE_1_Out!$H29</f>
        <v>3336.4450130052874</v>
      </c>
      <c r="J32" s="55">
        <f>FEE_2_In!$H29</f>
        <v>4705.7015585206427</v>
      </c>
      <c r="K32" s="55">
        <f>IF(F32="Prod",FEE_ByContextArea_ByMode!AC32*AreaModeSharesandPMT!$X$11+FEE_ByContextArea_ByMode!AD32+FEE_ByContextArea_ByMode!AE32*AreaModeSharesandPMT!$Z$11,FEE_ByContextArea_ByMode!AC32*AreaModeSharesandPMT!$X$19+FEE_ByContextArea_ByMode!AD32+FEE_ByContextArea_ByMode!AE32*AreaModeSharesandPMT!$Z$19)</f>
        <v>3835.6222123220655</v>
      </c>
      <c r="L32" s="55">
        <f>FEE_2_Out!$H29</f>
        <v>4208.121786036525</v>
      </c>
      <c r="M32" s="55">
        <f>FEE_3_In!$H29</f>
        <v>4631.3573645825327</v>
      </c>
      <c r="N32" s="55">
        <f>IF(I32="Prod",FEE_ByContextArea_ByMode!AG32*AreaModeSharesandPMT!$X$12+FEE_ByContextArea_ByMode!AH32+FEE_ByContextArea_ByMode!AI32*AreaModeSharesandPMT!$Z$12,FEE_ByContextArea_ByMode!AG32*AreaModeSharesandPMT!$X$20+FEE_ByContextArea_ByMode!AH32+FEE_ByContextArea_ByMode!AI32*AreaModeSharesandPMT!$Z$20)</f>
        <v>4107.9988582512715</v>
      </c>
      <c r="O32" s="55">
        <f>FEE_3_Out!$H29</f>
        <v>4519.5916240710794</v>
      </c>
      <c r="P32" s="55">
        <f>FEE_4_In!$H29</f>
        <v>4319.7784536475992</v>
      </c>
      <c r="Q32" s="55">
        <f>IF(L32="Prod",FEE_ByContextArea_ByMode!AK32*AreaModeSharesandPMT!$X$13+FEE_ByContextArea_ByMode!AL32+FEE_ByContextArea_ByMode!AM32*AreaModeSharesandPMT!$Z$13,FEE_ByContextArea_ByMode!AK32*AreaModeSharesandPMT!$X$21+FEE_ByContextArea_ByMode!AL32+FEE_ByContextArea_ByMode!AM32*AreaModeSharesandPMT!$Z$21)</f>
        <v>4405.3875372568182</v>
      </c>
      <c r="R32" s="55">
        <f>FEE_4_Out!$H29</f>
        <v>4848.7861001919791</v>
      </c>
      <c r="S32" s="120">
        <f t="shared" si="16"/>
        <v>0.1895358308778754</v>
      </c>
      <c r="T32" s="120">
        <f t="shared" si="16"/>
        <v>-9.0916642233690559E-2</v>
      </c>
      <c r="U32" s="120">
        <f t="shared" si="10"/>
        <v>0.14658969898437246</v>
      </c>
      <c r="V32" s="120">
        <f t="shared" si="11"/>
        <v>0.28216558546332071</v>
      </c>
      <c r="W32" s="120">
        <f>IFERROR(O32/$G32-1,0)</f>
        <v>0.23145608973850429</v>
      </c>
      <c r="X32" s="120">
        <f t="shared" si="13"/>
        <v>0.26190897425221316</v>
      </c>
      <c r="Y32" s="120">
        <f>IFERROR(R32/$G32-1,0)</f>
        <v>0.32115192424007377</v>
      </c>
      <c r="Z32" s="120">
        <f t="shared" si="15"/>
        <v>0.17701286433348207</v>
      </c>
    </row>
    <row r="33" spans="2:26" x14ac:dyDescent="0.25">
      <c r="B33" s="51">
        <f>ITE_LUC_Rates!A21</f>
        <v>252</v>
      </c>
      <c r="C33" s="11" t="str">
        <f>ITE_LUC_Rates!B21</f>
        <v>Senior Adult Housing - Multifamily</v>
      </c>
      <c r="D33" s="52" t="str">
        <f>ITE_LUC_Rates!C21</f>
        <v>Dwelling unit</v>
      </c>
      <c r="E33" s="112">
        <f>ITE_LUC_Rates!G21</f>
        <v>3.7</v>
      </c>
      <c r="F33" s="53" t="s">
        <v>70</v>
      </c>
      <c r="G33" s="91">
        <f>ITE_LUC_Rates!Q21</f>
        <v>3429.6</v>
      </c>
      <c r="H33" s="55">
        <f>+FEE_1_In!H30</f>
        <v>3782.9590635596205</v>
      </c>
      <c r="I33" s="55">
        <f>FEE_1_Out!$H30</f>
        <v>2891.0647653675796</v>
      </c>
      <c r="J33" s="55">
        <f>FEE_2_In!$H30</f>
        <v>4077.5399921607445</v>
      </c>
      <c r="K33" s="55">
        <f>IF(F33="Prod",FEE_ByContextArea_ByMode!AC33*AreaModeSharesandPMT!$X$11+FEE_ByContextArea_ByMode!AD33+FEE_ByContextArea_ByMode!AE33*AreaModeSharesandPMT!$Z$11,FEE_ByContextArea_ByMode!AC33*AreaModeSharesandPMT!$X$19+FEE_ByContextArea_ByMode!AD33+FEE_ByContextArea_ByMode!AE33*AreaModeSharesandPMT!$Z$19)</f>
        <v>3323.6070692252092</v>
      </c>
      <c r="L33" s="55">
        <f>FEE_2_Out!$H30</f>
        <v>3646.3818754883237</v>
      </c>
      <c r="M33" s="55">
        <f>FEE_3_In!$H30</f>
        <v>4013.1199646265518</v>
      </c>
      <c r="N33" s="55">
        <f>IF(I33="Prod",FEE_ByContextArea_ByMode!AG33*AreaModeSharesandPMT!$X$12+FEE_ByContextArea_ByMode!AH33+FEE_ByContextArea_ByMode!AI33*AreaModeSharesandPMT!$Z$12,FEE_ByContextArea_ByMode!AG33*AreaModeSharesandPMT!$X$20+FEE_ByContextArea_ByMode!AH33+FEE_ByContextArea_ByMode!AI33*AreaModeSharesandPMT!$Z$20)</f>
        <v>3559.6243034027425</v>
      </c>
      <c r="O33" s="55">
        <f>FEE_3_Out!$H30</f>
        <v>3916.2737726142859</v>
      </c>
      <c r="P33" s="55">
        <f>FEE_4_In!$H30</f>
        <v>3743.1335546829323</v>
      </c>
      <c r="Q33" s="55">
        <f>IF(L33="Prod",FEE_ByContextArea_ByMode!AK33*AreaModeSharesandPMT!$X$13+FEE_ByContextArea_ByMode!AL33+FEE_ByContextArea_ByMode!AM33*AreaModeSharesandPMT!$Z$13,FEE_ByContextArea_ByMode!AK33*AreaModeSharesandPMT!$X$21+FEE_ByContextArea_ByMode!AL33+FEE_ByContextArea_ByMode!AM33*AreaModeSharesandPMT!$Z$21)</f>
        <v>3817.3147278337774</v>
      </c>
      <c r="R33" s="55">
        <f>FEE_4_Out!$H30</f>
        <v>4201.5242554356728</v>
      </c>
      <c r="S33" s="120">
        <f t="shared" si="16"/>
        <v>0.10303215055972137</v>
      </c>
      <c r="T33" s="120">
        <f t="shared" si="16"/>
        <v>-0.15702566906706916</v>
      </c>
      <c r="U33" s="120">
        <f t="shared" si="10"/>
        <v>6.3209084292140227E-2</v>
      </c>
      <c r="V33" s="120">
        <f t="shared" si="11"/>
        <v>0.1889258199675603</v>
      </c>
      <c r="W33" s="120">
        <f>IFERROR(O33/$G33-1,0)</f>
        <v>0.14190394582875143</v>
      </c>
      <c r="X33" s="120">
        <f t="shared" si="13"/>
        <v>0.17014228033197809</v>
      </c>
      <c r="Y33" s="120">
        <f>IFERROR(R33/$G33-1,0)</f>
        <v>0.22507705138665535</v>
      </c>
      <c r="Z33" s="120">
        <f t="shared" si="15"/>
        <v>9.1419860824274668E-2</v>
      </c>
    </row>
    <row r="34" spans="2:26" x14ac:dyDescent="0.25">
      <c r="B34" s="51">
        <f>ITE_LUC_Rates!A22</f>
        <v>253</v>
      </c>
      <c r="C34" s="11" t="str">
        <f>ITE_LUC_Rates!B22</f>
        <v>Congregate Care Facility</v>
      </c>
      <c r="D34" s="52" t="str">
        <f>ITE_LUC_Rates!C22</f>
        <v>Dwelling unit</v>
      </c>
      <c r="E34" s="112">
        <f>ITE_LUC_Rates!G22</f>
        <v>2.02</v>
      </c>
      <c r="F34" s="53" t="s">
        <v>70</v>
      </c>
      <c r="G34" s="91">
        <f>ITE_LUC_Rates!Q22</f>
        <v>2050.3000000000002</v>
      </c>
      <c r="H34" s="55">
        <f>+FEE_1_In!H31</f>
        <v>687.99777931931317</v>
      </c>
      <c r="I34" s="55">
        <f>FEE_1_Out!$H31</f>
        <v>525.79108180187097</v>
      </c>
      <c r="J34" s="55">
        <f>FEE_2_In!$H31</f>
        <v>741.57251309311414</v>
      </c>
      <c r="K34" s="55">
        <f>IF(F34="Prod",FEE_ByContextArea_ByMode!AC34*AreaModeSharesandPMT!$X$11+FEE_ByContextArea_ByMode!AD34+FEE_ByContextArea_ByMode!AE34*AreaModeSharesandPMT!$Z$11,FEE_ByContextArea_ByMode!AC34*AreaModeSharesandPMT!$X$19+FEE_ByContextArea_ByMode!AD34+FEE_ByContextArea_ByMode!AE34*AreaModeSharesandPMT!$Z$19)</f>
        <v>604.45652319728742</v>
      </c>
      <c r="L34" s="55">
        <f>FEE_2_Out!$H31</f>
        <v>663.15881053324551</v>
      </c>
      <c r="M34" s="55">
        <f>FEE_3_In!$H31</f>
        <v>729.8565957007886</v>
      </c>
      <c r="N34" s="55">
        <f>IF(I34="Prod",FEE_ByContextArea_ByMode!AG34*AreaModeSharesandPMT!$X$12+FEE_ByContextArea_ByMode!AH34+FEE_ByContextArea_ByMode!AI34*AreaModeSharesandPMT!$Z$12,FEE_ByContextArea_ByMode!AG34*AreaModeSharesandPMT!$X$20+FEE_ByContextArea_ByMode!AH34+FEE_ByContextArea_ByMode!AI34*AreaModeSharesandPMT!$Z$20)</f>
        <v>647.38041697118297</v>
      </c>
      <c r="O34" s="55">
        <f>FEE_3_Out!$H31</f>
        <v>712.2434087959125</v>
      </c>
      <c r="P34" s="55">
        <f>FEE_4_In!$H31</f>
        <v>680.75480861646827</v>
      </c>
      <c r="Q34" s="55">
        <f>IF(L34="Prod",FEE_ByContextArea_ByMode!AK34*AreaModeSharesandPMT!$X$13+FEE_ByContextArea_ByMode!AL34+FEE_ByContextArea_ByMode!AM34*AreaModeSharesandPMT!$Z$13,FEE_ByContextArea_ByMode!AK34*AreaModeSharesandPMT!$X$21+FEE_ByContextArea_ByMode!AL34+FEE_ByContextArea_ByMode!AM34*AreaModeSharesandPMT!$Z$21)</f>
        <v>694.24596237668368</v>
      </c>
      <c r="R34" s="55">
        <f>FEE_4_Out!$H31</f>
        <v>764.12123655813286</v>
      </c>
      <c r="S34" s="120">
        <f t="shared" si="8"/>
        <v>-0.66444043343934389</v>
      </c>
      <c r="T34" s="120">
        <f t="shared" si="9"/>
        <v>-0.74355407413457986</v>
      </c>
      <c r="U34" s="120">
        <f t="shared" si="10"/>
        <v>-0.67655523068173173</v>
      </c>
      <c r="V34" s="120">
        <f t="shared" si="11"/>
        <v>-0.63831024089493527</v>
      </c>
      <c r="W34" s="120">
        <f t="shared" si="12"/>
        <v>-0.65261502765648327</v>
      </c>
      <c r="X34" s="120">
        <f t="shared" si="13"/>
        <v>-0.64402448631869058</v>
      </c>
      <c r="Y34" s="120">
        <f t="shared" si="14"/>
        <v>-0.62731247302437065</v>
      </c>
      <c r="Z34" s="120">
        <f t="shared" si="15"/>
        <v>-0.66797307290812657</v>
      </c>
    </row>
    <row r="35" spans="2:26" x14ac:dyDescent="0.25">
      <c r="B35" s="51">
        <f>ITE_LUC_Rates!A23</f>
        <v>254</v>
      </c>
      <c r="C35" s="11" t="str">
        <f>ITE_LUC_Rates!B23</f>
        <v>Assisted Living Facility</v>
      </c>
      <c r="D35" s="52" t="str">
        <f>ITE_LUC_Rates!C23</f>
        <v>Bed</v>
      </c>
      <c r="E35" s="112">
        <f>ITE_LUC_Rates!G23</f>
        <v>2.6</v>
      </c>
      <c r="F35" s="53" t="s">
        <v>70</v>
      </c>
      <c r="G35" s="91">
        <f>ITE_LUC_Rates!Q23</f>
        <v>2701.29</v>
      </c>
      <c r="H35" s="55">
        <f>+FEE_1_In!H32</f>
        <v>885.54169615357137</v>
      </c>
      <c r="I35" s="55">
        <f>FEE_1_Out!$H32</f>
        <v>676.760798358844</v>
      </c>
      <c r="J35" s="55">
        <f>FEE_2_In!$H32</f>
        <v>954.49927427826583</v>
      </c>
      <c r="K35" s="55">
        <f>IF(F35="Prod",FEE_ByContextArea_ByMode!AC35*AreaModeSharesandPMT!$X$11+FEE_ByContextArea_ByMode!AD35+FEE_ByContextArea_ByMode!AE35*AreaModeSharesandPMT!$Z$11,FEE_ByContextArea_ByMode!AC35*AreaModeSharesandPMT!$X$19+FEE_ByContextArea_ByMode!AD35+FEE_ByContextArea_ByMode!AE35*AreaModeSharesandPMT!$Z$19)</f>
        <v>778.01334668957793</v>
      </c>
      <c r="L35" s="55">
        <f>FEE_2_Out!$H32</f>
        <v>853.57074623091023</v>
      </c>
      <c r="M35" s="55">
        <f>FEE_3_In!$H32</f>
        <v>939.41938060497523</v>
      </c>
      <c r="N35" s="55">
        <f>IF(I35="Prod",FEE_ByContextArea_ByMode!AG35*AreaModeSharesandPMT!$X$12+FEE_ByContextArea_ByMode!AH35+FEE_ByContextArea_ByMode!AI35*AreaModeSharesandPMT!$Z$12,FEE_ByContextArea_ByMode!AG35*AreaModeSharesandPMT!$X$20+FEE_ByContextArea_ByMode!AH35+FEE_ByContextArea_ByMode!AI35*AreaModeSharesandPMT!$Z$20)</f>
        <v>833.26192283419584</v>
      </c>
      <c r="O35" s="55">
        <f>FEE_3_Out!$H32</f>
        <v>916.74894201454072</v>
      </c>
      <c r="P35" s="55">
        <f>FEE_4_In!$H32</f>
        <v>876.21906059545427</v>
      </c>
      <c r="Q35" s="55">
        <f>IF(L35="Prod",FEE_ByContextArea_ByMode!AK35*AreaModeSharesandPMT!$X$13+FEE_ByContextArea_ByMode!AL35+FEE_ByContextArea_ByMode!AM35*AreaModeSharesandPMT!$Z$13,FEE_ByContextArea_ByMode!AK35*AreaModeSharesandPMT!$X$21+FEE_ByContextArea_ByMode!AL35+FEE_ByContextArea_ByMode!AM35*AreaModeSharesandPMT!$Z$21)</f>
        <v>893.58391196998878</v>
      </c>
      <c r="R35" s="55">
        <f>FEE_4_Out!$H32</f>
        <v>983.52238368868564</v>
      </c>
      <c r="S35" s="121">
        <f t="shared" si="8"/>
        <v>-0.67217821997876148</v>
      </c>
      <c r="T35" s="121">
        <f t="shared" si="9"/>
        <v>-0.74946755129629028</v>
      </c>
      <c r="U35" s="121">
        <f t="shared" si="10"/>
        <v>-0.68401365783351276</v>
      </c>
      <c r="V35" s="121">
        <f t="shared" si="11"/>
        <v>-0.64665057277142934</v>
      </c>
      <c r="W35" s="121">
        <f t="shared" si="12"/>
        <v>-0.66062550040368095</v>
      </c>
      <c r="X35" s="121">
        <f t="shared" si="13"/>
        <v>-0.65223305139212184</v>
      </c>
      <c r="Y35" s="121">
        <f t="shared" si="14"/>
        <v>-0.63590640631376649</v>
      </c>
      <c r="Z35" s="121">
        <f t="shared" si="15"/>
        <v>-0.67562939906657404</v>
      </c>
    </row>
    <row r="36" spans="2:26" x14ac:dyDescent="0.25">
      <c r="B36" s="51">
        <f>ITE_LUC_Rates!A24</f>
        <v>255</v>
      </c>
      <c r="C36" s="11" t="str">
        <f>ITE_LUC_Rates!B24</f>
        <v>Continuing Care Retirement Community</v>
      </c>
      <c r="D36" s="52" t="str">
        <f>ITE_LUC_Rates!C24</f>
        <v>Dwelling unit</v>
      </c>
      <c r="E36" s="112">
        <f>ITE_LUC_Rates!G24</f>
        <v>2.4</v>
      </c>
      <c r="F36" s="53" t="s">
        <v>70</v>
      </c>
      <c r="G36" s="91">
        <f>ITE_LUC_Rates!Q24</f>
        <v>2437.2199999999998</v>
      </c>
      <c r="H36" s="55">
        <f>+FEE_1_In!H33</f>
        <v>817.4231041417579</v>
      </c>
      <c r="I36" s="55">
        <f>FEE_1_Out!$H33</f>
        <v>624.70227540816347</v>
      </c>
      <c r="J36" s="55">
        <f>FEE_2_In!$H33</f>
        <v>881.07625317993757</v>
      </c>
      <c r="K36" s="55">
        <f>IF(F36="Prod",FEE_ByContextArea_ByMode!AC36*AreaModeSharesandPMT!$X$11+FEE_ByContextArea_ByMode!AD36+FEE_ByContextArea_ByMode!AE36*AreaModeSharesandPMT!$Z$11,FEE_ByContextArea_ByMode!AC36*AreaModeSharesandPMT!$X$19+FEE_ByContextArea_ByMode!AD36+FEE_ByContextArea_ByMode!AE36*AreaModeSharesandPMT!$Z$19)</f>
        <v>718.16616617499483</v>
      </c>
      <c r="L36" s="55">
        <f>FEE_2_Out!$H33</f>
        <v>787.91145805930159</v>
      </c>
      <c r="M36" s="55">
        <f>FEE_3_In!$H33</f>
        <v>867.15635132766931</v>
      </c>
      <c r="N36" s="55">
        <f>IF(I36="Prod",FEE_ByContextArea_ByMode!AG36*AreaModeSharesandPMT!$X$12+FEE_ByContextArea_ByMode!AH36+FEE_ByContextArea_ByMode!AI36*AreaModeSharesandPMT!$Z$12,FEE_ByContextArea_ByMode!AG36*AreaModeSharesandPMT!$X$20+FEE_ByContextArea_ByMode!AH36+FEE_ByContextArea_ByMode!AI36*AreaModeSharesandPMT!$Z$20)</f>
        <v>769.16485184694989</v>
      </c>
      <c r="O36" s="55">
        <f>FEE_3_Out!$H33</f>
        <v>846.22979262880665</v>
      </c>
      <c r="P36" s="55">
        <f>FEE_4_In!$H33</f>
        <v>808.81759439580378</v>
      </c>
      <c r="Q36" s="55">
        <f>IF(L36="Prod",FEE_ByContextArea_ByMode!AK36*AreaModeSharesandPMT!$X$13+FEE_ByContextArea_ByMode!AL36+FEE_ByContextArea_ByMode!AM36*AreaModeSharesandPMT!$Z$13,FEE_ByContextArea_ByMode!AK36*AreaModeSharesandPMT!$X$21+FEE_ByContextArea_ByMode!AL36+FEE_ByContextArea_ByMode!AM36*AreaModeSharesandPMT!$Z$21)</f>
        <v>824.84668797229722</v>
      </c>
      <c r="R36" s="55">
        <f>FEE_4_Out!$H33</f>
        <v>907.86681571263284</v>
      </c>
      <c r="S36" s="120">
        <f t="shared" si="8"/>
        <v>-0.66460840459960202</v>
      </c>
      <c r="T36" s="120">
        <f t="shared" si="9"/>
        <v>-0.74368244335424638</v>
      </c>
      <c r="U36" s="120">
        <f t="shared" si="10"/>
        <v>-0.67671713753403395</v>
      </c>
      <c r="V36" s="120">
        <f t="shared" si="11"/>
        <v>-0.63849129205408717</v>
      </c>
      <c r="W36" s="120">
        <f t="shared" si="12"/>
        <v>-0.65278891826392083</v>
      </c>
      <c r="X36" s="120">
        <f t="shared" si="13"/>
        <v>-0.64420267709617129</v>
      </c>
      <c r="Y36" s="120">
        <f t="shared" si="14"/>
        <v>-0.62749902933972601</v>
      </c>
      <c r="Z36" s="120">
        <f t="shared" si="15"/>
        <v>-0.66813927573390841</v>
      </c>
    </row>
    <row r="37" spans="2:26" x14ac:dyDescent="0.25">
      <c r="B37" s="51">
        <f>ITE_LUC_Rates!A25</f>
        <v>265</v>
      </c>
      <c r="C37" s="11" t="str">
        <f>ITE_LUC_Rates!B25</f>
        <v xml:space="preserve">Timeshare </v>
      </c>
      <c r="D37" s="52" t="str">
        <f>ITE_LUC_Rates!C25</f>
        <v>Dwelling unit</v>
      </c>
      <c r="E37" s="112">
        <f>ITE_LUC_Rates!G25</f>
        <v>8.6300000000000008</v>
      </c>
      <c r="F37" s="53" t="s">
        <v>70</v>
      </c>
      <c r="G37" s="91">
        <f>ITE_LUC_Rates!Q25</f>
        <v>0</v>
      </c>
      <c r="H37" s="55">
        <f>+FEE_1_In!H34</f>
        <v>8823.4964104106839</v>
      </c>
      <c r="I37" s="55">
        <f>FEE_1_Out!$H34</f>
        <v>6743.2132230060033</v>
      </c>
      <c r="J37" s="55">
        <f>FEE_2_In!$H34</f>
        <v>9510.5865222560078</v>
      </c>
      <c r="K37" s="55">
        <f>IF(F37="Prod",FEE_ByContextArea_ByMode!AC37*AreaModeSharesandPMT!$X$11+FEE_ByContextArea_ByMode!AD37+FEE_ByContextArea_ByMode!AE37*AreaModeSharesandPMT!$Z$11,FEE_ByContextArea_ByMode!AC37*AreaModeSharesandPMT!$X$19+FEE_ByContextArea_ByMode!AD37+FEE_ByContextArea_ByMode!AE37*AreaModeSharesandPMT!$Z$19)</f>
        <v>7752.0889209225843</v>
      </c>
      <c r="L37" s="55">
        <f>FEE_2_Out!$H34</f>
        <v>8504.9393474227654</v>
      </c>
      <c r="M37" s="55">
        <f>FEE_3_In!$H34</f>
        <v>9360.3311607370651</v>
      </c>
      <c r="N37" s="55">
        <f>IF(I37="Prod",FEE_ByContextArea_ByMode!AG37*AreaModeSharesandPMT!$X$12+FEE_ByContextArea_ByMode!AH37+FEE_ByContextArea_ByMode!AI37*AreaModeSharesandPMT!$Z$12,FEE_ByContextArea_ByMode!AG37*AreaModeSharesandPMT!$X$20+FEE_ByContextArea_ByMode!AH37+FEE_ByContextArea_ByMode!AI37*AreaModeSharesandPMT!$Z$20)</f>
        <v>8302.5831725312601</v>
      </c>
      <c r="O37" s="55">
        <f>FEE_3_Out!$H34</f>
        <v>9134.4439615300762</v>
      </c>
      <c r="P37" s="55">
        <f>FEE_4_In!$H34</f>
        <v>8730.6061018685705</v>
      </c>
      <c r="Q37" s="55">
        <f>IF(L37="Prod",FEE_ByContextArea_ByMode!AK37*AreaModeSharesandPMT!$X$13+FEE_ByContextArea_ByMode!AL37+FEE_ByContextArea_ByMode!AM37*AreaModeSharesandPMT!$Z$13,FEE_ByContextArea_ByMode!AK37*AreaModeSharesandPMT!$X$21+FEE_ByContextArea_ByMode!AL37+FEE_ByContextArea_ByMode!AM37*AreaModeSharesandPMT!$Z$21)</f>
        <v>8903.6286760014846</v>
      </c>
      <c r="R37" s="55">
        <f>FEE_4_Out!$H34</f>
        <v>9799.7714390296896</v>
      </c>
      <c r="S37" s="120">
        <f t="shared" si="8"/>
        <v>0</v>
      </c>
      <c r="T37" s="120">
        <f t="shared" si="9"/>
        <v>0</v>
      </c>
      <c r="U37" s="120">
        <f t="shared" si="10"/>
        <v>0</v>
      </c>
      <c r="V37" s="120">
        <f t="shared" si="11"/>
        <v>0</v>
      </c>
      <c r="W37" s="120">
        <f t="shared" si="12"/>
        <v>0</v>
      </c>
      <c r="X37" s="120">
        <f t="shared" si="13"/>
        <v>0</v>
      </c>
      <c r="Y37" s="120">
        <f t="shared" si="14"/>
        <v>0</v>
      </c>
      <c r="Z37" s="120">
        <f t="shared" si="15"/>
        <v>0</v>
      </c>
    </row>
    <row r="38" spans="2:26" x14ac:dyDescent="0.25">
      <c r="B38" s="51">
        <f>ITE_LUC_Rates!A26</f>
        <v>270</v>
      </c>
      <c r="C38" s="11" t="str">
        <f>ITE_LUC_Rates!B26</f>
        <v>Residential PUD</v>
      </c>
      <c r="D38" s="52" t="str">
        <f>ITE_LUC_Rates!C26</f>
        <v>Dwelling unit</v>
      </c>
      <c r="E38" s="112">
        <f>ITE_LUC_Rates!G26</f>
        <v>7.83</v>
      </c>
      <c r="F38" s="53" t="s">
        <v>70</v>
      </c>
      <c r="G38" s="91">
        <f>ITE_LUC_Rates!Q26</f>
        <v>0</v>
      </c>
      <c r="H38" s="55">
        <f>+FEE_1_In!H35</f>
        <v>8005.559315586981</v>
      </c>
      <c r="I38" s="55">
        <f>FEE_1_Out!$H35</f>
        <v>6118.1181386022017</v>
      </c>
      <c r="J38" s="55">
        <f>FEE_2_In!$H35</f>
        <v>8628.9562536807098</v>
      </c>
      <c r="K38" s="55">
        <f>IF(F38="Prod",FEE_ByContextArea_ByMode!AC38*AreaModeSharesandPMT!$X$11+FEE_ByContextArea_ByMode!AD38+FEE_ByContextArea_ByMode!AE38*AreaModeSharesandPMT!$Z$11,FEE_ByContextArea_ByMode!AC38*AreaModeSharesandPMT!$X$19+FEE_ByContextArea_ByMode!AD38+FEE_ByContextArea_ByMode!AE38*AreaModeSharesandPMT!$Z$19)</f>
        <v>7033.4711762252409</v>
      </c>
      <c r="L38" s="55">
        <f>FEE_2_Out!$H35</f>
        <v>7716.5324554252911</v>
      </c>
      <c r="M38" s="55">
        <f>FEE_3_In!$H35</f>
        <v>8492.6295467637574</v>
      </c>
      <c r="N38" s="55">
        <f>IF(I38="Prod",FEE_ByContextArea_ByMode!AG38*AreaModeSharesandPMT!$X$12+FEE_ByContextArea_ByMode!AH38+FEE_ByContextArea_ByMode!AI38*AreaModeSharesandPMT!$Z$12,FEE_ByContextArea_ByMode!AG38*AreaModeSharesandPMT!$X$20+FEE_ByContextArea_ByMode!AH38+FEE_ByContextArea_ByMode!AI38*AreaModeSharesandPMT!$Z$20)</f>
        <v>7532.9346744982322</v>
      </c>
      <c r="O38" s="55">
        <f>FEE_3_Out!$H35</f>
        <v>8287.6820647486074</v>
      </c>
      <c r="P38" s="55">
        <f>FEE_4_In!$H35</f>
        <v>7921.2799278830698</v>
      </c>
      <c r="Q38" s="55">
        <f>IF(L38="Prod",FEE_ByContextArea_ByMode!AK38*AreaModeSharesandPMT!$X$13+FEE_ByContextArea_ByMode!AL38+FEE_ByContextArea_ByMode!AM38*AreaModeSharesandPMT!$Z$13,FEE_ByContextArea_ByMode!AK38*AreaModeSharesandPMT!$X$21+FEE_ByContextArea_ByMode!AL38+FEE_ByContextArea_ByMode!AM38*AreaModeSharesandPMT!$Z$21)</f>
        <v>8078.2633294428297</v>
      </c>
      <c r="R38" s="55">
        <f>FEE_4_Out!$H35</f>
        <v>8891.3337621787341</v>
      </c>
      <c r="S38" s="120">
        <f t="shared" si="8"/>
        <v>0</v>
      </c>
      <c r="T38" s="120">
        <f t="shared" si="9"/>
        <v>0</v>
      </c>
      <c r="U38" s="120">
        <f t="shared" si="10"/>
        <v>0</v>
      </c>
      <c r="V38" s="120">
        <f t="shared" si="11"/>
        <v>0</v>
      </c>
      <c r="W38" s="120">
        <f t="shared" si="12"/>
        <v>0</v>
      </c>
      <c r="X38" s="120">
        <f t="shared" si="13"/>
        <v>0</v>
      </c>
      <c r="Y38" s="120">
        <f t="shared" si="14"/>
        <v>0</v>
      </c>
      <c r="Z38" s="120">
        <f t="shared" si="15"/>
        <v>0</v>
      </c>
    </row>
    <row r="39" spans="2:26" x14ac:dyDescent="0.25">
      <c r="B39" s="92" t="str">
        <f>ITE_LUC_Rates!A27</f>
        <v>Lodging</v>
      </c>
      <c r="C39" s="93"/>
      <c r="D39" s="94"/>
      <c r="E39" s="113"/>
      <c r="F39" s="95"/>
      <c r="G39" s="96"/>
      <c r="H39" s="99"/>
      <c r="I39" s="99"/>
      <c r="J39" s="99"/>
      <c r="K39" s="99"/>
      <c r="L39" s="99"/>
      <c r="M39" s="99"/>
      <c r="N39" s="99"/>
      <c r="O39" s="99"/>
      <c r="P39" s="99"/>
      <c r="Q39" s="99"/>
      <c r="R39" s="99"/>
      <c r="S39" s="99"/>
      <c r="T39" s="99"/>
      <c r="U39" s="99"/>
      <c r="V39" s="99"/>
      <c r="W39" s="99"/>
      <c r="X39" s="99"/>
      <c r="Y39" s="99"/>
      <c r="Z39" s="99"/>
    </row>
    <row r="40" spans="2:26" x14ac:dyDescent="0.25">
      <c r="B40" s="51">
        <f>ITE_LUC_Rates!A28</f>
        <v>310</v>
      </c>
      <c r="C40" s="11" t="str">
        <f>ITE_LUC_Rates!B28</f>
        <v>Hotel</v>
      </c>
      <c r="D40" s="52" t="str">
        <f>ITE_LUC_Rates!C28</f>
        <v>Hotel room</v>
      </c>
      <c r="E40" s="112">
        <f>ITE_LUC_Rates!G28</f>
        <v>8.36</v>
      </c>
      <c r="F40" s="53" t="s">
        <v>70</v>
      </c>
      <c r="G40" s="91">
        <f>ITE_LUC_Rates!Q28</f>
        <v>8894.4159999999993</v>
      </c>
      <c r="H40" s="55">
        <f>+FEE_1_In!H37</f>
        <v>5350.2213660515417</v>
      </c>
      <c r="I40" s="55">
        <f>FEE_1_Out!$H37</f>
        <v>4088.8194184564527</v>
      </c>
      <c r="J40" s="55">
        <f>FEE_2_In!$H37</f>
        <v>5766.8457999279199</v>
      </c>
      <c r="K40" s="55">
        <f>IF(F40="Prod",FEE_ByContextArea_ByMode!AC40*AreaModeSharesandPMT!$X$11+FEE_ByContextArea_ByMode!AD40+FEE_ByContextArea_ByMode!AE40*AreaModeSharesandPMT!$Z$11,FEE_ByContextArea_ByMode!AC40*AreaModeSharesandPMT!$X$19+FEE_ByContextArea_ByMode!AD40+FEE_ByContextArea_ByMode!AE40*AreaModeSharesandPMT!$Z$19)</f>
        <v>4700.5619821316404</v>
      </c>
      <c r="L40" s="55">
        <f>FEE_2_Out!$H37</f>
        <v>5157.0608857351863</v>
      </c>
      <c r="M40" s="55">
        <f>FEE_3_In!$H37</f>
        <v>5675.7368553360748</v>
      </c>
      <c r="N40" s="55">
        <f>IF(I40="Prod",FEE_ByContextArea_ByMode!AG40*AreaModeSharesandPMT!$X$12+FEE_ByContextArea_ByMode!AH40+FEE_ByContextArea_ByMode!AI40*AreaModeSharesandPMT!$Z$12,FEE_ByContextArea_ByMode!AG40*AreaModeSharesandPMT!$X$20+FEE_ByContextArea_ByMode!AH40+FEE_ByContextArea_ByMode!AI40*AreaModeSharesandPMT!$Z$20)</f>
        <v>5034.3600560301265</v>
      </c>
      <c r="O40" s="55">
        <f>FEE_3_Out!$H37</f>
        <v>5538.7677375055482</v>
      </c>
      <c r="P40" s="55">
        <f>FEE_4_In!$H37</f>
        <v>5293.8963345283528</v>
      </c>
      <c r="Q40" s="55">
        <f>IF(L40="Prod",FEE_ByContextArea_ByMode!AK40*AreaModeSharesandPMT!$X$13+FEE_ByContextArea_ByMode!AL40+FEE_ByContextArea_ByMode!AM40*AreaModeSharesandPMT!$Z$13,FEE_ByContextArea_ByMode!AK40*AreaModeSharesandPMT!$X$21+FEE_ByContextArea_ByMode!AL40+FEE_ByContextArea_ByMode!AM40*AreaModeSharesandPMT!$Z$21)</f>
        <v>5398.8104218557901</v>
      </c>
      <c r="R40" s="55">
        <f>FEE_4_Out!$H37</f>
        <v>5942.1961654176002</v>
      </c>
      <c r="S40" s="120">
        <f t="shared" ref="S40:T43" si="17">IFERROR(H40/$G40-1,0)</f>
        <v>-0.39847412510820923</v>
      </c>
      <c r="T40" s="120">
        <f t="shared" si="17"/>
        <v>-0.54029366082534791</v>
      </c>
      <c r="U40" s="120">
        <f>IFERROR(L40/$G40-1,0)</f>
        <v>-0.4201911754818769</v>
      </c>
      <c r="V40" s="120">
        <f>IFERROR(J40/$G40-1,0)</f>
        <v>-0.35163300210739856</v>
      </c>
      <c r="W40" s="120">
        <f>IFERROR(O40/$G40-1,0)</f>
        <v>-0.37727583941367837</v>
      </c>
      <c r="X40" s="120">
        <f>IFERROR(M40/$G40-1,0)</f>
        <v>-0.36187638903598895</v>
      </c>
      <c r="Y40" s="120">
        <f>IFERROR(R40/$G40-1,0)</f>
        <v>-0.33191834456387015</v>
      </c>
      <c r="Z40" s="120">
        <f>IFERROR(P40/$G40-1,0)</f>
        <v>-0.40480675352621764</v>
      </c>
    </row>
    <row r="41" spans="2:26" x14ac:dyDescent="0.25">
      <c r="B41" s="51">
        <f>ITE_LUC_Rates!A29</f>
        <v>311</v>
      </c>
      <c r="C41" s="11" t="str">
        <f>ITE_LUC_Rates!B29</f>
        <v>All Suites Hotel</v>
      </c>
      <c r="D41" s="52" t="str">
        <f>ITE_LUC_Rates!C29</f>
        <v>Hotel room</v>
      </c>
      <c r="E41" s="112">
        <f>ITE_LUC_Rates!G29</f>
        <v>4.46</v>
      </c>
      <c r="F41" s="53" t="s">
        <v>70</v>
      </c>
      <c r="G41" s="91">
        <f>ITE_LUC_Rates!Q29</f>
        <v>6221.7179999999998</v>
      </c>
      <c r="H41" s="55">
        <f>+FEE_1_In!H38</f>
        <v>2854.3047000705601</v>
      </c>
      <c r="I41" s="55">
        <f>FEE_1_Out!$H38</f>
        <v>2181.355814152605</v>
      </c>
      <c r="J41" s="55">
        <f>FEE_2_In!$H38</f>
        <v>3076.5708454160913</v>
      </c>
      <c r="K41" s="55">
        <f>IF(F41="Prod",FEE_ByContextArea_ByMode!AC41*AreaModeSharesandPMT!$X$11+FEE_ByContextArea_ByMode!AD41+FEE_ByContextArea_ByMode!AE41*AreaModeSharesandPMT!$Z$11,FEE_ByContextArea_ByMode!AC41*AreaModeSharesandPMT!$X$19+FEE_ByContextArea_ByMode!AD41+FEE_ByContextArea_ByMode!AE41*AreaModeSharesandPMT!$Z$19)</f>
        <v>2507.716081376449</v>
      </c>
      <c r="L41" s="55">
        <f>FEE_2_Out!$H38</f>
        <v>2751.2549701410203</v>
      </c>
      <c r="M41" s="55">
        <f>FEE_3_In!$H38</f>
        <v>3027.9648773682889</v>
      </c>
      <c r="N41" s="55">
        <f>IF(I41="Prod",FEE_ByContextArea_ByMode!AG41*AreaModeSharesandPMT!$X$12+FEE_ByContextArea_ByMode!AH41+FEE_ByContextArea_ByMode!AI41*AreaModeSharesandPMT!$Z$12,FEE_ByContextArea_ByMode!AG41*AreaModeSharesandPMT!$X$20+FEE_ByContextArea_ByMode!AH41+FEE_ByContextArea_ByMode!AI41*AreaModeSharesandPMT!$Z$20)</f>
        <v>2685.7949581213352</v>
      </c>
      <c r="O41" s="55">
        <f>FEE_3_Out!$H38</f>
        <v>2954.892836037649</v>
      </c>
      <c r="P41" s="55">
        <f>FEE_4_In!$H38</f>
        <v>2824.255699999575</v>
      </c>
      <c r="Q41" s="55">
        <f>IF(L41="Prod",FEE_ByContextArea_ByMode!AK41*AreaModeSharesandPMT!$X$13+FEE_ByContextArea_ByMode!AL41+FEE_ByContextArea_ByMode!AM41*AreaModeSharesandPMT!$Z$13,FEE_ByContextArea_ByMode!AK41*AreaModeSharesandPMT!$X$21+FEE_ByContextArea_ByMode!AL41+FEE_ByContextArea_ByMode!AM41*AreaModeSharesandPMT!$Z$21)</f>
        <v>2880.2266126168452</v>
      </c>
      <c r="R41" s="55">
        <f>FEE_4_Out!$H38</f>
        <v>3170.1190069093896</v>
      </c>
      <c r="S41" s="120">
        <f t="shared" si="17"/>
        <v>-0.541235282590667</v>
      </c>
      <c r="T41" s="120">
        <f t="shared" si="17"/>
        <v>-0.64939654703851812</v>
      </c>
      <c r="U41" s="120">
        <f>IFERROR(L41/$G41-1,0)</f>
        <v>-0.5577981885162554</v>
      </c>
      <c r="V41" s="120">
        <f>IFERROR(J41/$G41-1,0)</f>
        <v>-0.50551104286370885</v>
      </c>
      <c r="W41" s="120">
        <f>IFERROR(O41/$G41-1,0)</f>
        <v>-0.5250680220418783</v>
      </c>
      <c r="X41" s="120">
        <f>IFERROR(M41/$G41-1,0)</f>
        <v>-0.51332334937580115</v>
      </c>
      <c r="Y41" s="120">
        <f>IFERROR(R41/$G41-1,0)</f>
        <v>-0.49047529847714255</v>
      </c>
      <c r="Z41" s="120">
        <f>IFERROR(P41/$G41-1,0)</f>
        <v>-0.54606497755128491</v>
      </c>
    </row>
    <row r="42" spans="2:26" x14ac:dyDescent="0.25">
      <c r="B42" s="51">
        <f>ITE_LUC_Rates!A30</f>
        <v>320</v>
      </c>
      <c r="C42" s="11" t="str">
        <f>ITE_LUC_Rates!B30</f>
        <v>Motel</v>
      </c>
      <c r="D42" s="52" t="str">
        <f>ITE_LUC_Rates!C30</f>
        <v>Hotel room</v>
      </c>
      <c r="E42" s="112">
        <f>ITE_LUC_Rates!G30</f>
        <v>3.35</v>
      </c>
      <c r="F42" s="53" t="s">
        <v>70</v>
      </c>
      <c r="G42" s="91">
        <f>ITE_LUC_Rates!Q30</f>
        <v>9084.482</v>
      </c>
      <c r="H42" s="55">
        <f>+FEE_1_In!H39</f>
        <v>1720.026881604535</v>
      </c>
      <c r="I42" s="55">
        <f>FEE_1_Out!$H39</f>
        <v>1314.5024911300029</v>
      </c>
      <c r="J42" s="55">
        <f>FEE_2_In!$H39</f>
        <v>1853.9662416369392</v>
      </c>
      <c r="K42" s="55">
        <f>IF(F42="Prod",FEE_ByContextArea_ByMode!AC42*AreaModeSharesandPMT!$X$11+FEE_ByContextArea_ByMode!AD42+FEE_ByContextArea_ByMode!AE42*AreaModeSharesandPMT!$Z$11,FEE_ByContextArea_ByMode!AC42*AreaModeSharesandPMT!$X$19+FEE_ByContextArea_ByMode!AD42+FEE_ByContextArea_ByMode!AE42*AreaModeSharesandPMT!$Z$19)</f>
        <v>1511.1698030321891</v>
      </c>
      <c r="L42" s="55">
        <f>FEE_2_Out!$H39</f>
        <v>1657.9282886909918</v>
      </c>
      <c r="M42" s="55">
        <f>FEE_3_In!$H39</f>
        <v>1824.6758958492017</v>
      </c>
      <c r="N42" s="55">
        <f>IF(I42="Prod",FEE_ByContextArea_ByMode!AG42*AreaModeSharesandPMT!$X$12+FEE_ByContextArea_ByMode!AH42+FEE_ByContextArea_ByMode!AI42*AreaModeSharesandPMT!$Z$12,FEE_ByContextArea_ByMode!AG42*AreaModeSharesandPMT!$X$20+FEE_ByContextArea_ByMode!AH42+FEE_ByContextArea_ByMode!AI42*AreaModeSharesandPMT!$Z$20)</f>
        <v>1618.4815609673433</v>
      </c>
      <c r="O42" s="55">
        <f>FEE_3_Out!$H39</f>
        <v>1780.6420982734526</v>
      </c>
      <c r="P42" s="55">
        <f>FEE_4_In!$H39</f>
        <v>1701.9191134022994</v>
      </c>
      <c r="Q42" s="55">
        <f>IF(L42="Prod",FEE_ByContextArea_ByMode!AK42*AreaModeSharesandPMT!$X$13+FEE_ByContextArea_ByMode!AL42+FEE_ByContextArea_ByMode!AM42*AreaModeSharesandPMT!$Z$13,FEE_ByContextArea_ByMode!AK42*AreaModeSharesandPMT!$X$21+FEE_ByContextArea_ByMode!AL42+FEE_ByContextArea_ByMode!AM42*AreaModeSharesandPMT!$Z$21)</f>
        <v>1735.6476337972178</v>
      </c>
      <c r="R42" s="55">
        <f>FEE_4_Out!$H39</f>
        <v>1910.3391132820645</v>
      </c>
      <c r="S42" s="120">
        <f t="shared" si="17"/>
        <v>-0.81066318568251494</v>
      </c>
      <c r="T42" s="120">
        <f t="shared" si="17"/>
        <v>-0.85530242768602516</v>
      </c>
      <c r="U42" s="120">
        <f>IFERROR(L42/$G42-1,0)</f>
        <v>-0.81749886359057222</v>
      </c>
      <c r="V42" s="120">
        <f>IFERROR(J42/$G42-1,0)</f>
        <v>-0.79591943254035402</v>
      </c>
      <c r="W42" s="120">
        <f>IFERROR(O42/$G42-1,0)</f>
        <v>-0.80399079460188783</v>
      </c>
      <c r="X42" s="120">
        <f>IFERROR(M42/$G42-1,0)</f>
        <v>-0.799143650034289</v>
      </c>
      <c r="Y42" s="120">
        <f>IFERROR(R42/$G42-1,0)</f>
        <v>-0.78971402956359382</v>
      </c>
      <c r="Z42" s="120">
        <f>IFERROR(P42/$G42-1,0)</f>
        <v>-0.81265644938233139</v>
      </c>
    </row>
    <row r="43" spans="2:26" x14ac:dyDescent="0.25">
      <c r="B43" s="51">
        <f>ITE_LUC_Rates!A31</f>
        <v>312</v>
      </c>
      <c r="C43" s="11" t="str">
        <f>ITE_LUC_Rates!B31</f>
        <v>Business Hotel</v>
      </c>
      <c r="D43" s="52" t="str">
        <f>ITE_LUC_Rates!C31</f>
        <v>Hotel room</v>
      </c>
      <c r="E43" s="112">
        <f>ITE_LUC_Rates!G31</f>
        <v>4.0199999999999996</v>
      </c>
      <c r="F43" s="53" t="s">
        <v>70</v>
      </c>
      <c r="G43" s="91">
        <f>ITE_LUC_Rates!Q31</f>
        <v>0</v>
      </c>
      <c r="H43" s="55">
        <f>+FEE_1_In!H40</f>
        <v>2572.7141018573202</v>
      </c>
      <c r="I43" s="55">
        <f>FEE_1_Out!$H40</f>
        <v>1966.154792128581</v>
      </c>
      <c r="J43" s="55">
        <f>FEE_2_In!$H40</f>
        <v>2773.0526454198844</v>
      </c>
      <c r="K43" s="55">
        <f>IF(F43="Prod",FEE_ByContextArea_ByMode!AC43*AreaModeSharesandPMT!$X$11+FEE_ByContextArea_ByMode!AD43+FEE_ByContextArea_ByMode!AE43*AreaModeSharesandPMT!$Z$11,FEE_ByContextArea_ByMode!AC43*AreaModeSharesandPMT!$X$19+FEE_ByContextArea_ByMode!AD43+FEE_ByContextArea_ByMode!AE43*AreaModeSharesandPMT!$Z$19)</f>
        <v>2260.3180823168891</v>
      </c>
      <c r="L43" s="55">
        <f>FEE_2_Out!$H40</f>
        <v>2479.8307129970626</v>
      </c>
      <c r="M43" s="55">
        <f>FEE_3_In!$H40</f>
        <v>2729.2418849821797</v>
      </c>
      <c r="N43" s="55">
        <f>IF(I43="Prod",FEE_ByContextArea_ByMode!AG43*AreaModeSharesandPMT!$X$12+FEE_ByContextArea_ByMode!AH43+FEE_ByContextArea_ByMode!AI43*AreaModeSharesandPMT!$Z$12,FEE_ByContextArea_ByMode!AG43*AreaModeSharesandPMT!$X$20+FEE_ByContextArea_ByMode!AH43+FEE_ByContextArea_ByMode!AI43*AreaModeSharesandPMT!$Z$20)</f>
        <v>2420.8286393829071</v>
      </c>
      <c r="O43" s="55">
        <f>FEE_3_Out!$H40</f>
        <v>2663.3787445899884</v>
      </c>
      <c r="P43" s="55">
        <f>FEE_4_In!$H40</f>
        <v>2545.6295771296618</v>
      </c>
      <c r="Q43" s="55">
        <f>IF(L43="Prod",FEE_ByContextArea_ByMode!AK43*AreaModeSharesandPMT!$X$13+FEE_ByContextArea_ByMode!AL43+FEE_ByContextArea_ByMode!AM43*AreaModeSharesandPMT!$Z$13,FEE_ByContextArea_ByMode!AK43*AreaModeSharesandPMT!$X$21+FEE_ByContextArea_ByMode!AL43+FEE_ByContextArea_ByMode!AM43*AreaModeSharesandPMT!$Z$21)</f>
        <v>2596.0786956770667</v>
      </c>
      <c r="R43" s="55">
        <f>FEE_4_Out!$H40</f>
        <v>2857.3718403084636</v>
      </c>
      <c r="S43" s="120">
        <f t="shared" si="17"/>
        <v>0</v>
      </c>
      <c r="T43" s="120">
        <f t="shared" si="17"/>
        <v>0</v>
      </c>
      <c r="U43" s="120">
        <f>IFERROR(L43/$G43-1,0)</f>
        <v>0</v>
      </c>
      <c r="V43" s="120">
        <f>IFERROR(J43/$G43-1,0)</f>
        <v>0</v>
      </c>
      <c r="W43" s="120">
        <f>IFERROR(O43/$G43-1,0)</f>
        <v>0</v>
      </c>
      <c r="X43" s="120">
        <f>IFERROR(M43/$G43-1,0)</f>
        <v>0</v>
      </c>
      <c r="Y43" s="120">
        <f>IFERROR(R43/$G43-1,0)</f>
        <v>0</v>
      </c>
      <c r="Z43" s="120">
        <f>IFERROR(P43/$G43-1,0)</f>
        <v>0</v>
      </c>
    </row>
    <row r="44" spans="2:26" x14ac:dyDescent="0.25">
      <c r="B44" s="92" t="str">
        <f>ITE_LUC_Rates!A32</f>
        <v>Recreational</v>
      </c>
      <c r="C44" s="93"/>
      <c r="D44" s="94"/>
      <c r="E44" s="113"/>
      <c r="F44" s="95"/>
      <c r="G44" s="96"/>
      <c r="H44" s="99"/>
      <c r="I44" s="99"/>
      <c r="J44" s="99"/>
      <c r="K44" s="99"/>
      <c r="L44" s="99"/>
      <c r="M44" s="99"/>
      <c r="N44" s="99"/>
      <c r="O44" s="99"/>
      <c r="P44" s="99"/>
      <c r="Q44" s="99"/>
      <c r="R44" s="99"/>
      <c r="S44" s="99"/>
      <c r="T44" s="99"/>
      <c r="U44" s="99"/>
      <c r="V44" s="99"/>
      <c r="W44" s="99"/>
      <c r="X44" s="99"/>
      <c r="Y44" s="99"/>
      <c r="Z44" s="99"/>
    </row>
    <row r="45" spans="2:26" x14ac:dyDescent="0.25">
      <c r="B45" s="51">
        <f>ITE_LUC_Rates!A33</f>
        <v>420</v>
      </c>
      <c r="C45" s="11" t="str">
        <f>ITE_LUC_Rates!B33</f>
        <v>Marina</v>
      </c>
      <c r="D45" s="52" t="str">
        <f>ITE_LUC_Rates!C33</f>
        <v>Berth</v>
      </c>
      <c r="E45" s="112">
        <f>ITE_LUC_Rates!G33</f>
        <v>2.41</v>
      </c>
      <c r="F45" s="53" t="s">
        <v>73</v>
      </c>
      <c r="G45" s="91">
        <f>ITE_LUC_Rates!Q33</f>
        <v>3052.83</v>
      </c>
      <c r="H45" s="55">
        <f>+FEE_1_In!H42</f>
        <v>2099.5143620254426</v>
      </c>
      <c r="I45" s="55">
        <f>FEE_1_Out!$H42</f>
        <v>2041.9907887328486</v>
      </c>
      <c r="J45" s="55">
        <f>FEE_2_In!$H42</f>
        <v>2497.1742954488773</v>
      </c>
      <c r="K45" s="55">
        <f>IF(F45="Prod",FEE_ByContextArea_ByMode!AC45*AreaModeSharesandPMT!$X$11+FEE_ByContextArea_ByMode!AD45+FEE_ByContextArea_ByMode!AE45*AreaModeSharesandPMT!$Z$11,FEE_ByContextArea_ByMode!AC45*AreaModeSharesandPMT!$X$19+FEE_ByContextArea_ByMode!AD45+FEE_ByContextArea_ByMode!AE45*AreaModeSharesandPMT!$Z$19)</f>
        <v>2039.6215227308162</v>
      </c>
      <c r="L45" s="55">
        <f>FEE_2_Out!$H42</f>
        <v>2237.6063084564826</v>
      </c>
      <c r="M45" s="55">
        <f>FEE_3_In!$H42</f>
        <v>2483.994489872086</v>
      </c>
      <c r="N45" s="55">
        <f>IF(I45="Prod",FEE_ByContextArea_ByMode!AG45*AreaModeSharesandPMT!$X$12+FEE_ByContextArea_ByMode!AH45+FEE_ByContextArea_ByMode!AI45*AreaModeSharesandPMT!$Z$12,FEE_ByContextArea_ByMode!AG45*AreaModeSharesandPMT!$X$20+FEE_ByContextArea_ByMode!AH45+FEE_ByContextArea_ByMode!AI45*AreaModeSharesandPMT!$Z$20)</f>
        <v>2189.5234085340726</v>
      </c>
      <c r="O45" s="55">
        <f>FEE_3_Out!$H42</f>
        <v>2408.9140739193449</v>
      </c>
      <c r="P45" s="55">
        <f>FEE_4_In!$H42</f>
        <v>2331.7294334895469</v>
      </c>
      <c r="Q45" s="55">
        <f>IF(L45="Prod",FEE_ByContextArea_ByMode!AK45*AreaModeSharesandPMT!$X$13+FEE_ByContextArea_ByMode!AL45+FEE_ByContextArea_ByMode!AM45*AreaModeSharesandPMT!$Z$13,FEE_ByContextArea_ByMode!AK45*AreaModeSharesandPMT!$X$21+FEE_ByContextArea_ByMode!AL45+FEE_ByContextArea_ByMode!AM45*AreaModeSharesandPMT!$Z$21)</f>
        <v>2348.715684792789</v>
      </c>
      <c r="R45" s="55">
        <f>FEE_4_Out!$H42</f>
        <v>2584.6766439547941</v>
      </c>
      <c r="S45" s="120">
        <f t="shared" ref="S45:S53" si="18">IFERROR(H45/$G45-1,0)</f>
        <v>-0.31227275609010574</v>
      </c>
      <c r="T45" s="120">
        <f t="shared" ref="T45:T53" si="19">IFERROR(I45/$G45-1,0)</f>
        <v>-0.33111546049637597</v>
      </c>
      <c r="U45" s="120">
        <f t="shared" ref="U45:U53" si="20">IFERROR(L45/$G45-1,0)</f>
        <v>-0.26703867937078629</v>
      </c>
      <c r="V45" s="120">
        <f t="shared" ref="V45:V53" si="21">IFERROR(J45/$G45-1,0)</f>
        <v>-0.18201331372894092</v>
      </c>
      <c r="W45" s="120">
        <f t="shared" ref="W45:W53" si="22">IFERROR(O45/$G45-1,0)</f>
        <v>-0.21092426570777112</v>
      </c>
      <c r="X45" s="120">
        <f t="shared" ref="X45:X53" si="23">IFERROR(M45/$G45-1,0)</f>
        <v>-0.18633055562475276</v>
      </c>
      <c r="Y45" s="120">
        <f t="shared" ref="Y45:Y53" si="24">IFERROR(R45/$G45-1,0)</f>
        <v>-0.15335061436280628</v>
      </c>
      <c r="Z45" s="120">
        <f t="shared" ref="Z45:Z53" si="25">IFERROR(P45/$G45-1,0)</f>
        <v>-0.23620724590313025</v>
      </c>
    </row>
    <row r="46" spans="2:26" x14ac:dyDescent="0.25">
      <c r="B46" s="51">
        <f>ITE_LUC_Rates!A34</f>
        <v>430</v>
      </c>
      <c r="C46" s="11" t="str">
        <f>ITE_LUC_Rates!B34</f>
        <v>Golf Course</v>
      </c>
      <c r="D46" s="52" t="str">
        <f>ITE_LUC_Rates!C34</f>
        <v>Hole</v>
      </c>
      <c r="E46" s="112">
        <f>ITE_LUC_Rates!G34</f>
        <v>30.38</v>
      </c>
      <c r="F46" s="53" t="s">
        <v>73</v>
      </c>
      <c r="G46" s="91">
        <f>ITE_LUC_Rates!Q34</f>
        <v>36869.440000000002</v>
      </c>
      <c r="H46" s="55">
        <f>+FEE_1_In!H43</f>
        <v>17893.255824381751</v>
      </c>
      <c r="I46" s="55">
        <f>FEE_1_Out!$H43</f>
        <v>17403.007207142477</v>
      </c>
      <c r="J46" s="55">
        <f>FEE_2_In!$H43</f>
        <v>21282.340009063264</v>
      </c>
      <c r="K46" s="55">
        <f>IF(F46="Prod",FEE_ByContextArea_ByMode!AC46*AreaModeSharesandPMT!$X$11+FEE_ByContextArea_ByMode!AD46+FEE_ByContextArea_ByMode!AE46*AreaModeSharesandPMT!$Z$11,FEE_ByContextArea_ByMode!AC46*AreaModeSharesandPMT!$X$19+FEE_ByContextArea_ByMode!AD46+FEE_ByContextArea_ByMode!AE46*AreaModeSharesandPMT!$Z$19)</f>
        <v>17382.814974378001</v>
      </c>
      <c r="L46" s="55">
        <f>FEE_2_Out!$H43</f>
        <v>19070.153953525132</v>
      </c>
      <c r="M46" s="55">
        <f>FEE_3_In!$H43</f>
        <v>21170.014207836721</v>
      </c>
      <c r="N46" s="55">
        <f>IF(I46="Prod",FEE_ByContextArea_ByMode!AG46*AreaModeSharesandPMT!$X$12+FEE_ByContextArea_ByMode!AH46+FEE_ByContextArea_ByMode!AI46*AreaModeSharesandPMT!$Z$12,FEE_ByContextArea_ByMode!AG46*AreaModeSharesandPMT!$X$20+FEE_ByContextArea_ByMode!AH46+FEE_ByContextArea_ByMode!AI46*AreaModeSharesandPMT!$Z$20)</f>
        <v>18660.364125624259</v>
      </c>
      <c r="O46" s="55">
        <f>FEE_3_Out!$H43</f>
        <v>20530.136189213717</v>
      </c>
      <c r="P46" s="55">
        <f>FEE_4_In!$H43</f>
        <v>19872.324772486401</v>
      </c>
      <c r="Q46" s="55">
        <f>IF(L46="Prod",FEE_ByContextArea_ByMode!AK46*AreaModeSharesandPMT!$X$13+FEE_ByContextArea_ByMode!AL46+FEE_ByContextArea_ByMode!AM46*AreaModeSharesandPMT!$Z$13,FEE_ByContextArea_ByMode!AK46*AreaModeSharesandPMT!$X$21+FEE_ByContextArea_ByMode!AL46+FEE_ByContextArea_ByMode!AM46*AreaModeSharesandPMT!$Z$21)</f>
        <v>20017.091269712422</v>
      </c>
      <c r="R46" s="55">
        <f>FEE_4_Out!$H43</f>
        <v>22028.084803845286</v>
      </c>
      <c r="S46" s="120">
        <f t="shared" si="18"/>
        <v>-0.51468598860243742</v>
      </c>
      <c r="T46" s="120">
        <f t="shared" si="19"/>
        <v>-0.52798287125753807</v>
      </c>
      <c r="U46" s="120">
        <f t="shared" si="20"/>
        <v>-0.48276529414265223</v>
      </c>
      <c r="V46" s="120">
        <f t="shared" si="21"/>
        <v>-0.42276476103072724</v>
      </c>
      <c r="W46" s="120">
        <f t="shared" si="22"/>
        <v>-0.4431665848677464</v>
      </c>
      <c r="X46" s="120">
        <f t="shared" si="23"/>
        <v>-0.42581134381653962</v>
      </c>
      <c r="Y46" s="120">
        <f t="shared" si="24"/>
        <v>-0.40253812361008778</v>
      </c>
      <c r="Z46" s="120">
        <f t="shared" si="25"/>
        <v>-0.46100822869871638</v>
      </c>
    </row>
    <row r="47" spans="2:26" x14ac:dyDescent="0.25">
      <c r="B47" s="51">
        <f>ITE_LUC_Rates!A35</f>
        <v>444</v>
      </c>
      <c r="C47" s="11" t="str">
        <f>ITE_LUC_Rates!B35</f>
        <v>Movie Theater</v>
      </c>
      <c r="D47" s="52" t="str">
        <f>ITE_LUC_Rates!C35</f>
        <v>1000 GSF</v>
      </c>
      <c r="E47" s="112">
        <f>ITE_LUC_Rates!G35</f>
        <v>78.09</v>
      </c>
      <c r="F47" s="53" t="s">
        <v>73</v>
      </c>
      <c r="G47" s="91">
        <f>ITE_LUC_Rates!Q35</f>
        <v>0</v>
      </c>
      <c r="H47" s="55">
        <f>+FEE_1_In!H44</f>
        <v>21216.058445166451</v>
      </c>
      <c r="I47" s="91">
        <f>FEE_1_Out!$H44</f>
        <v>20634.769974354025</v>
      </c>
      <c r="J47" s="91">
        <f>FEE_2_In!$H44</f>
        <v>25234.50030077418</v>
      </c>
      <c r="K47" s="55">
        <f>IF(F47="Prod",FEE_ByContextArea_ByMode!AC47*AreaModeSharesandPMT!$X$11+FEE_ByContextArea_ByMode!AD47+FEE_ByContextArea_ByMode!AE47*AreaModeSharesandPMT!$Z$11,FEE_ByContextArea_ByMode!AC47*AreaModeSharesandPMT!$X$19+FEE_ByContextArea_ByMode!AD47+FEE_ByContextArea_ByMode!AE47*AreaModeSharesandPMT!$Z$19)</f>
        <v>20610.82801573709</v>
      </c>
      <c r="L47" s="91">
        <f>FEE_2_Out!$H44</f>
        <v>22611.508202157547</v>
      </c>
      <c r="M47" s="91">
        <f>FEE_3_In!$H44</f>
        <v>25101.315441232004</v>
      </c>
      <c r="N47" s="55">
        <f>IF(I47="Prod",FEE_ByContextArea_ByMode!AG47*AreaModeSharesandPMT!$X$12+FEE_ByContextArea_ByMode!AH47+FEE_ByContextArea_ByMode!AI47*AreaModeSharesandPMT!$Z$12,FEE_ByContextArea_ByMode!AG47*AreaModeSharesandPMT!$X$20+FEE_ByContextArea_ByMode!AH47+FEE_ByContextArea_ByMode!AI47*AreaModeSharesandPMT!$Z$20)</f>
        <v>22125.619830342457</v>
      </c>
      <c r="O47" s="91">
        <f>FEE_3_Out!$H44</f>
        <v>24342.611180021777</v>
      </c>
      <c r="P47" s="91">
        <f>FEE_4_In!$H44</f>
        <v>23562.643263608974</v>
      </c>
      <c r="Q47" s="55">
        <f>IF(L47="Prod",FEE_ByContextArea_ByMode!AK47*AreaModeSharesandPMT!$X$13+FEE_ByContextArea_ByMode!AL47+FEE_ByContextArea_ByMode!AM47*AreaModeSharesandPMT!$Z$13,FEE_ByContextArea_ByMode!AK47*AreaModeSharesandPMT!$X$21+FEE_ByContextArea_ByMode!AL47+FEE_ByContextArea_ByMode!AM47*AreaModeSharesandPMT!$Z$21)</f>
        <v>23734.293101748779</v>
      </c>
      <c r="R47" s="91">
        <f>FEE_4_Out!$H44</f>
        <v>26118.730946474494</v>
      </c>
      <c r="S47" s="120">
        <f t="shared" si="18"/>
        <v>0</v>
      </c>
      <c r="T47" s="120">
        <f t="shared" si="19"/>
        <v>0</v>
      </c>
      <c r="U47" s="120">
        <f t="shared" si="20"/>
        <v>0</v>
      </c>
      <c r="V47" s="120">
        <f t="shared" si="21"/>
        <v>0</v>
      </c>
      <c r="W47" s="120">
        <f t="shared" si="22"/>
        <v>0</v>
      </c>
      <c r="X47" s="120">
        <f t="shared" si="23"/>
        <v>0</v>
      </c>
      <c r="Y47" s="120">
        <f t="shared" si="24"/>
        <v>0</v>
      </c>
      <c r="Z47" s="120">
        <f t="shared" si="25"/>
        <v>0</v>
      </c>
    </row>
    <row r="48" spans="2:26" x14ac:dyDescent="0.25">
      <c r="B48" s="51">
        <f>ITE_LUC_Rates!A36</f>
        <v>444</v>
      </c>
      <c r="C48" s="11" t="str">
        <f>ITE_LUC_Rates!B36</f>
        <v>Movie Theater</v>
      </c>
      <c r="D48" s="52" t="str">
        <f>ITE_LUC_Rates!C36</f>
        <v>Screens</v>
      </c>
      <c r="E48" s="112">
        <f>ITE_LUC_Rates!G36</f>
        <v>220</v>
      </c>
      <c r="F48" s="53" t="s">
        <v>73</v>
      </c>
      <c r="G48" s="91">
        <f>ITE_LUC_Rates!Q36</f>
        <v>0</v>
      </c>
      <c r="H48" s="55">
        <f>+FEE_1_In!H45</f>
        <v>59771.198078327812</v>
      </c>
      <c r="I48" s="202">
        <f>FEE_1_Out!$H45</f>
        <v>58133.556080905182</v>
      </c>
      <c r="J48" s="202">
        <f>FEE_2_In!$H45</f>
        <v>71092.202153544858</v>
      </c>
      <c r="K48" s="55">
        <f>IF(F48="Prod",FEE_ByContextArea_ByMode!AC48*AreaModeSharesandPMT!$X$11+FEE_ByContextArea_ByMode!AD48+FEE_ByContextArea_ByMode!AE48*AreaModeSharesandPMT!$Z$11,FEE_ByContextArea_ByMode!AC48*AreaModeSharesandPMT!$X$19+FEE_ByContextArea_ByMode!AD48+FEE_ByContextArea_ByMode!AE48*AreaModeSharesandPMT!$Z$19)</f>
        <v>58066.10530749341</v>
      </c>
      <c r="L48" s="202">
        <f>FEE_2_Out!$H45</f>
        <v>63702.545837810998</v>
      </c>
      <c r="M48" s="202">
        <f>FEE_3_In!$H45</f>
        <v>70716.985492009742</v>
      </c>
      <c r="N48" s="55">
        <f>IF(I48="Prod",FEE_ByContextArea_ByMode!AG48*AreaModeSharesandPMT!$X$12+FEE_ByContextArea_ByMode!AH48+FEE_ByContextArea_ByMode!AI48*AreaModeSharesandPMT!$Z$12,FEE_ByContextArea_ByMode!AG48*AreaModeSharesandPMT!$X$20+FEE_ByContextArea_ByMode!AH48+FEE_ByContextArea_ByMode!AI48*AreaModeSharesandPMT!$Z$20)</f>
        <v>62333.670926819585</v>
      </c>
      <c r="O48" s="202">
        <f>FEE_3_Out!$H45</f>
        <v>68579.516706425828</v>
      </c>
      <c r="P48" s="202">
        <f>FEE_4_In!$H45</f>
        <v>66382.142630221177</v>
      </c>
      <c r="Q48" s="55">
        <f>IF(L48="Prod",FEE_ByContextArea_ByMode!AK48*AreaModeSharesandPMT!$X$13+FEE_ByContextArea_ByMode!AL48+FEE_ByContextArea_ByMode!AM48*AreaModeSharesandPMT!$Z$13,FEE_ByContextArea_ByMode!AK48*AreaModeSharesandPMT!$X$21+FEE_ByContextArea_ByMode!AL48+FEE_ByContextArea_ByMode!AM48*AreaModeSharesandPMT!$Z$21)</f>
        <v>66865.725219422849</v>
      </c>
      <c r="R48" s="202">
        <f>FEE_4_Out!$H45</f>
        <v>73583.311668899827</v>
      </c>
      <c r="S48" s="120">
        <f t="shared" si="18"/>
        <v>0</v>
      </c>
      <c r="T48" s="120">
        <f t="shared" si="19"/>
        <v>0</v>
      </c>
      <c r="U48" s="120">
        <f t="shared" si="20"/>
        <v>0</v>
      </c>
      <c r="V48" s="120">
        <f t="shared" si="21"/>
        <v>0</v>
      </c>
      <c r="W48" s="120">
        <f t="shared" si="22"/>
        <v>0</v>
      </c>
      <c r="X48" s="120">
        <f t="shared" si="23"/>
        <v>0</v>
      </c>
      <c r="Y48" s="120">
        <f t="shared" si="24"/>
        <v>0</v>
      </c>
      <c r="Z48" s="120">
        <f t="shared" si="25"/>
        <v>0</v>
      </c>
    </row>
    <row r="49" spans="2:26" x14ac:dyDescent="0.25">
      <c r="B49" s="51">
        <f>ITE_LUC_Rates!A37</f>
        <v>480</v>
      </c>
      <c r="C49" s="11" t="str">
        <f>ITE_LUC_Rates!B37</f>
        <v>Amusement Park</v>
      </c>
      <c r="D49" s="52" t="str">
        <f>ITE_LUC_Rates!C37</f>
        <v>Acre</v>
      </c>
      <c r="E49" s="112">
        <f>ITE_LUC_Rates!G37</f>
        <v>53.41</v>
      </c>
      <c r="F49" s="53" t="s">
        <v>73</v>
      </c>
      <c r="G49" s="91">
        <f>ITE_LUC_Rates!Q37</f>
        <v>78154.13</v>
      </c>
      <c r="H49" s="55">
        <f>+FEE_1_In!H46</f>
        <v>31457.498142864686</v>
      </c>
      <c r="I49" s="91">
        <f>FEE_1_Out!$H46</f>
        <v>30595.609444815003</v>
      </c>
      <c r="J49" s="91">
        <f>FEE_2_In!$H46</f>
        <v>37415.726790127352</v>
      </c>
      <c r="K49" s="55">
        <f>IF(F49="Prod",FEE_ByContextArea_ByMode!AC49*AreaModeSharesandPMT!$X$11+FEE_ByContextArea_ByMode!AD49+FEE_ByContextArea_ByMode!AE49*AreaModeSharesandPMT!$Z$11,FEE_ByContextArea_ByMode!AC49*AreaModeSharesandPMT!$X$19+FEE_ByContextArea_ByMode!AD49+FEE_ByContextArea_ByMode!AE49*AreaModeSharesandPMT!$Z$19)</f>
        <v>30560.110196890364</v>
      </c>
      <c r="L49" s="91">
        <f>FEE_2_Out!$H46</f>
        <v>33526.560982810319</v>
      </c>
      <c r="M49" s="91">
        <f>FEE_3_In!$H46</f>
        <v>37218.250784745207</v>
      </c>
      <c r="N49" s="55">
        <f>IF(I49="Prod",FEE_ByContextArea_ByMode!AG49*AreaModeSharesandPMT!$X$12+FEE_ByContextArea_ByMode!AH49+FEE_ByContextArea_ByMode!AI49*AreaModeSharesandPMT!$Z$12,FEE_ByContextArea_ByMode!AG49*AreaModeSharesandPMT!$X$20+FEE_ByContextArea_ByMode!AH49+FEE_ByContextArea_ByMode!AI49*AreaModeSharesandPMT!$Z$20)</f>
        <v>32806.12402730716</v>
      </c>
      <c r="O49" s="91">
        <f>FEE_3_Out!$H46</f>
        <v>36093.30394555314</v>
      </c>
      <c r="P49" s="91">
        <f>FEE_4_In!$H46</f>
        <v>34936.82903550029</v>
      </c>
      <c r="Q49" s="55">
        <f>IF(L49="Prod",FEE_ByContextArea_ByMode!AK49*AreaModeSharesandPMT!$X$13+FEE_ByContextArea_ByMode!AL49+FEE_ByContextArea_ByMode!AM49*AreaModeSharesandPMT!$Z$13,FEE_ByContextArea_ByMode!AK49*AreaModeSharesandPMT!$X$21+FEE_ByContextArea_ByMode!AL49+FEE_ByContextArea_ByMode!AM49*AreaModeSharesandPMT!$Z$21)</f>
        <v>35191.337877397644</v>
      </c>
      <c r="R49" s="91">
        <f>FEE_4_Out!$H46</f>
        <v>38726.794251921543</v>
      </c>
      <c r="S49" s="122">
        <f t="shared" si="18"/>
        <v>-0.59749410372983891</v>
      </c>
      <c r="T49" s="120">
        <f t="shared" si="19"/>
        <v>-0.60852216709705553</v>
      </c>
      <c r="U49" s="120">
        <f t="shared" si="20"/>
        <v>-0.571019970629699</v>
      </c>
      <c r="V49" s="120">
        <f t="shared" si="21"/>
        <v>-0.5212572030406154</v>
      </c>
      <c r="W49" s="120">
        <f t="shared" si="22"/>
        <v>-0.53817790633005402</v>
      </c>
      <c r="X49" s="120">
        <f t="shared" si="23"/>
        <v>-0.52378395377512099</v>
      </c>
      <c r="Y49" s="120">
        <f t="shared" si="24"/>
        <v>-0.50448179447558894</v>
      </c>
      <c r="Z49" s="120">
        <f t="shared" si="25"/>
        <v>-0.55297526777535255</v>
      </c>
    </row>
    <row r="50" spans="2:26" x14ac:dyDescent="0.25">
      <c r="B50" s="51">
        <f>ITE_LUC_Rates!A38</f>
        <v>490</v>
      </c>
      <c r="C50" s="11" t="str">
        <f>ITE_LUC_Rates!B38</f>
        <v>Tennis Courts</v>
      </c>
      <c r="D50" s="52" t="str">
        <f>ITE_LUC_Rates!C38</f>
        <v>Court</v>
      </c>
      <c r="E50" s="112">
        <f>ITE_LUC_Rates!G38</f>
        <v>30.32</v>
      </c>
      <c r="F50" s="53" t="s">
        <v>73</v>
      </c>
      <c r="G50" s="91">
        <f>ITE_LUC_Rates!Q38</f>
        <v>32020.234</v>
      </c>
      <c r="H50" s="55">
        <f>+FEE_1_In!H47</f>
        <v>17857.91693861931</v>
      </c>
      <c r="I50" s="91">
        <f>FEE_1_Out!$H47</f>
        <v>17368.636554330478</v>
      </c>
      <c r="J50" s="91">
        <f>FEE_2_In!$H47</f>
        <v>21240.307737814292</v>
      </c>
      <c r="K50" s="55">
        <f>IF(F50="Prod",FEE_ByContextArea_ByMode!AC50*AreaModeSharesandPMT!$X$11+FEE_ByContextArea_ByMode!AD50+FEE_ByContextArea_ByMode!AE50*AreaModeSharesandPMT!$Z$11,FEE_ByContextArea_ByMode!AC50*AreaModeSharesandPMT!$X$19+FEE_ByContextArea_ByMode!AD50+FEE_ByContextArea_ByMode!AE50*AreaModeSharesandPMT!$Z$19)</f>
        <v>17348.484200893385</v>
      </c>
      <c r="L50" s="91">
        <f>FEE_2_Out!$H47</f>
        <v>19032.490713327257</v>
      </c>
      <c r="M50" s="91">
        <f>FEE_3_In!$H47</f>
        <v>21128.203778196494</v>
      </c>
      <c r="N50" s="55">
        <f>IF(I50="Prod",FEE_ByContextArea_ByMode!AG50*AreaModeSharesandPMT!$X$12+FEE_ByContextArea_ByMode!AH50+FEE_ByContextArea_ByMode!AI50*AreaModeSharesandPMT!$Z$12,FEE_ByContextArea_ByMode!AG50*AreaModeSharesandPMT!$X$20+FEE_ByContextArea_ByMode!AH50+FEE_ByContextArea_ByMode!AI50*AreaModeSharesandPMT!$Z$20)</f>
        <v>18623.510213592079</v>
      </c>
      <c r="O50" s="91">
        <f>FEE_3_Out!$H47</f>
        <v>20489.589508129025</v>
      </c>
      <c r="P50" s="91">
        <f>FEE_4_In!$H47</f>
        <v>19833.077258123358</v>
      </c>
      <c r="Q50" s="55">
        <f>IF(L50="Prod",FEE_ByContextArea_ByMode!AK50*AreaModeSharesandPMT!$X$13+FEE_ByContextArea_ByMode!AL50+FEE_ByContextArea_ByMode!AM50*AreaModeSharesandPMT!$Z$13,FEE_ByContextArea_ByMode!AK50*AreaModeSharesandPMT!$X$21+FEE_ByContextArea_ByMode!AL50+FEE_ByContextArea_ByMode!AM50*AreaModeSharesandPMT!$Z$21)</f>
        <v>19977.557843899955</v>
      </c>
      <c r="R50" s="91">
        <f>FEE_4_Out!$H47</f>
        <v>21984.57969890023</v>
      </c>
      <c r="S50" s="122">
        <f t="shared" si="18"/>
        <v>-0.4422927409393913</v>
      </c>
      <c r="T50" s="120">
        <f t="shared" si="19"/>
        <v>-0.45757309099207466</v>
      </c>
      <c r="U50" s="120">
        <f t="shared" si="20"/>
        <v>-0.40561050511600705</v>
      </c>
      <c r="V50" s="120">
        <f t="shared" si="21"/>
        <v>-0.3366598214799339</v>
      </c>
      <c r="W50" s="120">
        <f t="shared" si="22"/>
        <v>-0.36010494151513617</v>
      </c>
      <c r="X50" s="120">
        <f t="shared" si="23"/>
        <v>-0.34016085646980299</v>
      </c>
      <c r="Y50" s="120">
        <f t="shared" si="24"/>
        <v>-0.31341602004219493</v>
      </c>
      <c r="Z50" s="120">
        <f t="shared" si="25"/>
        <v>-0.38060798499713155</v>
      </c>
    </row>
    <row r="51" spans="2:26" x14ac:dyDescent="0.25">
      <c r="B51" s="51">
        <f>ITE_LUC_Rates!A39</f>
        <v>491</v>
      </c>
      <c r="C51" s="11" t="str">
        <f>ITE_LUC_Rates!B39</f>
        <v>Racquet/Tennis Club</v>
      </c>
      <c r="D51" s="52" t="str">
        <f>ITE_LUC_Rates!C39</f>
        <v>Court</v>
      </c>
      <c r="E51" s="112"/>
      <c r="F51" s="53" t="s">
        <v>73</v>
      </c>
      <c r="G51" s="91">
        <f>ITE_LUC_Rates!Q39</f>
        <v>39922.269999999997</v>
      </c>
      <c r="H51" s="55">
        <f>+FEE_1_In!H48</f>
        <v>22793.581316773332</v>
      </c>
      <c r="I51" s="91">
        <f>FEE_1_Out!$H48</f>
        <v>22169.071063739764</v>
      </c>
      <c r="J51" s="91">
        <f>FEE_2_In!$H48</f>
        <v>27110.81495558751</v>
      </c>
      <c r="K51" s="55">
        <f>IF(F51="Prod",FEE_ByContextArea_ByMode!AC51*AreaModeSharesandPMT!$X$11+FEE_ByContextArea_ByMode!AD51+FEE_ByContextArea_ByMode!AE51*AreaModeSharesandPMT!$Z$11,FEE_ByContextArea_ByMode!AC51*AreaModeSharesandPMT!$X$19+FEE_ByContextArea_ByMode!AD51+FEE_ByContextArea_ByMode!AE51*AreaModeSharesandPMT!$Z$19)</f>
        <v>22143.3488975783</v>
      </c>
      <c r="L51" s="91">
        <f>FEE_2_Out!$H48</f>
        <v>24292.789927630769</v>
      </c>
      <c r="M51" s="91">
        <f>FEE_3_In!$H48</f>
        <v>26967.727117948692</v>
      </c>
      <c r="N51" s="55">
        <f>IF(I51="Prod",FEE_ByContextArea_ByMode!AG51*AreaModeSharesandPMT!$X$12+FEE_ByContextArea_ByMode!AH51+FEE_ByContextArea_ByMode!AI51*AreaModeSharesandPMT!$Z$12,FEE_ByContextArea_ByMode!AG51*AreaModeSharesandPMT!$X$20+FEE_ByContextArea_ByMode!AH51+FEE_ByContextArea_ByMode!AI51*AreaModeSharesandPMT!$Z$20)</f>
        <v>23770.77326075243</v>
      </c>
      <c r="O51" s="91">
        <f>FEE_3_Out!$H48</f>
        <v>26152.609299623797</v>
      </c>
      <c r="P51" s="91">
        <f>FEE_4_In!$H48</f>
        <v>25314.646764161414</v>
      </c>
      <c r="Q51" s="55">
        <f>IF(L51="Prod",FEE_ByContextArea_ByMode!AK51*AreaModeSharesandPMT!$X$13+FEE_ByContextArea_ByMode!AL51+FEE_ByContextArea_ByMode!AM51*AreaModeSharesandPMT!$Z$13,FEE_ByContextArea_ByMode!AK51*AreaModeSharesandPMT!$X$21+FEE_ByContextArea_ByMode!AL51+FEE_ByContextArea_ByMode!AM51*AreaModeSharesandPMT!$Z$21)</f>
        <v>25499.059649041177</v>
      </c>
      <c r="R51" s="91">
        <f>FEE_4_Out!$H48</f>
        <v>28060.792689559341</v>
      </c>
      <c r="S51" s="122">
        <f t="shared" si="18"/>
        <v>-0.42905097037885531</v>
      </c>
      <c r="T51" s="120">
        <f t="shared" si="19"/>
        <v>-0.44469412526542784</v>
      </c>
      <c r="U51" s="120">
        <f t="shared" si="20"/>
        <v>-0.39149777986996304</v>
      </c>
      <c r="V51" s="120">
        <f t="shared" si="21"/>
        <v>-0.32090998443757046</v>
      </c>
      <c r="W51" s="120">
        <f t="shared" si="22"/>
        <v>-0.34491176730121309</v>
      </c>
      <c r="X51" s="120">
        <f t="shared" si="23"/>
        <v>-0.32449414529913523</v>
      </c>
      <c r="Y51" s="120">
        <f t="shared" si="24"/>
        <v>-0.29711430012473383</v>
      </c>
      <c r="Z51" s="120">
        <f t="shared" si="25"/>
        <v>-0.36590161921750897</v>
      </c>
    </row>
    <row r="52" spans="2:26" x14ac:dyDescent="0.25">
      <c r="B52" s="51">
        <f>ITE_LUC_Rates!A40</f>
        <v>492</v>
      </c>
      <c r="C52" s="11" t="str">
        <f>ITE_LUC_Rates!B40</f>
        <v>Health/Fitness</v>
      </c>
      <c r="D52" s="52" t="str">
        <f>ITE_LUC_Rates!C40</f>
        <v>1000 GSF</v>
      </c>
      <c r="E52" s="112"/>
      <c r="F52" s="53" t="s">
        <v>73</v>
      </c>
      <c r="G52" s="91">
        <f>ITE_LUC_Rates!Q40</f>
        <v>4147.8</v>
      </c>
      <c r="H52" s="55">
        <f>+FEE_1_In!H49</f>
        <v>2225.6430253184244</v>
      </c>
      <c r="I52" s="91">
        <f>FEE_1_Out!$H49</f>
        <v>2164.6637140997364</v>
      </c>
      <c r="J52" s="91">
        <f>FEE_2_In!$H49</f>
        <v>2647.1924432603109</v>
      </c>
      <c r="K52" s="55">
        <f>IF(F52="Prod",FEE_ByContextArea_ByMode!AC52*AreaModeSharesandPMT!$X$11+FEE_ByContextArea_ByMode!AD52+FEE_ByContextArea_ByMode!AE52*AreaModeSharesandPMT!$Z$11,FEE_ByContextArea_ByMode!AC52*AreaModeSharesandPMT!$X$19+FEE_ByContextArea_ByMode!AD52+FEE_ByContextArea_ByMode!AE52*AreaModeSharesandPMT!$Z$19)</f>
        <v>2162.1521140612108</v>
      </c>
      <c r="L52" s="91">
        <f>FEE_2_Out!$H49</f>
        <v>2372.0308676623026</v>
      </c>
      <c r="M52" s="91">
        <f>FEE_3_In!$H49</f>
        <v>2633.2208587417185</v>
      </c>
      <c r="N52" s="55">
        <f>IF(I52="Prod",FEE_ByContextArea_ByMode!AG52*AreaModeSharesandPMT!$X$12+FEE_ByContextArea_ByMode!AH52+FEE_ByContextArea_ByMode!AI52*AreaModeSharesandPMT!$Z$12,FEE_ByContextArea_ByMode!AG52*AreaModeSharesandPMT!$X$20+FEE_ByContextArea_ByMode!AH52+FEE_ByContextArea_ByMode!AI52*AreaModeSharesandPMT!$Z$20)</f>
        <v>2321.0593797863376</v>
      </c>
      <c r="O52" s="91">
        <f>FEE_3_Out!$H49</f>
        <v>2553.6299747136532</v>
      </c>
      <c r="P52" s="91">
        <f>FEE_4_In!$H49</f>
        <v>2471.808454584319</v>
      </c>
      <c r="Q52" s="55">
        <f>IF(L52="Prod",FEE_ByContextArea_ByMode!AK52*AreaModeSharesandPMT!$X$13+FEE_ByContextArea_ByMode!AL52+FEE_ByContextArea_ByMode!AM52*AreaModeSharesandPMT!$Z$13,FEE_ByContextArea_ByMode!AK52*AreaModeSharesandPMT!$X$21+FEE_ByContextArea_ByMode!AL52+FEE_ByContextArea_ByMode!AM52*AreaModeSharesandPMT!$Z$21)</f>
        <v>2489.8151576691671</v>
      </c>
      <c r="R52" s="91">
        <f>FEE_4_Out!$H49</f>
        <v>2739.9515094394519</v>
      </c>
      <c r="S52" s="122">
        <f t="shared" si="18"/>
        <v>-0.46341602166969853</v>
      </c>
      <c r="T52" s="120">
        <f t="shared" si="19"/>
        <v>-0.47811762522307333</v>
      </c>
      <c r="U52" s="120">
        <f t="shared" si="20"/>
        <v>-0.42812313330866902</v>
      </c>
      <c r="V52" s="120">
        <f t="shared" si="21"/>
        <v>-0.36178397144020669</v>
      </c>
      <c r="W52" s="120">
        <f t="shared" si="22"/>
        <v>-0.38434110258121101</v>
      </c>
      <c r="X52" s="120">
        <f t="shared" si="23"/>
        <v>-0.3651524039872418</v>
      </c>
      <c r="Y52" s="120">
        <f t="shared" si="24"/>
        <v>-0.33942053391208549</v>
      </c>
      <c r="Z52" s="120">
        <f t="shared" si="25"/>
        <v>-0.40406758894249506</v>
      </c>
    </row>
    <row r="53" spans="2:26" x14ac:dyDescent="0.25">
      <c r="B53" s="51">
        <f>ITE_LUC_Rates!A41</f>
        <v>495</v>
      </c>
      <c r="C53" s="11" t="str">
        <f>ITE_LUC_Rates!B41</f>
        <v>Recreational Community Center</v>
      </c>
      <c r="D53" s="52" t="str">
        <f>ITE_LUC_Rates!C41</f>
        <v>1000 GSF</v>
      </c>
      <c r="E53" s="112">
        <f>ITE_LUC_Rates!G41</f>
        <v>28.82</v>
      </c>
      <c r="F53" s="53" t="s">
        <v>73</v>
      </c>
      <c r="G53" s="91">
        <f>ITE_LUC_Rates!Q41</f>
        <v>0</v>
      </c>
      <c r="H53" s="55">
        <f>+FEE_1_In!H50</f>
        <v>16974.444794558323</v>
      </c>
      <c r="I53" s="91">
        <f>FEE_1_Out!$H50</f>
        <v>16509.370234030488</v>
      </c>
      <c r="J53" s="91">
        <f>FEE_2_In!$H50</f>
        <v>20189.500956589971</v>
      </c>
      <c r="K53" s="55">
        <f>IF(F53="Prod",FEE_ByContextArea_ByMode!AC53*AreaModeSharesandPMT!$X$11+FEE_ByContextArea_ByMode!AD53+FEE_ByContextArea_ByMode!AE53*AreaModeSharesandPMT!$Z$11,FEE_ByContextArea_ByMode!AC53*AreaModeSharesandPMT!$X$19+FEE_ByContextArea_ByMode!AD53+FEE_ByContextArea_ByMode!AE53*AreaModeSharesandPMT!$Z$19)</f>
        <v>16490.214863777946</v>
      </c>
      <c r="L53" s="91">
        <f>FEE_2_Out!$H50</f>
        <v>18090.909708380328</v>
      </c>
      <c r="M53" s="91">
        <f>FEE_3_In!$H50</f>
        <v>20082.943037190729</v>
      </c>
      <c r="N53" s="55">
        <f>IF(I53="Prod",FEE_ByContextArea_ByMode!AG53*AreaModeSharesandPMT!$X$12+FEE_ByContextArea_ByMode!AH53+FEE_ByContextArea_ByMode!AI53*AreaModeSharesandPMT!$Z$12,FEE_ByContextArea_ByMode!AG53*AreaModeSharesandPMT!$X$20+FEE_ByContextArea_ByMode!AH53+FEE_ByContextArea_ByMode!AI53*AreaModeSharesandPMT!$Z$20)</f>
        <v>17702.162412787726</v>
      </c>
      <c r="O53" s="91">
        <f>FEE_3_Out!$H50</f>
        <v>19475.922481011825</v>
      </c>
      <c r="P53" s="91">
        <f>FEE_4_In!$H50</f>
        <v>18851.889399047337</v>
      </c>
      <c r="Q53" s="55">
        <f>IF(L53="Prod",FEE_ByContextArea_ByMode!AK53*AreaModeSharesandPMT!$X$13+FEE_ByContextArea_ByMode!AL53+FEE_ByContextArea_ByMode!AM53*AreaModeSharesandPMT!$Z$13,FEE_ByContextArea_ByMode!AK53*AreaModeSharesandPMT!$X$21+FEE_ByContextArea_ByMode!AL53+FEE_ByContextArea_ByMode!AM53*AreaModeSharesandPMT!$Z$21)</f>
        <v>18989.222198588275</v>
      </c>
      <c r="R53" s="91">
        <f>FEE_4_Out!$H50</f>
        <v>20896.952075273897</v>
      </c>
      <c r="S53" s="122">
        <f t="shared" si="18"/>
        <v>0</v>
      </c>
      <c r="T53" s="120">
        <f t="shared" si="19"/>
        <v>0</v>
      </c>
      <c r="U53" s="120">
        <f t="shared" si="20"/>
        <v>0</v>
      </c>
      <c r="V53" s="120">
        <f t="shared" si="21"/>
        <v>0</v>
      </c>
      <c r="W53" s="120">
        <f t="shared" si="22"/>
        <v>0</v>
      </c>
      <c r="X53" s="120">
        <f t="shared" si="23"/>
        <v>0</v>
      </c>
      <c r="Y53" s="120">
        <f t="shared" si="24"/>
        <v>0</v>
      </c>
      <c r="Z53" s="120">
        <f t="shared" si="25"/>
        <v>0</v>
      </c>
    </row>
    <row r="54" spans="2:26" x14ac:dyDescent="0.25">
      <c r="B54" s="92" t="str">
        <f>ITE_LUC_Rates!A42</f>
        <v>Institutional</v>
      </c>
      <c r="C54" s="93"/>
      <c r="D54" s="94"/>
      <c r="E54" s="113"/>
      <c r="F54" s="95"/>
      <c r="G54" s="96"/>
      <c r="H54" s="99"/>
      <c r="I54" s="99"/>
      <c r="J54" s="99"/>
      <c r="K54" s="99"/>
      <c r="L54" s="99"/>
      <c r="M54" s="99"/>
      <c r="N54" s="99"/>
      <c r="O54" s="99"/>
      <c r="P54" s="99"/>
      <c r="Q54" s="99"/>
      <c r="R54" s="99"/>
      <c r="S54" s="98"/>
      <c r="T54" s="98"/>
      <c r="U54" s="98"/>
      <c r="V54" s="98"/>
      <c r="W54" s="98"/>
      <c r="X54" s="98"/>
      <c r="Y54" s="98"/>
      <c r="Z54" s="98"/>
    </row>
    <row r="55" spans="2:26" x14ac:dyDescent="0.25">
      <c r="B55" s="51">
        <f>ITE_LUC_Rates!A43</f>
        <v>520</v>
      </c>
      <c r="C55" s="11" t="str">
        <f>ITE_LUC_Rates!B43</f>
        <v>Elementary School (30 FT/St)</v>
      </c>
      <c r="D55" s="52" t="str">
        <f>ITE_LUC_Rates!C43</f>
        <v>Student</v>
      </c>
      <c r="E55" s="112">
        <f>ITE_LUC_Rates!G43</f>
        <v>1.89</v>
      </c>
      <c r="F55" s="53" t="s">
        <v>73</v>
      </c>
      <c r="G55" s="91">
        <f>ITE_LUC_Rates!Q43</f>
        <v>198.476</v>
      </c>
      <c r="H55" s="55">
        <f>+FEE_1_In!H52</f>
        <v>812.79525837607173</v>
      </c>
      <c r="I55" s="91">
        <f>FEE_1_Out!$H52</f>
        <v>790.52587624526154</v>
      </c>
      <c r="J55" s="91">
        <f>FEE_2_In!$H52</f>
        <v>966.7432923494614</v>
      </c>
      <c r="K55" s="55">
        <f>IF(F55="Prod",FEE_ByContextArea_ByMode!AC55*AreaModeSharesandPMT!$X$11+FEE_ByContextArea_ByMode!AD55+FEE_ByContextArea_ByMode!AE55*AreaModeSharesandPMT!$Z$11,FEE_ByContextArea_ByMode!AC55*AreaModeSharesandPMT!$X$19+FEE_ByContextArea_ByMode!AD55+FEE_ByContextArea_ByMode!AE55*AreaModeSharesandPMT!$Z$19)</f>
        <v>789.60865071581782</v>
      </c>
      <c r="L55" s="91">
        <f>FEE_2_Out!$H52</f>
        <v>866.25546865574381</v>
      </c>
      <c r="M55" s="91">
        <f>FEE_3_In!$H52</f>
        <v>961.64092978748329</v>
      </c>
      <c r="N55" s="55">
        <f>IF(I55="Prod",FEE_ByContextArea_ByMode!AG55*AreaModeSharesandPMT!$X$12+FEE_ByContextArea_ByMode!AH55+FEE_ByContextArea_ByMode!AI55*AreaModeSharesandPMT!$Z$12,FEE_ByContextArea_ByMode!AG55*AreaModeSharesandPMT!$X$20+FEE_ByContextArea_ByMode!AH55+FEE_ByContextArea_ByMode!AI55*AreaModeSharesandPMT!$Z$20)</f>
        <v>847.64090055714655</v>
      </c>
      <c r="O55" s="91">
        <f>FEE_3_Out!$H52</f>
        <v>932.57468133161706</v>
      </c>
      <c r="P55" s="91">
        <f>FEE_4_In!$H52</f>
        <v>902.69381416751685</v>
      </c>
      <c r="Q55" s="55">
        <f>IF(L55="Prod",FEE_ByContextArea_ByMode!AK55*AreaModeSharesandPMT!$X$13+FEE_ByContextArea_ByMode!AL55+FEE_ByContextArea_ByMode!AM55*AreaModeSharesandPMT!$Z$13,FEE_ByContextArea_ByMode!AK55*AreaModeSharesandPMT!$X$21+FEE_ByContextArea_ByMode!AL55+FEE_ByContextArea_ByMode!AM55*AreaModeSharesandPMT!$Z$21)</f>
        <v>909.26978467125787</v>
      </c>
      <c r="R55" s="91">
        <f>FEE_4_Out!$H52</f>
        <v>1000.6185042788369</v>
      </c>
      <c r="S55" s="122">
        <f>IFERROR(H55/$G55-1,0)</f>
        <v>3.0951815754855589</v>
      </c>
      <c r="T55" s="120">
        <f t="shared" ref="T55:T63" si="26">IFERROR(I55/$G55-1,0)</f>
        <v>2.9829796864369573</v>
      </c>
      <c r="U55" s="120">
        <f t="shared" ref="U55:U63" si="27">IFERROR(L55/$G55-1,0)</f>
        <v>3.3645351007464068</v>
      </c>
      <c r="V55" s="120">
        <f t="shared" ref="V55:V63" si="28">IFERROR(J55/$G55-1,0)</f>
        <v>3.8708322031351976</v>
      </c>
      <c r="W55" s="120">
        <f t="shared" ref="W55:W63" si="29">IFERROR(O55/$G55-1,0)</f>
        <v>3.6986773278966583</v>
      </c>
      <c r="X55" s="120">
        <f t="shared" ref="X55:X63" si="30">IFERROR(M55/$G55-1,0)</f>
        <v>3.8451244976091985</v>
      </c>
      <c r="Y55" s="120">
        <f t="shared" ref="Y55:Y63" si="31">IFERROR(R55/$G55-1,0)</f>
        <v>4.0415088185918542</v>
      </c>
      <c r="Z55" s="120">
        <f t="shared" ref="Z55:Z63" si="32">IFERROR(P55/$G55-1,0)</f>
        <v>3.5481257893524498</v>
      </c>
    </row>
    <row r="56" spans="2:26" x14ac:dyDescent="0.25">
      <c r="B56" s="51">
        <f>ITE_LUC_Rates!A44</f>
        <v>530</v>
      </c>
      <c r="C56" s="11" t="str">
        <f>ITE_LUC_Rates!B44</f>
        <v>High School (25 SF/St)</v>
      </c>
      <c r="D56" s="52" t="str">
        <f>ITE_LUC_Rates!C44</f>
        <v>Student</v>
      </c>
      <c r="E56" s="112">
        <f>ITE_LUC_Rates!G44</f>
        <v>2.0299999999999998</v>
      </c>
      <c r="F56" s="53" t="s">
        <v>73</v>
      </c>
      <c r="G56" s="91">
        <f>ITE_LUC_Rates!Q44</f>
        <v>1120.212</v>
      </c>
      <c r="H56" s="55">
        <f>+FEE_1_In!H53</f>
        <v>873.00231455207722</v>
      </c>
      <c r="I56" s="91">
        <f>FEE_1_Out!$H53</f>
        <v>849.08334855972532</v>
      </c>
      <c r="J56" s="91">
        <f>FEE_2_In!$H53</f>
        <v>1038.3539065975697</v>
      </c>
      <c r="K56" s="55">
        <f>IF(F56="Prod",FEE_ByContextArea_ByMode!AC56*AreaModeSharesandPMT!$X$11+FEE_ByContextArea_ByMode!AD56+FEE_ByContextArea_ByMode!AE56*AreaModeSharesandPMT!$Z$11,FEE_ByContextArea_ByMode!AC56*AreaModeSharesandPMT!$X$19+FEE_ByContextArea_ByMode!AD56+FEE_ByContextArea_ByMode!AE56*AreaModeSharesandPMT!$Z$19)</f>
        <v>848.09818039847096</v>
      </c>
      <c r="L56" s="91">
        <f>FEE_2_Out!$H53</f>
        <v>930.42254040802118</v>
      </c>
      <c r="M56" s="91">
        <f>FEE_3_In!$H53</f>
        <v>1032.8735912532225</v>
      </c>
      <c r="N56" s="55">
        <f>IF(I56="Prod",FEE_ByContextArea_ByMode!AG56*AreaModeSharesandPMT!$X$12+FEE_ByContextArea_ByMode!AH56+FEE_ByContextArea_ByMode!AI56*AreaModeSharesandPMT!$Z$12,FEE_ByContextArea_ByMode!AG56*AreaModeSharesandPMT!$X$20+FEE_ByContextArea_ByMode!AH56+FEE_ByContextArea_ByMode!AI56*AreaModeSharesandPMT!$Z$20)</f>
        <v>910.42911541323122</v>
      </c>
      <c r="O56" s="91">
        <f>FEE_3_Out!$H53</f>
        <v>1001.6542873561809</v>
      </c>
      <c r="P56" s="91">
        <f>FEE_4_In!$H53</f>
        <v>969.56002262437005</v>
      </c>
      <c r="Q56" s="55">
        <f>IF(L56="Prod",FEE_ByContextArea_ByMode!AK56*AreaModeSharesandPMT!$X$13+FEE_ByContextArea_ByMode!AL56+FEE_ByContextArea_ByMode!AM56*AreaModeSharesandPMT!$Z$13,FEE_ByContextArea_ByMode!AK56*AreaModeSharesandPMT!$X$21+FEE_ByContextArea_ByMode!AL56+FEE_ByContextArea_ByMode!AM56*AreaModeSharesandPMT!$Z$21)</f>
        <v>976.62310205431379</v>
      </c>
      <c r="R56" s="91">
        <f>FEE_4_Out!$H53</f>
        <v>1074.7383934846766</v>
      </c>
      <c r="S56" s="122">
        <f t="shared" ref="S56:S63" si="33">IFERROR(H56/$G56-1,0)</f>
        <v>-0.22068116164433405</v>
      </c>
      <c r="T56" s="120">
        <f t="shared" si="26"/>
        <v>-0.24203333961810325</v>
      </c>
      <c r="U56" s="120">
        <f t="shared" si="27"/>
        <v>-0.16942280531897425</v>
      </c>
      <c r="V56" s="120">
        <f t="shared" si="28"/>
        <v>-7.3073751577764079E-2</v>
      </c>
      <c r="W56" s="120">
        <f t="shared" si="29"/>
        <v>-0.10583506750848859</v>
      </c>
      <c r="X56" s="120">
        <f t="shared" si="30"/>
        <v>-7.796596425210367E-2</v>
      </c>
      <c r="Y56" s="120">
        <f t="shared" si="31"/>
        <v>-4.0593750571609077E-2</v>
      </c>
      <c r="Z56" s="120">
        <f t="shared" si="32"/>
        <v>-0.13448523795105738</v>
      </c>
    </row>
    <row r="57" spans="2:26" x14ac:dyDescent="0.25">
      <c r="B57" s="51">
        <f>ITE_LUC_Rates!A45</f>
        <v>534</v>
      </c>
      <c r="C57" s="11" t="str">
        <f>ITE_LUC_Rates!B45</f>
        <v>Private School (K-8)</v>
      </c>
      <c r="D57" s="52" t="str">
        <f>ITE_LUC_Rates!C45</f>
        <v>Student</v>
      </c>
      <c r="E57" s="112">
        <f>ITE_LUC_Rates!G45</f>
        <v>4.1100000000000003</v>
      </c>
      <c r="F57" s="53" t="s">
        <v>73</v>
      </c>
      <c r="G57" s="91">
        <f>ITE_LUC_Rates!Q45</f>
        <v>0</v>
      </c>
      <c r="H57" s="55">
        <f>+FEE_1_In!H54</f>
        <v>1556.4733224027323</v>
      </c>
      <c r="I57" s="91">
        <f>FEE_1_Out!$H54</f>
        <v>1513.8282665466595</v>
      </c>
      <c r="J57" s="91">
        <f>FEE_2_In!$H54</f>
        <v>1851.2782015486468</v>
      </c>
      <c r="K57" s="55">
        <f>IF(F57="Prod",FEE_ByContextArea_ByMode!AC57*AreaModeSharesandPMT!$X$11+FEE_ByContextArea_ByMode!AD57+FEE_ByContextArea_ByMode!AE57*AreaModeSharesandPMT!$Z$11,FEE_ByContextArea_ByMode!AC57*AreaModeSharesandPMT!$X$19+FEE_ByContextArea_ByMode!AD57+FEE_ByContextArea_ByMode!AE57*AreaModeSharesandPMT!$Z$19)</f>
        <v>1512.0718130579198</v>
      </c>
      <c r="L57" s="91">
        <f>FEE_2_Out!$H54</f>
        <v>1658.8476783710462</v>
      </c>
      <c r="M57" s="91">
        <f>FEE_3_In!$H54</f>
        <v>1841.5073630415266</v>
      </c>
      <c r="N57" s="55">
        <f>IF(I57="Prod",FEE_ByContextArea_ByMode!AG57*AreaModeSharesandPMT!$X$12+FEE_ByContextArea_ByMode!AH57+FEE_ByContextArea_ByMode!AI57*AreaModeSharesandPMT!$Z$12,FEE_ByContextArea_ByMode!AG57*AreaModeSharesandPMT!$X$20+FEE_ByContextArea_ByMode!AH57+FEE_ByContextArea_ByMode!AI57*AreaModeSharesandPMT!$Z$20)</f>
        <v>1623.2014582990901</v>
      </c>
      <c r="O57" s="91">
        <f>FEE_3_Out!$H54</f>
        <v>1785.8465556762442</v>
      </c>
      <c r="P57" s="91">
        <f>FEE_4_In!$H54</f>
        <v>1728.6257831484816</v>
      </c>
      <c r="Q57" s="55">
        <f>IF(L57="Prod",FEE_ByContextArea_ByMode!AK57*AreaModeSharesandPMT!$X$13+FEE_ByContextArea_ByMode!AL57+FEE_ByContextArea_ByMode!AM57*AreaModeSharesandPMT!$Z$13,FEE_ByContextArea_ByMode!AK57*AreaModeSharesandPMT!$X$21+FEE_ByContextArea_ByMode!AL57+FEE_ByContextArea_ByMode!AM57*AreaModeSharesandPMT!$Z$21)</f>
        <v>1741.2185272036438</v>
      </c>
      <c r="R57" s="91">
        <f>FEE_4_Out!$H54</f>
        <v>1916.1479988505594</v>
      </c>
      <c r="S57" s="122">
        <f t="shared" si="33"/>
        <v>0</v>
      </c>
      <c r="T57" s="120">
        <f t="shared" si="26"/>
        <v>0</v>
      </c>
      <c r="U57" s="120">
        <f t="shared" si="27"/>
        <v>0</v>
      </c>
      <c r="V57" s="120">
        <f t="shared" si="28"/>
        <v>0</v>
      </c>
      <c r="W57" s="120">
        <f t="shared" si="29"/>
        <v>0</v>
      </c>
      <c r="X57" s="120">
        <f t="shared" si="30"/>
        <v>0</v>
      </c>
      <c r="Y57" s="120">
        <f t="shared" si="31"/>
        <v>0</v>
      </c>
      <c r="Z57" s="120">
        <f t="shared" si="32"/>
        <v>0</v>
      </c>
    </row>
    <row r="58" spans="2:26" x14ac:dyDescent="0.25">
      <c r="B58" s="51">
        <f>ITE_LUC_Rates!A46</f>
        <v>536</v>
      </c>
      <c r="C58" s="11" t="str">
        <f>ITE_LUC_Rates!B46</f>
        <v>Private School (K-12)</v>
      </c>
      <c r="D58" s="52" t="str">
        <f>ITE_LUC_Rates!C46</f>
        <v>Student</v>
      </c>
      <c r="E58" s="112">
        <f>ITE_LUC_Rates!G46</f>
        <v>2.48</v>
      </c>
      <c r="F58" s="53" t="s">
        <v>73</v>
      </c>
      <c r="G58" s="91">
        <f>ITE_LUC_Rates!Q46</f>
        <v>0</v>
      </c>
      <c r="H58" s="55">
        <f>+FEE_1_In!H55</f>
        <v>939.18584904106456</v>
      </c>
      <c r="I58" s="91">
        <f>FEE_1_Out!$H55</f>
        <v>913.45355256343453</v>
      </c>
      <c r="J58" s="91">
        <f>FEE_2_In!$H55</f>
        <v>1117.0729780634169</v>
      </c>
      <c r="K58" s="55">
        <f>IF(F58="Prod",FEE_ByContextArea_ByMode!AC58*AreaModeSharesandPMT!$X$11+FEE_ByContextArea_ByMode!AD58+FEE_ByContextArea_ByMode!AE58*AreaModeSharesandPMT!$Z$11,FEE_ByContextArea_ByMode!AC58*AreaModeSharesandPMT!$X$19+FEE_ByContextArea_ByMode!AD58+FEE_ByContextArea_ByMode!AE58*AreaModeSharesandPMT!$Z$19)</f>
        <v>912.39369741694429</v>
      </c>
      <c r="L58" s="91">
        <f>FEE_2_Out!$H55</f>
        <v>1000.9591830560083</v>
      </c>
      <c r="M58" s="91">
        <f>FEE_3_In!$H55</f>
        <v>1111.1771922975634</v>
      </c>
      <c r="N58" s="55">
        <f>IF(I58="Prod",FEE_ByContextArea_ByMode!AG58*AreaModeSharesandPMT!$X$12+FEE_ByContextArea_ByMode!AH58+FEE_ByContextArea_ByMode!AI58*AreaModeSharesandPMT!$Z$12,FEE_ByContextArea_ByMode!AG58*AreaModeSharesandPMT!$X$20+FEE_ByContextArea_ByMode!AH58+FEE_ByContextArea_ByMode!AI58*AreaModeSharesandPMT!$Z$20)</f>
        <v>979.45002836538754</v>
      </c>
      <c r="O58" s="91">
        <f>FEE_3_Out!$H55</f>
        <v>1077.5911090211885</v>
      </c>
      <c r="P58" s="91">
        <f>FEE_4_In!$H55</f>
        <v>1043.0637328973803</v>
      </c>
      <c r="Q58" s="55">
        <f>IF(L58="Prod",FEE_ByContextArea_ByMode!AK58*AreaModeSharesandPMT!$X$13+FEE_ByContextArea_ByMode!AL58+FEE_ByContextArea_ByMode!AM58*AreaModeSharesandPMT!$Z$13,FEE_ByContextArea_ByMode!AK58*AreaModeSharesandPMT!$X$21+FEE_ByContextArea_ByMode!AL58+FEE_ByContextArea_ByMode!AM58*AreaModeSharesandPMT!$Z$21)</f>
        <v>1050.6622743223934</v>
      </c>
      <c r="R58" s="91">
        <f>FEE_4_Out!$H55</f>
        <v>1156.2158241239383</v>
      </c>
      <c r="S58" s="122">
        <f t="shared" si="33"/>
        <v>0</v>
      </c>
      <c r="T58" s="120">
        <f t="shared" si="26"/>
        <v>0</v>
      </c>
      <c r="U58" s="120">
        <f t="shared" si="27"/>
        <v>0</v>
      </c>
      <c r="V58" s="120">
        <f t="shared" si="28"/>
        <v>0</v>
      </c>
      <c r="W58" s="120">
        <f t="shared" si="29"/>
        <v>0</v>
      </c>
      <c r="X58" s="120">
        <f t="shared" si="30"/>
        <v>0</v>
      </c>
      <c r="Y58" s="120">
        <f t="shared" si="31"/>
        <v>0</v>
      </c>
      <c r="Z58" s="120">
        <f t="shared" si="32"/>
        <v>0</v>
      </c>
    </row>
    <row r="59" spans="2:26" x14ac:dyDescent="0.25">
      <c r="B59" s="51">
        <f>ITE_LUC_Rates!A47</f>
        <v>537</v>
      </c>
      <c r="C59" s="11" t="str">
        <f>ITE_LUC_Rates!B47</f>
        <v>Charter Elementary School</v>
      </c>
      <c r="D59" s="52" t="str">
        <f>ITE_LUC_Rates!C47</f>
        <v>Student</v>
      </c>
      <c r="E59" s="112">
        <f>ITE_LUC_Rates!G47</f>
        <v>1.85</v>
      </c>
      <c r="F59" s="53" t="s">
        <v>73</v>
      </c>
      <c r="G59" s="91">
        <f>ITE_LUC_Rates!Q47</f>
        <v>0</v>
      </c>
      <c r="H59" s="55">
        <f>+FEE_1_In!H56</f>
        <v>1707.0706982058487</v>
      </c>
      <c r="I59" s="91">
        <f>FEE_1_Out!$H56</f>
        <v>1660.2994980654732</v>
      </c>
      <c r="J59" s="91">
        <f>FEE_2_In!$H56</f>
        <v>2030.3995748622344</v>
      </c>
      <c r="K59" s="55">
        <f>IF(F59="Prod",FEE_ByContextArea_ByMode!AC59*AreaModeSharesandPMT!$X$11+FEE_ByContextArea_ByMode!AD59+FEE_ByContextArea_ByMode!AE59*AreaModeSharesandPMT!$Z$11,FEE_ByContextArea_ByMode!AC59*AreaModeSharesandPMT!$X$19+FEE_ByContextArea_ByMode!AD59+FEE_ByContextArea_ByMode!AE59*AreaModeSharesandPMT!$Z$19)</f>
        <v>1658.3730980172152</v>
      </c>
      <c r="L59" s="91">
        <f>FEE_2_Out!$H56</f>
        <v>1819.3503375712223</v>
      </c>
      <c r="M59" s="91">
        <f>FEE_3_In!$H56</f>
        <v>2019.683353856494</v>
      </c>
      <c r="N59" s="55">
        <f>IF(I59="Prod",FEE_ByContextArea_ByMode!AG59*AreaModeSharesandPMT!$X$12+FEE_ByContextArea_ByMode!AH59+FEE_ByContextArea_ByMode!AI59*AreaModeSharesandPMT!$Z$12,FEE_ByContextArea_ByMode!AG59*AreaModeSharesandPMT!$X$20+FEE_ByContextArea_ByMode!AH59+FEE_ByContextArea_ByMode!AI59*AreaModeSharesandPMT!$Z$20)</f>
        <v>1780.2551491662596</v>
      </c>
      <c r="O59" s="91">
        <f>FEE_3_Out!$H56</f>
        <v>1958.6370564839981</v>
      </c>
      <c r="P59" s="91">
        <f>FEE_4_In!$H56</f>
        <v>1895.8798587184385</v>
      </c>
      <c r="Q59" s="55">
        <f>IF(L59="Prod",FEE_ByContextArea_ByMode!AK59*AreaModeSharesandPMT!$X$13+FEE_ByContextArea_ByMode!AL59+FEE_ByContextArea_ByMode!AM59*AreaModeSharesandPMT!$Z$13,FEE_ByContextArea_ByMode!AK59*AreaModeSharesandPMT!$X$21+FEE_ByContextArea_ByMode!AL59+FEE_ByContextArea_ByMode!AM59*AreaModeSharesandPMT!$Z$21)</f>
        <v>1909.6910201930145</v>
      </c>
      <c r="R59" s="91">
        <f>FEE_4_Out!$H56</f>
        <v>2101.5458827229445</v>
      </c>
      <c r="S59" s="122">
        <f t="shared" si="33"/>
        <v>0</v>
      </c>
      <c r="T59" s="120">
        <f t="shared" si="26"/>
        <v>0</v>
      </c>
      <c r="U59" s="120">
        <f t="shared" si="27"/>
        <v>0</v>
      </c>
      <c r="V59" s="120">
        <f t="shared" si="28"/>
        <v>0</v>
      </c>
      <c r="W59" s="120">
        <f t="shared" si="29"/>
        <v>0</v>
      </c>
      <c r="X59" s="120">
        <f t="shared" si="30"/>
        <v>0</v>
      </c>
      <c r="Y59" s="120">
        <f t="shared" si="31"/>
        <v>0</v>
      </c>
      <c r="Z59" s="120">
        <f t="shared" si="32"/>
        <v>0</v>
      </c>
    </row>
    <row r="60" spans="2:26" x14ac:dyDescent="0.25">
      <c r="B60" s="51">
        <f>ITE_LUC_Rates!A48</f>
        <v>540</v>
      </c>
      <c r="C60" s="11" t="str">
        <f>ITE_LUC_Rates!B48</f>
        <v>Jr./Community Co</v>
      </c>
      <c r="D60" s="52" t="str">
        <f>ITE_LUC_Rates!C48</f>
        <v>Student</v>
      </c>
      <c r="E60" s="112">
        <f>ITE_LUC_Rates!G48</f>
        <v>1.1499999999999999</v>
      </c>
      <c r="F60" s="53" t="s">
        <v>73</v>
      </c>
      <c r="G60" s="91">
        <f>ITE_LUC_Rates!Q48</f>
        <v>1192.538</v>
      </c>
      <c r="H60" s="55">
        <f>+FEE_1_In!H57</f>
        <v>435.50956709565492</v>
      </c>
      <c r="I60" s="91">
        <f>FEE_1_Out!$H57</f>
        <v>423.57725219675388</v>
      </c>
      <c r="J60" s="91">
        <f>FEE_2_In!$H57</f>
        <v>517.99755031166501</v>
      </c>
      <c r="K60" s="55">
        <f>IF(F60="Prod",FEE_ByContextArea_ByMode!AC60*AreaModeSharesandPMT!$X$11+FEE_ByContextArea_ByMode!AD60+FEE_ByContextArea_ByMode!AE60*AreaModeSharesandPMT!$Z$11,FEE_ByContextArea_ByMode!AC60*AreaModeSharesandPMT!$X$19+FEE_ByContextArea_ByMode!AD60+FEE_ByContextArea_ByMode!AE60*AreaModeSharesandPMT!$Z$19)</f>
        <v>423.08578710866357</v>
      </c>
      <c r="L60" s="91">
        <f>FEE_2_Out!$H57</f>
        <v>464.15445988484248</v>
      </c>
      <c r="M60" s="91">
        <f>FEE_3_In!$H57</f>
        <v>515.26361739604749</v>
      </c>
      <c r="N60" s="55">
        <f>IF(I60="Prod",FEE_ByContextArea_ByMode!AG60*AreaModeSharesandPMT!$X$12+FEE_ByContextArea_ByMode!AH60+FEE_ByContextArea_ByMode!AI60*AreaModeSharesandPMT!$Z$12,FEE_ByContextArea_ByMode!AG60*AreaModeSharesandPMT!$X$20+FEE_ByContextArea_ByMode!AH60+FEE_ByContextArea_ByMode!AI60*AreaModeSharesandPMT!$Z$20)</f>
        <v>454.18045670169175</v>
      </c>
      <c r="O60" s="91">
        <f>FEE_3_Out!$H57</f>
        <v>499.6894255541801</v>
      </c>
      <c r="P60" s="91">
        <f>FEE_4_In!$H57</f>
        <v>483.67874710967226</v>
      </c>
      <c r="Q60" s="55">
        <f>IF(L60="Prod",FEE_ByContextArea_ByMode!AK60*AreaModeSharesandPMT!$X$13+FEE_ByContextArea_ByMode!AL60+FEE_ByContextArea_ByMode!AM60*AreaModeSharesandPMT!$Z$13,FEE_ByContextArea_ByMode!AK60*AreaModeSharesandPMT!$X$21+FEE_ByContextArea_ByMode!AL60+FEE_ByContextArea_ByMode!AM60*AreaModeSharesandPMT!$Z$21)</f>
        <v>487.20226430272277</v>
      </c>
      <c r="R60" s="91">
        <f>FEE_4_Out!$H57</f>
        <v>536.14846683166502</v>
      </c>
      <c r="S60" s="122">
        <f t="shared" si="33"/>
        <v>-0.63480445311121747</v>
      </c>
      <c r="T60" s="120">
        <f t="shared" si="26"/>
        <v>-0.64481026835475785</v>
      </c>
      <c r="U60" s="120">
        <f t="shared" si="27"/>
        <v>-0.61078434407554094</v>
      </c>
      <c r="V60" s="120">
        <f t="shared" si="28"/>
        <v>-0.56563434430461335</v>
      </c>
      <c r="W60" s="120">
        <f t="shared" si="29"/>
        <v>-0.58098658025641103</v>
      </c>
      <c r="X60" s="120">
        <f t="shared" si="30"/>
        <v>-0.56792687746969284</v>
      </c>
      <c r="Y60" s="120">
        <f t="shared" si="31"/>
        <v>-0.55041393495916691</v>
      </c>
      <c r="Z60" s="120">
        <f t="shared" si="32"/>
        <v>-0.59441229788092942</v>
      </c>
    </row>
    <row r="61" spans="2:26" x14ac:dyDescent="0.25">
      <c r="B61" s="51">
        <f>ITE_LUC_Rates!A49</f>
        <v>550</v>
      </c>
      <c r="C61" s="11" t="str">
        <f>ITE_LUC_Rates!B49</f>
        <v>University (20SF/st)</v>
      </c>
      <c r="D61" s="52" t="str">
        <f>ITE_LUC_Rates!C49</f>
        <v>Student</v>
      </c>
      <c r="E61" s="112">
        <f>ITE_LUC_Rates!G49</f>
        <v>1.56</v>
      </c>
      <c r="F61" s="53" t="s">
        <v>73</v>
      </c>
      <c r="G61" s="91">
        <f>ITE_LUC_Rates!Q49</f>
        <v>2364.8919999999998</v>
      </c>
      <c r="H61" s="55">
        <f>+FEE_1_In!H58</f>
        <v>590.77819536454058</v>
      </c>
      <c r="I61" s="91">
        <f>FEE_1_Out!$H58</f>
        <v>574.59175080603143</v>
      </c>
      <c r="J61" s="91">
        <f>FEE_2_In!$H58</f>
        <v>702.67493781408473</v>
      </c>
      <c r="K61" s="55">
        <f>IF(F61="Prod",FEE_ByContextArea_ByMode!AC61*AreaModeSharesandPMT!$X$11+FEE_ByContextArea_ByMode!AD61+FEE_ByContextArea_ByMode!AE61*AreaModeSharesandPMT!$Z$11,FEE_ByContextArea_ByMode!AC61*AreaModeSharesandPMT!$X$19+FEE_ByContextArea_ByMode!AD61+FEE_ByContextArea_ByMode!AE61*AreaModeSharesandPMT!$Z$19)</f>
        <v>573.92506773001332</v>
      </c>
      <c r="L61" s="91">
        <f>FEE_2_Out!$H58</f>
        <v>629.63561514813421</v>
      </c>
      <c r="M61" s="91">
        <f>FEE_3_In!$H58</f>
        <v>698.96629838072522</v>
      </c>
      <c r="N61" s="55">
        <f>IF(I61="Prod",FEE_ByContextArea_ByMode!AG61*AreaModeSharesandPMT!$X$12+FEE_ByContextArea_ByMode!AH61+FEE_ByContextArea_ByMode!AI61*AreaModeSharesandPMT!$Z$12,FEE_ByContextArea_ByMode!AG61*AreaModeSharesandPMT!$X$20+FEE_ByContextArea_ByMode!AH61+FEE_ByContextArea_ByMode!AI61*AreaModeSharesandPMT!$Z$20)</f>
        <v>616.105663004034</v>
      </c>
      <c r="O61" s="91">
        <f>FEE_3_Out!$H58</f>
        <v>677.83956857784426</v>
      </c>
      <c r="P61" s="91">
        <f>FEE_4_In!$H58</f>
        <v>656.12073520964236</v>
      </c>
      <c r="Q61" s="55">
        <f>IF(L61="Prod",FEE_ByContextArea_ByMode!AK61*AreaModeSharesandPMT!$X$13+FEE_ByContextArea_ByMode!AL61+FEE_ByContextArea_ByMode!AM61*AreaModeSharesandPMT!$Z$13,FEE_ByContextArea_ByMode!AK61*AreaModeSharesandPMT!$X$21+FEE_ByContextArea_ByMode!AL61+FEE_ByContextArea_ByMode!AM61*AreaModeSharesandPMT!$Z$21)</f>
        <v>660.90046288021529</v>
      </c>
      <c r="R61" s="91">
        <f>FEE_4_Out!$H58</f>
        <v>727.29705065860628</v>
      </c>
      <c r="S61" s="122">
        <f t="shared" si="33"/>
        <v>-0.75018808665911996</v>
      </c>
      <c r="T61" s="120">
        <f t="shared" si="26"/>
        <v>-0.75703256182268297</v>
      </c>
      <c r="U61" s="120">
        <f t="shared" si="27"/>
        <v>-0.73375713768403195</v>
      </c>
      <c r="V61" s="120">
        <f t="shared" si="28"/>
        <v>-0.70287229276682206</v>
      </c>
      <c r="W61" s="120">
        <f t="shared" si="29"/>
        <v>-0.71337398554443743</v>
      </c>
      <c r="X61" s="120">
        <f t="shared" si="30"/>
        <v>-0.70444049944744824</v>
      </c>
      <c r="Y61" s="120">
        <f t="shared" si="31"/>
        <v>-0.69246077594300015</v>
      </c>
      <c r="Z61" s="120">
        <f t="shared" si="32"/>
        <v>-0.72255784399048983</v>
      </c>
    </row>
    <row r="62" spans="2:26" x14ac:dyDescent="0.25">
      <c r="B62" s="51">
        <f>ITE_LUC_Rates!A50</f>
        <v>560</v>
      </c>
      <c r="C62" s="11" t="str">
        <f>ITE_LUC_Rates!B50</f>
        <v>Church</v>
      </c>
      <c r="D62" s="52" t="str">
        <f>ITE_LUC_Rates!C50</f>
        <v>1000 GSF</v>
      </c>
      <c r="E62" s="112">
        <f>ITE_LUC_Rates!G50</f>
        <v>6.95</v>
      </c>
      <c r="F62" s="53" t="s">
        <v>73</v>
      </c>
      <c r="G62" s="91">
        <f>ITE_LUC_Rates!Q50</f>
        <v>5966.1</v>
      </c>
      <c r="H62" s="55">
        <f>+FEE_1_In!H59</f>
        <v>5778.181107874444</v>
      </c>
      <c r="I62" s="91">
        <f>FEE_1_Out!$H59</f>
        <v>5619.8675328551035</v>
      </c>
      <c r="J62" s="91">
        <f>FEE_2_In!$H59</f>
        <v>6872.6013967879298</v>
      </c>
      <c r="K62" s="55">
        <f>IF(F62="Prod",FEE_ByContextArea_ByMode!AC62*AreaModeSharesandPMT!$X$11+FEE_ByContextArea_ByMode!AD62+FEE_ByContextArea_ByMode!AE62*AreaModeSharesandPMT!$Z$11,FEE_ByContextArea_ByMode!AC62*AreaModeSharesandPMT!$X$19+FEE_ByContextArea_ByMode!AD62+FEE_ByContextArea_ByMode!AE62*AreaModeSharesandPMT!$Z$19)</f>
        <v>5613.3469544298778</v>
      </c>
      <c r="L62" s="91">
        <f>FEE_2_Out!$H59</f>
        <v>6158.2310329664888</v>
      </c>
      <c r="M62" s="91">
        <f>FEE_3_In!$H59</f>
        <v>6836.3285781939176</v>
      </c>
      <c r="N62" s="55">
        <f>IF(I62="Prod",FEE_ByContextArea_ByMode!AG62*AreaModeSharesandPMT!$X$12+FEE_ByContextArea_ByMode!AH62+FEE_ByContextArea_ByMode!AI62*AreaModeSharesandPMT!$Z$12,FEE_ByContextArea_ByMode!AG62*AreaModeSharesandPMT!$X$20+FEE_ByContextArea_ByMode!AH62+FEE_ByContextArea_ByMode!AI62*AreaModeSharesandPMT!$Z$20)</f>
        <v>6025.8996191077822</v>
      </c>
      <c r="O62" s="91">
        <f>FEE_3_Out!$H59</f>
        <v>6629.6959164335267</v>
      </c>
      <c r="P62" s="91">
        <f>FEE_4_In!$H59</f>
        <v>6417.2721106162198</v>
      </c>
      <c r="Q62" s="55">
        <f>IF(L62="Prod",FEE_ByContextArea_ByMode!AK62*AreaModeSharesandPMT!$X$13+FEE_ByContextArea_ByMode!AL62+FEE_ByContextArea_ByMode!AM62*AreaModeSharesandPMT!$Z$13,FEE_ByContextArea_ByMode!AK62*AreaModeSharesandPMT!$X$21+FEE_ByContextArea_ByMode!AL62+FEE_ByContextArea_ByMode!AM62*AreaModeSharesandPMT!$Z$21)</f>
        <v>6464.0208436324174</v>
      </c>
      <c r="R62" s="91">
        <f>FEE_4_Out!$H59</f>
        <v>7113.4210959414841</v>
      </c>
      <c r="S62" s="122">
        <f t="shared" si="33"/>
        <v>-3.149777779882279E-2</v>
      </c>
      <c r="T62" s="120">
        <f t="shared" si="26"/>
        <v>-5.8033299332042154E-2</v>
      </c>
      <c r="U62" s="120">
        <f t="shared" si="27"/>
        <v>3.2203790242618879E-2</v>
      </c>
      <c r="V62" s="120">
        <f t="shared" si="28"/>
        <v>0.15194203864969236</v>
      </c>
      <c r="W62" s="120">
        <f t="shared" si="29"/>
        <v>0.11122775622827752</v>
      </c>
      <c r="X62" s="120">
        <f t="shared" si="30"/>
        <v>0.14586221789676967</v>
      </c>
      <c r="Y62" s="120">
        <f t="shared" si="31"/>
        <v>0.19230671560005419</v>
      </c>
      <c r="Z62" s="120">
        <f t="shared" si="32"/>
        <v>7.5622619569940097E-2</v>
      </c>
    </row>
    <row r="63" spans="2:26" x14ac:dyDescent="0.25">
      <c r="B63" s="51">
        <f>ITE_LUC_Rates!A51</f>
        <v>565</v>
      </c>
      <c r="C63" s="11" t="str">
        <f>ITE_LUC_Rates!B51</f>
        <v>Day Care Center</v>
      </c>
      <c r="D63" s="52" t="str">
        <f>ITE_LUC_Rates!C51</f>
        <v>1000 GSF</v>
      </c>
      <c r="E63" s="112">
        <f>ITE_LUC_Rates!G51</f>
        <v>47.62</v>
      </c>
      <c r="F63" s="53" t="s">
        <v>73</v>
      </c>
      <c r="G63" s="91">
        <f>ITE_LUC_Rates!Q51</f>
        <v>8112.3</v>
      </c>
      <c r="H63" s="55">
        <f>+FEE_1_In!H60</f>
        <v>9863.2104557440944</v>
      </c>
      <c r="I63" s="91">
        <f>FEE_1_Out!$H60</f>
        <v>9592.973147624929</v>
      </c>
      <c r="J63" s="91">
        <f>FEE_2_In!$H60</f>
        <v>11731.358482790067</v>
      </c>
      <c r="K63" s="55">
        <f>IF(F63="Prod",FEE_ByContextArea_ByMode!AC63*AreaModeSharesandPMT!$X$11+FEE_ByContextArea_ByMode!AD63+FEE_ByContextArea_ByMode!AE63*AreaModeSharesandPMT!$Z$11,FEE_ByContextArea_ByMode!AC63*AreaModeSharesandPMT!$X$19+FEE_ByContextArea_ByMode!AD63+FEE_ByContextArea_ByMode!AE63*AreaModeSharesandPMT!$Z$19)</f>
        <v>9581.8426835393493</v>
      </c>
      <c r="L63" s="91">
        <f>FEE_2_Out!$H60</f>
        <v>10511.946160785283</v>
      </c>
      <c r="M63" s="91">
        <f>FEE_3_In!$H60</f>
        <v>11669.441689782625</v>
      </c>
      <c r="N63" s="55">
        <f>IF(I63="Prod",FEE_ByContextArea_ByMode!AG63*AreaModeSharesandPMT!$X$12+FEE_ByContextArea_ByMode!AH63+FEE_ByContextArea_ByMode!AI63*AreaModeSharesandPMT!$Z$12,FEE_ByContextArea_ByMode!AG63*AreaModeSharesandPMT!$X$20+FEE_ByContextArea_ByMode!AH63+FEE_ByContextArea_ByMode!AI63*AreaModeSharesandPMT!$Z$20)</f>
        <v>10286.059751130202</v>
      </c>
      <c r="O63" s="91">
        <f>FEE_3_Out!$H60</f>
        <v>11316.724910587896</v>
      </c>
      <c r="P63" s="91">
        <f>FEE_4_In!$H60</f>
        <v>10954.122793508019</v>
      </c>
      <c r="Q63" s="55">
        <f>IF(L63="Prod",FEE_ByContextArea_ByMode!AK63*AreaModeSharesandPMT!$X$13+FEE_ByContextArea_ByMode!AL63+FEE_ByContextArea_ByMode!AM63*AreaModeSharesandPMT!$Z$13,FEE_ByContextArea_ByMode!AK63*AreaModeSharesandPMT!$X$21+FEE_ByContextArea_ByMode!AL63+FEE_ByContextArea_ByMode!AM63*AreaModeSharesandPMT!$Z$21)</f>
        <v>11033.921710099572</v>
      </c>
      <c r="R63" s="91">
        <f>FEE_4_Out!$H60</f>
        <v>12142.431678713869</v>
      </c>
      <c r="S63" s="122">
        <f t="shared" si="33"/>
        <v>0.21583403667814238</v>
      </c>
      <c r="T63" s="120">
        <f t="shared" si="26"/>
        <v>0.18252199100439204</v>
      </c>
      <c r="U63" s="120">
        <f t="shared" si="27"/>
        <v>0.29580342945715543</v>
      </c>
      <c r="V63" s="120">
        <f t="shared" si="28"/>
        <v>0.44611990222132647</v>
      </c>
      <c r="W63" s="120">
        <f t="shared" si="29"/>
        <v>0.39500818640680158</v>
      </c>
      <c r="X63" s="120">
        <f t="shared" si="30"/>
        <v>0.43848744373144788</v>
      </c>
      <c r="Y63" s="120">
        <f t="shared" si="31"/>
        <v>0.4967927318656693</v>
      </c>
      <c r="Z63" s="120">
        <f t="shared" si="32"/>
        <v>0.35031036740603994</v>
      </c>
    </row>
    <row r="64" spans="2:26" x14ac:dyDescent="0.25">
      <c r="B64" s="92" t="str">
        <f>ITE_LUC_Rates!A52</f>
        <v>Medical</v>
      </c>
      <c r="C64" s="93"/>
      <c r="D64" s="94"/>
      <c r="E64" s="113"/>
      <c r="F64" s="95"/>
      <c r="G64" s="96"/>
      <c r="H64" s="99"/>
      <c r="I64" s="99"/>
      <c r="J64" s="99"/>
      <c r="K64" s="99"/>
      <c r="L64" s="99"/>
      <c r="M64" s="99"/>
      <c r="N64" s="99"/>
      <c r="O64" s="99"/>
      <c r="P64" s="99"/>
      <c r="Q64" s="99"/>
      <c r="R64" s="99"/>
      <c r="S64" s="98"/>
      <c r="T64" s="98"/>
      <c r="U64" s="98"/>
      <c r="V64" s="98"/>
      <c r="W64" s="98"/>
      <c r="X64" s="98"/>
      <c r="Y64" s="98"/>
      <c r="Z64" s="98"/>
    </row>
    <row r="65" spans="2:26" x14ac:dyDescent="0.25">
      <c r="B65" s="51">
        <f>ITE_LUC_Rates!A53</f>
        <v>610</v>
      </c>
      <c r="C65" s="11" t="str">
        <f>ITE_LUC_Rates!B53</f>
        <v>Hospital</v>
      </c>
      <c r="D65" s="52" t="str">
        <f>ITE_LUC_Rates!C53</f>
        <v>1000 GSF</v>
      </c>
      <c r="E65" s="112">
        <f>ITE_LUC_Rates!G53</f>
        <v>10.72</v>
      </c>
      <c r="F65" s="53" t="s">
        <v>73</v>
      </c>
      <c r="G65" s="91">
        <f>ITE_LUC_Rates!Q53</f>
        <v>17837.599999999999</v>
      </c>
      <c r="H65" s="55">
        <f>+FEE_1_In!H62</f>
        <v>9891.7826404144307</v>
      </c>
      <c r="I65" s="91">
        <f>FEE_1_Out!$H62</f>
        <v>9620.7624968983091</v>
      </c>
      <c r="J65" s="91">
        <f>FEE_2_In!$H62</f>
        <v>11765.342401363861</v>
      </c>
      <c r="K65" s="55">
        <f>IF(F65="Prod",FEE_ByContextArea_ByMode!AC65*AreaModeSharesandPMT!$X$11+FEE_ByContextArea_ByMode!AD65+FEE_ByContextArea_ByMode!AE65*AreaModeSharesandPMT!$Z$11,FEE_ByContextArea_ByMode!AC65*AreaModeSharesandPMT!$X$19+FEE_ByContextArea_ByMode!AD65+FEE_ByContextArea_ByMode!AE65*AreaModeSharesandPMT!$Z$19)</f>
        <v>9609.5997895916444</v>
      </c>
      <c r="L65" s="91">
        <f>FEE_2_Out!$H62</f>
        <v>10542.397631764054</v>
      </c>
      <c r="M65" s="91">
        <f>FEE_3_In!$H62</f>
        <v>11703.246245049522</v>
      </c>
      <c r="N65" s="55">
        <f>IF(I65="Prod",FEE_ByContextArea_ByMode!AG65*AreaModeSharesandPMT!$X$12+FEE_ByContextArea_ByMode!AH65+FEE_ByContextArea_ByMode!AI65*AreaModeSharesandPMT!$Z$12,FEE_ByContextArea_ByMode!AG65*AreaModeSharesandPMT!$X$20+FEE_ByContextArea_ByMode!AH65+FEE_ByContextArea_ByMode!AI65*AreaModeSharesandPMT!$Z$20)</f>
        <v>10315.856864357998</v>
      </c>
      <c r="O65" s="91">
        <f>FEE_3_Out!$H62</f>
        <v>11349.507700274838</v>
      </c>
      <c r="P65" s="91">
        <f>FEE_4_In!$H62</f>
        <v>10985.855181330626</v>
      </c>
      <c r="Q65" s="55">
        <f>IF(L65="Prod",FEE_ByContextArea_ByMode!AK65*AreaModeSharesandPMT!$X$13+FEE_ByContextArea_ByMode!AL65+FEE_ByContextArea_ByMode!AM65*AreaModeSharesandPMT!$Z$13,FEE_ByContextArea_ByMode!AK65*AreaModeSharesandPMT!$X$21+FEE_ByContextArea_ByMode!AL65+FEE_ByContextArea_ByMode!AM65*AreaModeSharesandPMT!$Z$21)</f>
        <v>11065.885262956281</v>
      </c>
      <c r="R65" s="91">
        <f>FEE_4_Out!$H62</f>
        <v>12177.606412318903</v>
      </c>
      <c r="S65" s="122">
        <f t="shared" ref="S65:T69" si="34">IFERROR(H65/$G65-1,0)</f>
        <v>-0.4454532762022676</v>
      </c>
      <c r="T65" s="120">
        <f t="shared" si="34"/>
        <v>-0.46064703228582826</v>
      </c>
      <c r="U65" s="120">
        <f>IFERROR(L65/$G65-1,0)</f>
        <v>-0.40897891915033102</v>
      </c>
      <c r="V65" s="120">
        <f>IFERROR(J65/$G65-1,0)</f>
        <v>-0.34041898005539628</v>
      </c>
      <c r="W65" s="120">
        <f>IFERROR(O65/$G65-1,0)</f>
        <v>-0.3637312362495605</v>
      </c>
      <c r="X65" s="120">
        <f>IFERROR(M65/$G65-1,0)</f>
        <v>-0.34390017462833999</v>
      </c>
      <c r="Y65" s="120">
        <f>IFERROR(R65/$G65-1,0)</f>
        <v>-0.31730690158323405</v>
      </c>
      <c r="Z65" s="120">
        <f>IFERROR(P65/$G65-1,0)</f>
        <v>-0.38411808868173825</v>
      </c>
    </row>
    <row r="66" spans="2:26" x14ac:dyDescent="0.25">
      <c r="B66" s="51">
        <f>ITE_LUC_Rates!A54</f>
        <v>620</v>
      </c>
      <c r="C66" s="11" t="str">
        <f>ITE_LUC_Rates!B54</f>
        <v>Nursing Home</v>
      </c>
      <c r="D66" s="52" t="str">
        <f>ITE_LUC_Rates!C54</f>
        <v>Bed</v>
      </c>
      <c r="E66" s="112">
        <f>ITE_LUC_Rates!G54</f>
        <v>3.06</v>
      </c>
      <c r="F66" s="53" t="s">
        <v>73</v>
      </c>
      <c r="G66" s="91">
        <f>ITE_LUC_Rates!Q54</f>
        <v>2405.2600000000002</v>
      </c>
      <c r="H66" s="55">
        <f>+FEE_1_In!H63</f>
        <v>983.17989052739142</v>
      </c>
      <c r="I66" s="91">
        <f>FEE_1_Out!$H63</f>
        <v>956.24222269548557</v>
      </c>
      <c r="J66" s="91">
        <f>FEE_2_In!$H63</f>
        <v>1169.3997406422554</v>
      </c>
      <c r="K66" s="55">
        <f>IF(F66="Prod",FEE_ByContextArea_ByMode!AC66*AreaModeSharesandPMT!$X$11+FEE_ByContextArea_ByMode!AD66+FEE_ByContextArea_ByMode!AE66*AreaModeSharesandPMT!$Z$11,FEE_ByContextArea_ByMode!AC66*AreaModeSharesandPMT!$X$19+FEE_ByContextArea_ByMode!AD66+FEE_ByContextArea_ByMode!AE66*AreaModeSharesandPMT!$Z$19)</f>
        <v>955.1327210266038</v>
      </c>
      <c r="L66" s="91">
        <f>FEE_2_Out!$H63</f>
        <v>1047.8468569604311</v>
      </c>
      <c r="M66" s="91">
        <f>FEE_3_In!$H63</f>
        <v>1163.2277800981699</v>
      </c>
      <c r="N66" s="55">
        <f>IF(I66="Prod",FEE_ByContextArea_ByMode!AG66*AreaModeSharesandPMT!$X$12+FEE_ByContextArea_ByMode!AH66+FEE_ByContextArea_ByMode!AI66*AreaModeSharesandPMT!$Z$12,FEE_ByContextArea_ByMode!AG66*AreaModeSharesandPMT!$X$20+FEE_ByContextArea_ByMode!AH66+FEE_ByContextArea_ByMode!AI66*AreaModeSharesandPMT!$Z$20)</f>
        <v>1025.3301544615026</v>
      </c>
      <c r="O66" s="91">
        <f>FEE_3_Out!$H63</f>
        <v>1128.068432549838</v>
      </c>
      <c r="P66" s="91">
        <f>FEE_4_In!$H63</f>
        <v>1091.9236994150017</v>
      </c>
      <c r="Q66" s="55">
        <f>IF(L66="Prod",FEE_ByContextArea_ByMode!AK66*AreaModeSharesandPMT!$X$13+FEE_ByContextArea_ByMode!AL66+FEE_ByContextArea_ByMode!AM66*AreaModeSharesandPMT!$Z$13,FEE_ByContextArea_ByMode!AK66*AreaModeSharesandPMT!$X$21+FEE_ByContextArea_ByMode!AL66+FEE_ByContextArea_ByMode!AM66*AreaModeSharesandPMT!$Z$21)</f>
        <v>1099.8781773642172</v>
      </c>
      <c r="R66" s="91">
        <f>FEE_4_Out!$H63</f>
        <v>1210.3761449865158</v>
      </c>
      <c r="S66" s="122">
        <f t="shared" si="34"/>
        <v>-0.59123758324364462</v>
      </c>
      <c r="T66" s="120">
        <f t="shared" si="34"/>
        <v>-0.60243706597395486</v>
      </c>
      <c r="U66" s="120">
        <f>IFERROR(L66/$G66-1,0)</f>
        <v>-0.56435193826844876</v>
      </c>
      <c r="V66" s="120">
        <f>IFERROR(J66/$G66-1,0)</f>
        <v>-0.51381566207301699</v>
      </c>
      <c r="W66" s="120">
        <f>IFERROR(O66/$G66-1,0)</f>
        <v>-0.53099937946424181</v>
      </c>
      <c r="X66" s="120">
        <f>IFERROR(M66/$G66-1,0)</f>
        <v>-0.51638168842529719</v>
      </c>
      <c r="Y66" s="120">
        <f>IFERROR(R66/$G66-1,0)</f>
        <v>-0.49677949785615039</v>
      </c>
      <c r="Z66" s="120">
        <f>IFERROR(P66/$G66-1,0)</f>
        <v>-0.54602674995010869</v>
      </c>
    </row>
    <row r="67" spans="2:26" x14ac:dyDescent="0.25">
      <c r="B67" s="51">
        <f>ITE_LUC_Rates!A55</f>
        <v>630</v>
      </c>
      <c r="C67" s="11" t="str">
        <f>ITE_LUC_Rates!B55</f>
        <v>Clinic</v>
      </c>
      <c r="D67" s="52" t="str">
        <f>ITE_LUC_Rates!C55</f>
        <v>1000 GSF</v>
      </c>
      <c r="E67" s="112">
        <f>ITE_LUC_Rates!G55</f>
        <v>38.159999999999997</v>
      </c>
      <c r="F67" s="53" t="s">
        <v>73</v>
      </c>
      <c r="G67" s="91">
        <f>ITE_LUC_Rates!Q55</f>
        <v>31927.7</v>
      </c>
      <c r="H67" s="55">
        <f>+FEE_1_In!H64</f>
        <v>25228.026621367462</v>
      </c>
      <c r="I67" s="91">
        <f>FEE_1_Out!$H64</f>
        <v>24536.816184977906</v>
      </c>
      <c r="J67" s="91">
        <f>FEE_2_In!$H64</f>
        <v>30006.358014623274</v>
      </c>
      <c r="K67" s="55">
        <f>IF(F67="Prod",FEE_ByContextArea_ByMode!AC67*AreaModeSharesandPMT!$X$11+FEE_ByContextArea_ByMode!AD67+FEE_ByContextArea_ByMode!AE67*AreaModeSharesandPMT!$Z$11,FEE_ByContextArea_ByMode!AC67*AreaModeSharesandPMT!$X$19+FEE_ByContextArea_ByMode!AD67+FEE_ByContextArea_ByMode!AE67*AreaModeSharesandPMT!$Z$19)</f>
        <v>24508.346788981627</v>
      </c>
      <c r="L67" s="91">
        <f>FEE_2_Out!$H64</f>
        <v>26887.356685391333</v>
      </c>
      <c r="M67" s="91">
        <f>FEE_3_In!$H64</f>
        <v>29847.987825797805</v>
      </c>
      <c r="N67" s="55">
        <f>IF(I67="Prod",FEE_ByContextArea_ByMode!AG67*AreaModeSharesandPMT!$X$12+FEE_ByContextArea_ByMode!AH67+FEE_ByContextArea_ByMode!AI67*AreaModeSharesandPMT!$Z$12,FEE_ByContextArea_ByMode!AG67*AreaModeSharesandPMT!$X$20+FEE_ByContextArea_ByMode!AH67+FEE_ByContextArea_ByMode!AI67*AreaModeSharesandPMT!$Z$20)</f>
        <v>26309.5865585393</v>
      </c>
      <c r="O67" s="91">
        <f>FEE_3_Out!$H64</f>
        <v>28945.812176676845</v>
      </c>
      <c r="P67" s="91">
        <f>FEE_4_In!$H64</f>
        <v>28018.351903604405</v>
      </c>
      <c r="Q67" s="55">
        <f>IF(L67="Prod",FEE_ByContextArea_ByMode!AK67*AreaModeSharesandPMT!$X$13+FEE_ByContextArea_ByMode!AL67+FEE_ByContextArea_ByMode!AM67*AreaModeSharesandPMT!$Z$13,FEE_ByContextArea_ByMode!AK67*AreaModeSharesandPMT!$X$21+FEE_ByContextArea_ByMode!AL67+FEE_ByContextArea_ByMode!AM67*AreaModeSharesandPMT!$Z$21)</f>
        <v>28222.460819373868</v>
      </c>
      <c r="R67" s="91">
        <f>FEE_4_Out!$H64</f>
        <v>31057.797155725311</v>
      </c>
      <c r="S67" s="122">
        <f t="shared" si="34"/>
        <v>-0.20983889784207876</v>
      </c>
      <c r="T67" s="120">
        <f t="shared" si="34"/>
        <v>-0.2314881377306256</v>
      </c>
      <c r="U67" s="120">
        <f>IFERROR(L67/$G67-1,0)</f>
        <v>-0.15786741026158069</v>
      </c>
      <c r="V67" s="120">
        <f>IFERROR(J67/$G67-1,0)</f>
        <v>-6.0177901489199881E-2</v>
      </c>
      <c r="W67" s="120">
        <f>IFERROR(O67/$G67-1,0)</f>
        <v>-9.339500882691687E-2</v>
      </c>
      <c r="X67" s="120">
        <f>IFERROR(M67/$G67-1,0)</f>
        <v>-6.5138177012506238E-2</v>
      </c>
      <c r="Y67" s="120">
        <f>IFERROR(R67/$G67-1,0)</f>
        <v>-2.7246022866498021E-2</v>
      </c>
      <c r="Z67" s="120">
        <f>IFERROR(P67/$G67-1,0)</f>
        <v>-0.12244377441518162</v>
      </c>
    </row>
    <row r="68" spans="2:26" x14ac:dyDescent="0.25">
      <c r="B68" s="51">
        <f>ITE_LUC_Rates!A56</f>
        <v>640</v>
      </c>
      <c r="C68" s="11" t="str">
        <f>ITE_LUC_Rates!B56</f>
        <v>Animal Hospital / Veterinary Clinic</v>
      </c>
      <c r="D68" s="52" t="str">
        <f>ITE_LUC_Rates!C56</f>
        <v>1000 GSF</v>
      </c>
      <c r="E68" s="112">
        <f>ITE_LUC_Rates!G56</f>
        <v>21.5</v>
      </c>
      <c r="F68" s="53" t="s">
        <v>73</v>
      </c>
      <c r="G68" s="91">
        <f>ITE_LUC_Rates!Q56</f>
        <v>0</v>
      </c>
      <c r="H68" s="55">
        <f>+FEE_1_In!H65</f>
        <v>12150.765409561247</v>
      </c>
      <c r="I68" s="91">
        <f>FEE_1_Out!$H65</f>
        <v>11817.852495393934</v>
      </c>
      <c r="J68" s="91">
        <f>FEE_2_In!$H65</f>
        <v>14452.189325113077</v>
      </c>
      <c r="K68" s="55">
        <f>IF(F68="Prod",FEE_ByContextArea_ByMode!AC68*AreaModeSharesandPMT!$X$11+FEE_ByContextArea_ByMode!AD68+FEE_ByContextArea_ByMode!AE68*AreaModeSharesandPMT!$Z$11,FEE_ByContextArea_ByMode!AC68*AreaModeSharesandPMT!$X$19+FEE_ByContextArea_ByMode!AD68+FEE_ByContextArea_ByMode!AE68*AreaModeSharesandPMT!$Z$19)</f>
        <v>11804.1405647188</v>
      </c>
      <c r="L68" s="91">
        <f>FEE_2_Out!$H65</f>
        <v>12949.961107567589</v>
      </c>
      <c r="M68" s="91">
        <f>FEE_3_In!$H65</f>
        <v>14375.912292384079</v>
      </c>
      <c r="N68" s="55">
        <f>IF(I68="Prod",FEE_ByContextArea_ByMode!AG68*AreaModeSharesandPMT!$X$12+FEE_ByContextArea_ByMode!AH68+FEE_ByContextArea_ByMode!AI68*AreaModeSharesandPMT!$Z$12,FEE_ByContextArea_ByMode!AG68*AreaModeSharesandPMT!$X$20+FEE_ByContextArea_ByMode!AH68+FEE_ByContextArea_ByMode!AI68*AreaModeSharesandPMT!$Z$20)</f>
        <v>12671.685308298949</v>
      </c>
      <c r="O68" s="91">
        <f>FEE_3_Out!$H65</f>
        <v>13941.390606038511</v>
      </c>
      <c r="P68" s="91">
        <f>FEE_4_In!$H65</f>
        <v>13494.6908948829</v>
      </c>
      <c r="Q68" s="55">
        <f>IF(L68="Prod",FEE_ByContextArea_ByMode!AK68*AreaModeSharesandPMT!$X$13+FEE_ByContextArea_ByMode!AL68+FEE_ByContextArea_ByMode!AM68*AreaModeSharesandPMT!$Z$13,FEE_ByContextArea_ByMode!AK68*AreaModeSharesandPMT!$X$21+FEE_ByContextArea_ByMode!AL68+FEE_ByContextArea_ByMode!AM68*AreaModeSharesandPMT!$Z$21)</f>
        <v>13592.997416860886</v>
      </c>
      <c r="R68" s="91">
        <f>FEE_4_Out!$H65</f>
        <v>14958.601916858985</v>
      </c>
      <c r="S68" s="122">
        <f t="shared" si="34"/>
        <v>0</v>
      </c>
      <c r="T68" s="120">
        <f t="shared" si="34"/>
        <v>0</v>
      </c>
      <c r="U68" s="120">
        <f>IFERROR(L68/$G68-1,0)</f>
        <v>0</v>
      </c>
      <c r="V68" s="120">
        <f>IFERROR(J68/$G68-1,0)</f>
        <v>0</v>
      </c>
      <c r="W68" s="120">
        <f>IFERROR(O68/$G68-1,0)</f>
        <v>0</v>
      </c>
      <c r="X68" s="120">
        <f>IFERROR(M68/$G68-1,0)</f>
        <v>0</v>
      </c>
      <c r="Y68" s="120">
        <f>IFERROR(R68/$G68-1,0)</f>
        <v>0</v>
      </c>
      <c r="Z68" s="120">
        <f>IFERROR(P68/$G68-1,0)</f>
        <v>0</v>
      </c>
    </row>
    <row r="69" spans="2:26" x14ac:dyDescent="0.25">
      <c r="B69" s="51">
        <f>ITE_LUC_Rates!A57</f>
        <v>650</v>
      </c>
      <c r="C69" s="11" t="str">
        <f>ITE_LUC_Rates!B57</f>
        <v>Free-standing Emergency Room</v>
      </c>
      <c r="D69" s="52" t="str">
        <f>ITE_LUC_Rates!C57</f>
        <v>1000 GSF</v>
      </c>
      <c r="E69" s="112">
        <f>ITE_LUC_Rates!G57</f>
        <v>24.94</v>
      </c>
      <c r="F69" s="53" t="s">
        <v>73</v>
      </c>
      <c r="G69" s="91">
        <f>ITE_LUC_Rates!Q57</f>
        <v>0</v>
      </c>
      <c r="H69" s="55">
        <f>+FEE_1_In!H66</f>
        <v>14094.887875091046</v>
      </c>
      <c r="I69" s="91">
        <f>FEE_1_Out!$H66</f>
        <v>13708.708894656962</v>
      </c>
      <c r="J69" s="91">
        <f>FEE_2_In!$H66</f>
        <v>16764.53961713117</v>
      </c>
      <c r="K69" s="55">
        <f>IF(F69="Prod",FEE_ByContextArea_ByMode!AC69*AreaModeSharesandPMT!$X$11+FEE_ByContextArea_ByMode!AD69+FEE_ByContextArea_ByMode!AE69*AreaModeSharesandPMT!$Z$11,FEE_ByContextArea_ByMode!AC69*AreaModeSharesandPMT!$X$19+FEE_ByContextArea_ByMode!AD69+FEE_ByContextArea_ByMode!AE69*AreaModeSharesandPMT!$Z$19)</f>
        <v>13692.803055073806</v>
      </c>
      <c r="L69" s="91">
        <f>FEE_2_Out!$H66</f>
        <v>15021.954884778399</v>
      </c>
      <c r="M69" s="91">
        <f>FEE_3_In!$H66</f>
        <v>16676.058259165533</v>
      </c>
      <c r="N69" s="55">
        <f>IF(I69="Prod",FEE_ByContextArea_ByMode!AG69*AreaModeSharesandPMT!$X$12+FEE_ByContextArea_ByMode!AH69+FEE_ByContextArea_ByMode!AI69*AreaModeSharesandPMT!$Z$12,FEE_ByContextArea_ByMode!AG69*AreaModeSharesandPMT!$X$20+FEE_ByContextArea_ByMode!AH69+FEE_ByContextArea_ByMode!AI69*AreaModeSharesandPMT!$Z$20)</f>
        <v>14699.154957626781</v>
      </c>
      <c r="O69" s="91">
        <f>FEE_3_Out!$H66</f>
        <v>16172.01310300467</v>
      </c>
      <c r="P69" s="91">
        <f>FEE_4_In!$H66</f>
        <v>15653.841438064166</v>
      </c>
      <c r="Q69" s="55">
        <f>IF(L69="Prod",FEE_ByContextArea_ByMode!AK69*AreaModeSharesandPMT!$X$13+FEE_ByContextArea_ByMode!AL69+FEE_ByContextArea_ByMode!AM69*AreaModeSharesandPMT!$Z$13,FEE_ByContextArea_ByMode!AK69*AreaModeSharesandPMT!$X$21+FEE_ByContextArea_ByMode!AL69+FEE_ByContextArea_ByMode!AM69*AreaModeSharesandPMT!$Z$21)</f>
        <v>15767.877003558628</v>
      </c>
      <c r="R69" s="91">
        <f>FEE_4_Out!$H66</f>
        <v>17351.97822355642</v>
      </c>
      <c r="S69" s="122">
        <f t="shared" si="34"/>
        <v>0</v>
      </c>
      <c r="T69" s="120">
        <f t="shared" si="34"/>
        <v>0</v>
      </c>
      <c r="U69" s="120">
        <f>IFERROR(L69/$G69-1,0)</f>
        <v>0</v>
      </c>
      <c r="V69" s="120">
        <f>IFERROR(J69/$G69-1,0)</f>
        <v>0</v>
      </c>
      <c r="W69" s="120">
        <f>IFERROR(O69/$G69-1,0)</f>
        <v>0</v>
      </c>
      <c r="X69" s="120">
        <f>IFERROR(M69/$G69-1,0)</f>
        <v>0</v>
      </c>
      <c r="Y69" s="120">
        <f>IFERROR(R69/$G69-1,0)</f>
        <v>0</v>
      </c>
      <c r="Z69" s="120">
        <f>IFERROR(P69/$G69-1,0)</f>
        <v>0</v>
      </c>
    </row>
    <row r="70" spans="2:26" x14ac:dyDescent="0.25">
      <c r="B70" s="92" t="str">
        <f>ITE_LUC_Rates!A58</f>
        <v>Office</v>
      </c>
      <c r="C70" s="93"/>
      <c r="D70" s="94"/>
      <c r="E70" s="113"/>
      <c r="F70" s="95"/>
      <c r="G70" s="96"/>
      <c r="H70" s="99"/>
      <c r="I70" s="99"/>
      <c r="J70" s="99"/>
      <c r="K70" s="99"/>
      <c r="L70" s="99"/>
      <c r="M70" s="99"/>
      <c r="N70" s="99"/>
      <c r="O70" s="99"/>
      <c r="P70" s="99"/>
      <c r="Q70" s="99"/>
      <c r="R70" s="99"/>
      <c r="S70" s="98"/>
      <c r="T70" s="98"/>
      <c r="U70" s="98"/>
      <c r="V70" s="98"/>
      <c r="W70" s="98"/>
      <c r="X70" s="98"/>
      <c r="Y70" s="98"/>
      <c r="Z70" s="98"/>
    </row>
    <row r="71" spans="2:26" x14ac:dyDescent="0.25">
      <c r="B71" s="51">
        <f>ITE_LUC_Rates!A59</f>
        <v>710</v>
      </c>
      <c r="C71" s="11" t="str">
        <f>ITE_LUC_Rates!B59</f>
        <v>General Office, 1 - 50,000gsf</v>
      </c>
      <c r="D71" s="52" t="str">
        <f>ITE_LUC_Rates!C59</f>
        <v>1000 GSF</v>
      </c>
      <c r="E71" s="112">
        <f>ITE_LUC_Rates!G59</f>
        <v>11.061091998412158</v>
      </c>
      <c r="F71" s="53" t="s">
        <v>73</v>
      </c>
      <c r="G71" s="91">
        <f>ITE_LUC_Rates!Q59</f>
        <v>15551.8</v>
      </c>
      <c r="H71" s="55">
        <f>+FEE_1_In!H68</f>
        <v>12661.670327173182</v>
      </c>
      <c r="I71" s="91">
        <f>FEE_1_Out!$H68</f>
        <v>12314.759377552833</v>
      </c>
      <c r="J71" s="91">
        <f>FEE_2_In!$H68</f>
        <v>15059.862533143978</v>
      </c>
      <c r="K71" s="55">
        <f>IF(F71="Prod",FEE_ByContextArea_ByMode!AC71*AreaModeSharesandPMT!$X$11+FEE_ByContextArea_ByMode!AD71+FEE_ByContextArea_ByMode!AE71*AreaModeSharesandPMT!$Z$11,FEE_ByContextArea_ByMode!AC71*AreaModeSharesandPMT!$X$19+FEE_ByContextArea_ByMode!AD71+FEE_ByContextArea_ByMode!AE71*AreaModeSharesandPMT!$Z$19)</f>
        <v>12300.470899427743</v>
      </c>
      <c r="L71" s="91">
        <f>FEE_2_Out!$H68</f>
        <v>13494.469917484486</v>
      </c>
      <c r="M71" s="91">
        <f>FEE_3_In!$H68</f>
        <v>14980.378269445693</v>
      </c>
      <c r="N71" s="55">
        <f>IF(I71="Prod",FEE_ByContextArea_ByMode!AG71*AreaModeSharesandPMT!$X$12+FEE_ByContextArea_ByMode!AH71+FEE_ByContextArea_ByMode!AI71*AreaModeSharesandPMT!$Z$12,FEE_ByContextArea_ByMode!AG71*AreaModeSharesandPMT!$X$20+FEE_ByContextArea_ByMode!AH71+FEE_ByContextArea_ByMode!AI71*AreaModeSharesandPMT!$Z$20)</f>
        <v>13204.493417107187</v>
      </c>
      <c r="O71" s="91">
        <f>FEE_3_Out!$H68</f>
        <v>14527.586189517488</v>
      </c>
      <c r="P71" s="91">
        <f>FEE_4_In!$H68</f>
        <v>14062.104033681841</v>
      </c>
      <c r="Q71" s="55">
        <f>IF(L71="Prod",FEE_ByContextArea_ByMode!AK71*AreaModeSharesandPMT!$X$13+FEE_ByContextArea_ByMode!AL71+FEE_ByContextArea_ByMode!AM71*AreaModeSharesandPMT!$Z$13,FEE_ByContextArea_ByMode!AK71*AreaModeSharesandPMT!$X$21+FEE_ByContextArea_ByMode!AL71+FEE_ByContextArea_ByMode!AM71*AreaModeSharesandPMT!$Z$21)</f>
        <v>14164.544063617466</v>
      </c>
      <c r="R71" s="91">
        <f>FEE_4_Out!$H68</f>
        <v>15587.568325337985</v>
      </c>
      <c r="S71" s="122">
        <f t="shared" ref="S71:S90" si="35">IFERROR(H71/$G71-1,0)</f>
        <v>-0.18583891722030998</v>
      </c>
      <c r="T71" s="120">
        <f t="shared" ref="T71:T90" si="36">IFERROR(I71/$G71-1,0)</f>
        <v>-0.20814572090993755</v>
      </c>
      <c r="U71" s="120">
        <f t="shared" ref="U71:U90" si="37">IFERROR(L71/$G71-1,0)</f>
        <v>-0.13228887218942587</v>
      </c>
      <c r="V71" s="120">
        <f t="shared" ref="V71:V90" si="38">IFERROR(J71/$G71-1,0)</f>
        <v>-3.163218835478987E-2</v>
      </c>
      <c r="W71" s="120">
        <f t="shared" ref="W71:W90" si="39">IFERROR(O71/$G71-1,0)</f>
        <v>-6.5858216443274165E-2</v>
      </c>
      <c r="X71" s="120">
        <f t="shared" ref="X71:X90" si="40">IFERROR(M71/$G71-1,0)</f>
        <v>-3.6743124947228423E-2</v>
      </c>
      <c r="Y71" s="120">
        <f t="shared" ref="Y71:Y90" si="41">IFERROR(R71/$G71-1,0)</f>
        <v>2.299947616223541E-3</v>
      </c>
      <c r="Z71" s="120">
        <f t="shared" ref="Z71:Z90" si="42">IFERROR(P71/$G71-1,0)</f>
        <v>-9.5789295536089614E-2</v>
      </c>
    </row>
    <row r="72" spans="2:26" x14ac:dyDescent="0.25">
      <c r="B72" s="51">
        <f>ITE_LUC_Rates!A60</f>
        <v>710</v>
      </c>
      <c r="C72" s="11" t="str">
        <f>ITE_LUC_Rates!B60</f>
        <v>General Office, 50,001 - 100,000gsf</v>
      </c>
      <c r="D72" s="52" t="str">
        <f>ITE_LUC_Rates!C60</f>
        <v>1000 GSF</v>
      </c>
      <c r="E72" s="112">
        <f>ITE_LUC_Rates!G60</f>
        <v>10.702478568874675</v>
      </c>
      <c r="F72" s="53" t="s">
        <v>73</v>
      </c>
      <c r="G72" s="91">
        <f>ITE_LUC_Rates!Q60</f>
        <v>13259.2</v>
      </c>
      <c r="H72" s="55">
        <f>+FEE_1_In!H69</f>
        <v>12251.164292113319</v>
      </c>
      <c r="I72" s="91">
        <f>FEE_1_Out!$H69</f>
        <v>11915.500597773487</v>
      </c>
      <c r="J72" s="91">
        <f>FEE_2_In!$H69</f>
        <v>14571.604325713006</v>
      </c>
      <c r="K72" s="55">
        <f>IF(F72="Prod",FEE_ByContextArea_ByMode!AC72*AreaModeSharesandPMT!$X$11+FEE_ByContextArea_ByMode!AD72+FEE_ByContextArea_ByMode!AE72*AreaModeSharesandPMT!$Z$11,FEE_ByContextArea_ByMode!AC72*AreaModeSharesandPMT!$X$19+FEE_ByContextArea_ByMode!AD72+FEE_ByContextArea_ByMode!AE72*AreaModeSharesandPMT!$Z$19)</f>
        <v>11901.675368678789</v>
      </c>
      <c r="L72" s="91">
        <f>FEE_2_Out!$H69</f>
        <v>13056.963553954178</v>
      </c>
      <c r="M72" s="91">
        <f>FEE_3_In!$H69</f>
        <v>14494.697034017414</v>
      </c>
      <c r="N72" s="55">
        <f>IF(I72="Prod",FEE_ByContextArea_ByMode!AG72*AreaModeSharesandPMT!$X$12+FEE_ByContextArea_ByMode!AH72+FEE_ByContextArea_ByMode!AI72*AreaModeSharesandPMT!$Z$12,FEE_ByContextArea_ByMode!AG72*AreaModeSharesandPMT!$X$20+FEE_ByContextArea_ByMode!AH72+FEE_ByContextArea_ByMode!AI72*AreaModeSharesandPMT!$Z$20)</f>
        <v>12776.388427989141</v>
      </c>
      <c r="O72" s="91">
        <f>FEE_3_Out!$H69</f>
        <v>14056.584998398916</v>
      </c>
      <c r="P72" s="91">
        <f>FEE_4_In!$H69</f>
        <v>13606.194313849888</v>
      </c>
      <c r="Q72" s="55">
        <f>IF(L72="Prod",FEE_ByContextArea_ByMode!AK72*AreaModeSharesandPMT!$X$13+FEE_ByContextArea_ByMode!AL72+FEE_ByContextArea_ByMode!AM72*AreaModeSharesandPMT!$Z$13,FEE_ByContextArea_ByMode!AK72*AreaModeSharesandPMT!$X$21+FEE_ByContextArea_ByMode!AL72+FEE_ByContextArea_ByMode!AM72*AreaModeSharesandPMT!$Z$21)</f>
        <v>13705.313119220851</v>
      </c>
      <c r="R72" s="91">
        <f>FEE_4_Out!$H69</f>
        <v>15082.201284172272</v>
      </c>
      <c r="S72" s="122">
        <f t="shared" si="35"/>
        <v>-7.6025379199852305E-2</v>
      </c>
      <c r="T72" s="120">
        <f t="shared" si="36"/>
        <v>-0.10134091063009176</v>
      </c>
      <c r="U72" s="120">
        <f t="shared" si="37"/>
        <v>-1.5252537562283064E-2</v>
      </c>
      <c r="V72" s="120">
        <f t="shared" si="38"/>
        <v>9.8980656880732321E-2</v>
      </c>
      <c r="W72" s="120">
        <f t="shared" si="39"/>
        <v>6.0138243513855549E-2</v>
      </c>
      <c r="X72" s="120">
        <f t="shared" si="40"/>
        <v>9.3180360354879088E-2</v>
      </c>
      <c r="Y72" s="120">
        <f t="shared" si="41"/>
        <v>0.13748953814500653</v>
      </c>
      <c r="Z72" s="120">
        <f t="shared" si="42"/>
        <v>2.6170079178976735E-2</v>
      </c>
    </row>
    <row r="73" spans="2:26" x14ac:dyDescent="0.25">
      <c r="B73" s="51">
        <f>ITE_LUC_Rates!A61</f>
        <v>710</v>
      </c>
      <c r="C73" s="11" t="str">
        <f>ITE_LUC_Rates!B61</f>
        <v>General Office, 100,001 - 150,000gsf</v>
      </c>
      <c r="D73" s="52" t="str">
        <f>ITE_LUC_Rates!C61</f>
        <v>1000 GSF</v>
      </c>
      <c r="E73" s="112">
        <f>ITE_LUC_Rates!G61</f>
        <v>10.53971589568078</v>
      </c>
      <c r="F73" s="53" t="s">
        <v>73</v>
      </c>
      <c r="G73" s="91">
        <f>ITE_LUC_Rates!Q61</f>
        <v>11306.4</v>
      </c>
      <c r="H73" s="55">
        <f>+FEE_1_In!H70</f>
        <v>12064.849296284123</v>
      </c>
      <c r="I73" s="91">
        <f>FEE_1_Out!$H70</f>
        <v>11734.290355934996</v>
      </c>
      <c r="J73" s="91">
        <f>FEE_2_In!$H70</f>
        <v>14350.000212468223</v>
      </c>
      <c r="K73" s="55">
        <f>IF(F73="Prod",FEE_ByContextArea_ByMode!AC73*AreaModeSharesandPMT!$X$11+FEE_ByContextArea_ByMode!AD73+FEE_ByContextArea_ByMode!AE73*AreaModeSharesandPMT!$Z$11,FEE_ByContextArea_ByMode!AC73*AreaModeSharesandPMT!$X$19+FEE_ByContextArea_ByMode!AD73+FEE_ByContextArea_ByMode!AE73*AreaModeSharesandPMT!$Z$19)</f>
        <v>11720.675380122328</v>
      </c>
      <c r="L73" s="91">
        <f>FEE_2_Out!$H70</f>
        <v>12858.394009697637</v>
      </c>
      <c r="M73" s="91">
        <f>FEE_3_In!$H70</f>
        <v>14274.262522403124</v>
      </c>
      <c r="N73" s="55">
        <f>IF(I73="Prod",FEE_ByContextArea_ByMode!AG73*AreaModeSharesandPMT!$X$12+FEE_ByContextArea_ByMode!AH73+FEE_ByContextArea_ByMode!AI73*AreaModeSharesandPMT!$Z$12,FEE_ByContextArea_ByMode!AG73*AreaModeSharesandPMT!$X$20+FEE_ByContextArea_ByMode!AH73+FEE_ByContextArea_ByMode!AI73*AreaModeSharesandPMT!$Z$20)</f>
        <v>12582.08585397131</v>
      </c>
      <c r="O73" s="91">
        <f>FEE_3_Out!$H70</f>
        <v>13842.813269206175</v>
      </c>
      <c r="P73" s="91">
        <f>FEE_4_In!$H70</f>
        <v>13399.272100059312</v>
      </c>
      <c r="Q73" s="55">
        <f>IF(L73="Prod",FEE_ByContextArea_ByMode!AK73*AreaModeSharesandPMT!$X$13+FEE_ByContextArea_ByMode!AL73+FEE_ByContextArea_ByMode!AM73*AreaModeSharesandPMT!$Z$13,FEE_ByContextArea_ByMode!AK73*AreaModeSharesandPMT!$X$21+FEE_ByContextArea_ByMode!AL73+FEE_ByContextArea_ByMode!AM73*AreaModeSharesandPMT!$Z$21)</f>
        <v>13496.883512388356</v>
      </c>
      <c r="R73" s="91">
        <f>FEE_4_Out!$H70</f>
        <v>14852.832042004438</v>
      </c>
      <c r="S73" s="122">
        <f t="shared" si="35"/>
        <v>6.7081413737716922E-2</v>
      </c>
      <c r="T73" s="120">
        <f t="shared" si="36"/>
        <v>3.7844968861441064E-2</v>
      </c>
      <c r="U73" s="120">
        <f t="shared" si="37"/>
        <v>0.13726685856662035</v>
      </c>
      <c r="V73" s="120">
        <f t="shared" si="38"/>
        <v>0.26919268843028932</v>
      </c>
      <c r="W73" s="120">
        <f t="shared" si="39"/>
        <v>0.22433429466551469</v>
      </c>
      <c r="X73" s="120">
        <f t="shared" si="40"/>
        <v>0.26249403191140619</v>
      </c>
      <c r="Y73" s="120">
        <f t="shared" si="41"/>
        <v>0.31366589206152606</v>
      </c>
      <c r="Z73" s="120">
        <f t="shared" si="42"/>
        <v>0.18510508208265342</v>
      </c>
    </row>
    <row r="74" spans="2:26" x14ac:dyDescent="0.25">
      <c r="B74" s="51">
        <f>ITE_LUC_Rates!A62</f>
        <v>710</v>
      </c>
      <c r="C74" s="11" t="str">
        <f>ITE_LUC_Rates!B62</f>
        <v>General Office, 150,001 - 200,000gsf</v>
      </c>
      <c r="D74" s="52" t="str">
        <f>ITE_LUC_Rates!C62</f>
        <v>1000 GSF</v>
      </c>
      <c r="E74" s="112">
        <f>ITE_LUC_Rates!G62</f>
        <v>10.433861397564558</v>
      </c>
      <c r="F74" s="53" t="s">
        <v>73</v>
      </c>
      <c r="G74" s="91">
        <f>ITE_LUC_Rates!Q62</f>
        <v>11306.4</v>
      </c>
      <c r="H74" s="55">
        <f>+FEE_1_In!H71</f>
        <v>11943.677285601238</v>
      </c>
      <c r="I74" s="91">
        <f>FEE_1_Out!$H71</f>
        <v>11616.438278263098</v>
      </c>
      <c r="J74" s="91">
        <f>FEE_2_In!$H71</f>
        <v>14205.877535396728</v>
      </c>
      <c r="K74" s="55">
        <f>IF(F74="Prod",FEE_ByContextArea_ByMode!AC74*AreaModeSharesandPMT!$X$11+FEE_ByContextArea_ByMode!AD74+FEE_ByContextArea_ByMode!AE74*AreaModeSharesandPMT!$Z$11,FEE_ByContextArea_ByMode!AC74*AreaModeSharesandPMT!$X$19+FEE_ByContextArea_ByMode!AD74+FEE_ByContextArea_ByMode!AE74*AreaModeSharesandPMT!$Z$19)</f>
        <v>11602.960042989336</v>
      </c>
      <c r="L74" s="91">
        <f>FEE_2_Out!$H71</f>
        <v>12729.252118402923</v>
      </c>
      <c r="M74" s="91">
        <f>FEE_3_In!$H71</f>
        <v>14130.90050864074</v>
      </c>
      <c r="N74" s="55">
        <f>IF(I74="Prod",FEE_ByContextArea_ByMode!AG74*AreaModeSharesandPMT!$X$12+FEE_ByContextArea_ByMode!AH74+FEE_ByContextArea_ByMode!AI74*AreaModeSharesandPMT!$Z$12,FEE_ByContextArea_ByMode!AG74*AreaModeSharesandPMT!$X$20+FEE_ByContextArea_ByMode!AH74+FEE_ByContextArea_ByMode!AI74*AreaModeSharesandPMT!$Z$20)</f>
        <v>12455.719033792297</v>
      </c>
      <c r="O74" s="91">
        <f>FEE_3_Out!$H71</f>
        <v>13703.784469413866</v>
      </c>
      <c r="P74" s="91">
        <f>FEE_4_In!$H71</f>
        <v>13264.697958088773</v>
      </c>
      <c r="Q74" s="55">
        <f>IF(L74="Prod",FEE_ByContextArea_ByMode!AK74*AreaModeSharesandPMT!$X$13+FEE_ByContextArea_ByMode!AL74+FEE_ByContextArea_ByMode!AM74*AreaModeSharesandPMT!$Z$13,FEE_ByContextArea_ByMode!AK74*AreaModeSharesandPMT!$X$21+FEE_ByContextArea_ByMode!AL74+FEE_ByContextArea_ByMode!AM74*AreaModeSharesandPMT!$Z$21)</f>
        <v>13361.329020741912</v>
      </c>
      <c r="R74" s="91">
        <f>FEE_4_Out!$H71</f>
        <v>14703.659227768028</v>
      </c>
      <c r="S74" s="122">
        <f t="shared" si="35"/>
        <v>5.6364296823147697E-2</v>
      </c>
      <c r="T74" s="120">
        <f t="shared" si="36"/>
        <v>2.7421485022916192E-2</v>
      </c>
      <c r="U74" s="120">
        <f t="shared" si="37"/>
        <v>0.12584484171822363</v>
      </c>
      <c r="V74" s="120">
        <f t="shared" si="38"/>
        <v>0.2564456887600588</v>
      </c>
      <c r="W74" s="120">
        <f t="shared" si="39"/>
        <v>0.21203782542753369</v>
      </c>
      <c r="X74" s="120">
        <f t="shared" si="40"/>
        <v>0.24981430947434546</v>
      </c>
      <c r="Y74" s="120">
        <f t="shared" si="41"/>
        <v>0.30047223057454442</v>
      </c>
      <c r="Z74" s="120">
        <f t="shared" si="42"/>
        <v>0.173202607203776</v>
      </c>
    </row>
    <row r="75" spans="2:26" x14ac:dyDescent="0.25">
      <c r="B75" s="51">
        <f>ITE_LUC_Rates!A63</f>
        <v>710</v>
      </c>
      <c r="C75" s="11" t="str">
        <f>ITE_LUC_Rates!B63</f>
        <v>General Office, 200,001 - 300,000gsf</v>
      </c>
      <c r="D75" s="52" t="str">
        <f>ITE_LUC_Rates!C63</f>
        <v>1000 GSF</v>
      </c>
      <c r="E75" s="112">
        <f>ITE_LUC_Rates!G63</f>
        <v>10.322811679029327</v>
      </c>
      <c r="F75" s="53" t="s">
        <v>73</v>
      </c>
      <c r="G75" s="91">
        <f>ITE_LUC_Rates!Q63</f>
        <v>10298.9</v>
      </c>
      <c r="H75" s="55">
        <f>+FEE_1_In!H72</f>
        <v>11816.558288108012</v>
      </c>
      <c r="I75" s="91">
        <f>FEE_1_Out!$H72</f>
        <v>11492.802152381251</v>
      </c>
      <c r="J75" s="91">
        <f>FEE_2_In!$H72</f>
        <v>14054.681478468081</v>
      </c>
      <c r="K75" s="55">
        <f>IF(F75="Prod",FEE_ByContextArea_ByMode!AC75*AreaModeSharesandPMT!$X$11+FEE_ByContextArea_ByMode!AD75+FEE_ByContextArea_ByMode!AE75*AreaModeSharesandPMT!$Z$11,FEE_ByContextArea_ByMode!AC75*AreaModeSharesandPMT!$X$19+FEE_ByContextArea_ByMode!AD75+FEE_ByContextArea_ByMode!AE75*AreaModeSharesandPMT!$Z$19)</f>
        <v>11479.46736871917</v>
      </c>
      <c r="L75" s="91">
        <f>FEE_2_Out!$H72</f>
        <v>12593.772087468009</v>
      </c>
      <c r="M75" s="91">
        <f>FEE_3_In!$H72</f>
        <v>13980.502447525976</v>
      </c>
      <c r="N75" s="55">
        <f>IF(I75="Prod",FEE_ByContextArea_ByMode!AG75*AreaModeSharesandPMT!$X$12+FEE_ByContextArea_ByMode!AH75+FEE_ByContextArea_ByMode!AI75*AreaModeSharesandPMT!$Z$12,FEE_ByContextArea_ByMode!AG75*AreaModeSharesandPMT!$X$20+FEE_ByContextArea_ByMode!AH75+FEE_ByContextArea_ByMode!AI75*AreaModeSharesandPMT!$Z$20)</f>
        <v>12323.150271360832</v>
      </c>
      <c r="O75" s="91">
        <f>FEE_3_Out!$H72</f>
        <v>13557.93229156616</v>
      </c>
      <c r="P75" s="91">
        <f>FEE_4_In!$H72</f>
        <v>13123.519067688285</v>
      </c>
      <c r="Q75" s="55">
        <f>IF(L75="Prod",FEE_ByContextArea_ByMode!AK75*AreaModeSharesandPMT!$X$13+FEE_ByContextArea_ByMode!AL75+FEE_ByContextArea_ByMode!AM75*AreaModeSharesandPMT!$Z$13,FEE_ByContextArea_ByMode!AK75*AreaModeSharesandPMT!$X$21+FEE_ByContextArea_ByMode!AL75+FEE_ByContextArea_ByMode!AM75*AreaModeSharesandPMT!$Z$21)</f>
        <v>13219.121666199486</v>
      </c>
      <c r="R75" s="91">
        <f>FEE_4_Out!$H72</f>
        <v>14547.165178588622</v>
      </c>
      <c r="S75" s="122">
        <f t="shared" si="35"/>
        <v>0.14736120246900275</v>
      </c>
      <c r="T75" s="120">
        <f t="shared" si="36"/>
        <v>0.1159252106905837</v>
      </c>
      <c r="U75" s="120">
        <f t="shared" si="37"/>
        <v>0.22282691233704655</v>
      </c>
      <c r="V75" s="120">
        <f t="shared" si="38"/>
        <v>0.3646779246781775</v>
      </c>
      <c r="W75" s="120">
        <f t="shared" si="39"/>
        <v>0.31644469715854706</v>
      </c>
      <c r="X75" s="120">
        <f t="shared" si="40"/>
        <v>0.35747530780238446</v>
      </c>
      <c r="Y75" s="120">
        <f t="shared" si="41"/>
        <v>0.41249698303591864</v>
      </c>
      <c r="Z75" s="120">
        <f t="shared" si="42"/>
        <v>0.27426415128686421</v>
      </c>
    </row>
    <row r="76" spans="2:26" x14ac:dyDescent="0.25">
      <c r="B76" s="51">
        <f>ITE_LUC_Rates!A64</f>
        <v>710</v>
      </c>
      <c r="C76" s="11" t="str">
        <f>ITE_LUC_Rates!B64</f>
        <v>General Office, 300,001 - 400,000gsf</v>
      </c>
      <c r="D76" s="52" t="str">
        <f>ITE_LUC_Rates!C64</f>
        <v>1000 GSF</v>
      </c>
      <c r="E76" s="112">
        <f>ITE_LUC_Rates!G64</f>
        <v>10.21913563498342</v>
      </c>
      <c r="F76" s="53" t="s">
        <v>73</v>
      </c>
      <c r="G76" s="91">
        <f>ITE_LUC_Rates!Q64</f>
        <v>9639.5</v>
      </c>
      <c r="H76" s="55">
        <f>+FEE_1_In!H73</f>
        <v>11697.879961345772</v>
      </c>
      <c r="I76" s="91">
        <f>FEE_1_Out!$H73</f>
        <v>11377.375435396603</v>
      </c>
      <c r="J76" s="91">
        <f>FEE_2_In!$H73</f>
        <v>13913.52480320169</v>
      </c>
      <c r="K76" s="55">
        <f>IF(F76="Prod",FEE_ByContextArea_ByMode!AC76*AreaModeSharesandPMT!$X$11+FEE_ByContextArea_ByMode!AD76+FEE_ByContextArea_ByMode!AE76*AreaModeSharesandPMT!$Z$11,FEE_ByContextArea_ByMode!AC76*AreaModeSharesandPMT!$X$19+FEE_ByContextArea_ByMode!AD76+FEE_ByContextArea_ByMode!AE76*AreaModeSharesandPMT!$Z$19)</f>
        <v>11364.174578193826</v>
      </c>
      <c r="L76" s="91">
        <f>FEE_2_Out!$H73</f>
        <v>12467.287897865197</v>
      </c>
      <c r="M76" s="91">
        <f>FEE_3_In!$H73</f>
        <v>13840.090781344161</v>
      </c>
      <c r="N76" s="55">
        <f>IF(I76="Prod",FEE_ByContextArea_ByMode!AG76*AreaModeSharesandPMT!$X$12+FEE_ByContextArea_ByMode!AH76+FEE_ByContextArea_ByMode!AI76*AreaModeSharesandPMT!$Z$12,FEE_ByContextArea_ByMode!AG76*AreaModeSharesandPMT!$X$20+FEE_ByContextArea_ByMode!AH76+FEE_ByContextArea_ByMode!AI76*AreaModeSharesandPMT!$Z$20)</f>
        <v>12199.384042735988</v>
      </c>
      <c r="O76" s="91">
        <f>FEE_3_Out!$H73</f>
        <v>13421.764663100421</v>
      </c>
      <c r="P76" s="91">
        <f>FEE_4_In!$H73</f>
        <v>12991.714421511995</v>
      </c>
      <c r="Q76" s="55">
        <f>IF(L76="Prod",FEE_ByContextArea_ByMode!AK76*AreaModeSharesandPMT!$X$13+FEE_ByContextArea_ByMode!AL76+FEE_ByContextArea_ByMode!AM76*AreaModeSharesandPMT!$Z$13,FEE_ByContextArea_ByMode!AK76*AreaModeSharesandPMT!$X$21+FEE_ByContextArea_ByMode!AL76+FEE_ByContextArea_ByMode!AM76*AreaModeSharesandPMT!$Z$21)</f>
        <v>13086.356845651873</v>
      </c>
      <c r="R76" s="91">
        <f>FEE_4_Out!$H73</f>
        <v>14401.062296477314</v>
      </c>
      <c r="S76" s="122">
        <f t="shared" si="35"/>
        <v>0.21353596777278616</v>
      </c>
      <c r="T76" s="120">
        <f t="shared" si="36"/>
        <v>0.18028688577173124</v>
      </c>
      <c r="U76" s="120">
        <f t="shared" si="37"/>
        <v>0.29335420902175402</v>
      </c>
      <c r="V76" s="120">
        <f t="shared" si="38"/>
        <v>0.44338656602538418</v>
      </c>
      <c r="W76" s="120">
        <f t="shared" si="39"/>
        <v>0.39237145734741641</v>
      </c>
      <c r="X76" s="120">
        <f t="shared" si="40"/>
        <v>0.4357685337770798</v>
      </c>
      <c r="Y76" s="120">
        <f t="shared" si="41"/>
        <v>0.49396361807949729</v>
      </c>
      <c r="Z76" s="120">
        <f t="shared" si="42"/>
        <v>0.3477581224661026</v>
      </c>
    </row>
    <row r="77" spans="2:26" x14ac:dyDescent="0.25">
      <c r="B77" s="51">
        <f>ITE_LUC_Rates!A65</f>
        <v>710</v>
      </c>
      <c r="C77" s="11" t="str">
        <f>ITE_LUC_Rates!B65</f>
        <v>General Office, 400,001 - 500,000gsf</v>
      </c>
      <c r="D77" s="52" t="str">
        <f>ITE_LUC_Rates!C65</f>
        <v>1000 GSF</v>
      </c>
      <c r="E77" s="112">
        <f>ITE_LUC_Rates!G65</f>
        <v>10.142378862949085</v>
      </c>
      <c r="F77" s="53" t="s">
        <v>73</v>
      </c>
      <c r="G77" s="91">
        <f>ITE_LUC_Rates!Q65</f>
        <v>9156.7999999999993</v>
      </c>
      <c r="H77" s="55">
        <f>+FEE_1_In!H74</f>
        <v>11610.016218505893</v>
      </c>
      <c r="I77" s="91">
        <f>FEE_1_Out!$H74</f>
        <v>11291.919028530425</v>
      </c>
      <c r="J77" s="91">
        <f>FEE_2_In!$H74</f>
        <v>13809.019168903476</v>
      </c>
      <c r="K77" s="55">
        <f>IF(F77="Prod",FEE_ByContextArea_ByMode!AC77*AreaModeSharesandPMT!$X$11+FEE_ByContextArea_ByMode!AD77+FEE_ByContextArea_ByMode!AE77*AreaModeSharesandPMT!$Z$11,FEE_ByContextArea_ByMode!AC77*AreaModeSharesandPMT!$X$19+FEE_ByContextArea_ByMode!AD77+FEE_ByContextArea_ByMode!AE77*AreaModeSharesandPMT!$Z$19)</f>
        <v>11278.817324056723</v>
      </c>
      <c r="L77" s="91">
        <f>FEE_2_Out!$H74</f>
        <v>12373.64506844752</v>
      </c>
      <c r="M77" s="91">
        <f>FEE_3_In!$H74</f>
        <v>13736.136716051056</v>
      </c>
      <c r="N77" s="55">
        <f>IF(I77="Prod",FEE_ByContextArea_ByMode!AG77*AreaModeSharesandPMT!$X$12+FEE_ByContextArea_ByMode!AH77+FEE_ByContextArea_ByMode!AI77*AreaModeSharesandPMT!$Z$12,FEE_ByContextArea_ByMode!AG77*AreaModeSharesandPMT!$X$20+FEE_ByContextArea_ByMode!AH77+FEE_ByContextArea_ByMode!AI77*AreaModeSharesandPMT!$Z$20)</f>
        <v>12107.753461307748</v>
      </c>
      <c r="O77" s="91">
        <f>FEE_3_Out!$H74</f>
        <v>13320.952679842529</v>
      </c>
      <c r="P77" s="91">
        <f>FEE_4_In!$H74</f>
        <v>12894.132581148371</v>
      </c>
      <c r="Q77" s="55">
        <f>IF(L77="Prod",FEE_ByContextArea_ByMode!AK77*AreaModeSharesandPMT!$X$13+FEE_ByContextArea_ByMode!AL77+FEE_ByContextArea_ByMode!AM77*AreaModeSharesandPMT!$Z$13,FEE_ByContextArea_ByMode!AK77*AreaModeSharesandPMT!$X$21+FEE_ByContextArea_ByMode!AL77+FEE_ByContextArea_ByMode!AM77*AreaModeSharesandPMT!$Z$21)</f>
        <v>12988.064138221409</v>
      </c>
      <c r="R77" s="91">
        <f>FEE_4_Out!$H74</f>
        <v>14292.894727787951</v>
      </c>
      <c r="S77" s="122">
        <f t="shared" si="35"/>
        <v>0.26791195816288371</v>
      </c>
      <c r="T77" s="120">
        <f t="shared" si="36"/>
        <v>0.2331730548368891</v>
      </c>
      <c r="U77" s="120">
        <f t="shared" si="37"/>
        <v>0.35130668666428466</v>
      </c>
      <c r="V77" s="120">
        <f t="shared" si="38"/>
        <v>0.50806167754056841</v>
      </c>
      <c r="W77" s="120">
        <f t="shared" si="39"/>
        <v>0.45476068930658409</v>
      </c>
      <c r="X77" s="120">
        <f t="shared" si="40"/>
        <v>0.50010229731467959</v>
      </c>
      <c r="Y77" s="120">
        <f t="shared" si="41"/>
        <v>0.56090498075615414</v>
      </c>
      <c r="Z77" s="120">
        <f t="shared" si="42"/>
        <v>0.40814832486768005</v>
      </c>
    </row>
    <row r="78" spans="2:26" x14ac:dyDescent="0.25">
      <c r="B78" s="51">
        <f>ITE_LUC_Rates!A66</f>
        <v>710</v>
      </c>
      <c r="C78" s="11" t="str">
        <f>ITE_LUC_Rates!B66</f>
        <v>General Office, 500,001 - 600,000gsf</v>
      </c>
      <c r="D78" s="52" t="str">
        <f>ITE_LUC_Rates!C66</f>
        <v>1000 GSF</v>
      </c>
      <c r="E78" s="112">
        <f>ITE_LUC_Rates!G66</f>
        <v>10.081503937403301</v>
      </c>
      <c r="F78" s="53" t="s">
        <v>73</v>
      </c>
      <c r="G78" s="91">
        <f>ITE_LUC_Rates!Q66</f>
        <v>8781.7000000000007</v>
      </c>
      <c r="H78" s="55">
        <f>+FEE_1_In!H75</f>
        <v>11540.332480357565</v>
      </c>
      <c r="I78" s="91">
        <f>FEE_1_Out!$H75</f>
        <v>11224.144521245757</v>
      </c>
      <c r="J78" s="91">
        <f>FEE_2_In!$H75</f>
        <v>13726.136935344033</v>
      </c>
      <c r="K78" s="55">
        <f>IF(F78="Prod",FEE_ByContextArea_ByMode!AC78*AreaModeSharesandPMT!$X$11+FEE_ByContextArea_ByMode!AD78+FEE_ByContextArea_ByMode!AE78*AreaModeSharesandPMT!$Z$11,FEE_ByContextArea_ByMode!AC78*AreaModeSharesandPMT!$X$19+FEE_ByContextArea_ByMode!AD78+FEE_ByContextArea_ByMode!AE78*AreaModeSharesandPMT!$Z$19)</f>
        <v>11211.121453677175</v>
      </c>
      <c r="L78" s="91">
        <f>FEE_2_Out!$H75</f>
        <v>12299.378002264122</v>
      </c>
      <c r="M78" s="91">
        <f>FEE_3_In!$H75</f>
        <v>13653.69192561526</v>
      </c>
      <c r="N78" s="55">
        <f>IF(I78="Prod",FEE_ByContextArea_ByMode!AG78*AreaModeSharesandPMT!$X$12+FEE_ByContextArea_ByMode!AH78+FEE_ByContextArea_ByMode!AI78*AreaModeSharesandPMT!$Z$12,FEE_ByContextArea_ByMode!AG78*AreaModeSharesandPMT!$X$20+FEE_ByContextArea_ByMode!AH78+FEE_ByContextArea_ByMode!AI78*AreaModeSharesandPMT!$Z$20)</f>
        <v>12035.082286187644</v>
      </c>
      <c r="O78" s="91">
        <f>FEE_3_Out!$H75</f>
        <v>13240.999839040393</v>
      </c>
      <c r="P78" s="91">
        <f>FEE_4_In!$H75</f>
        <v>12816.741530048683</v>
      </c>
      <c r="Q78" s="55">
        <f>IF(L78="Prod",FEE_ByContextArea_ByMode!AK78*AreaModeSharesandPMT!$X$13+FEE_ByContextArea_ByMode!AL78+FEE_ByContextArea_ByMode!AM78*AreaModeSharesandPMT!$Z$13,FEE_ByContextArea_ByMode!AK78*AreaModeSharesandPMT!$X$21+FEE_ByContextArea_ByMode!AL78+FEE_ByContextArea_ByMode!AM78*AreaModeSharesandPMT!$Z$21)</f>
        <v>12910.10930651162</v>
      </c>
      <c r="R78" s="91">
        <f>FEE_4_Out!$H75</f>
        <v>14207.108255586019</v>
      </c>
      <c r="S78" s="122">
        <f t="shared" si="35"/>
        <v>0.31413422006645231</v>
      </c>
      <c r="T78" s="120">
        <f t="shared" si="36"/>
        <v>0.27812889545825481</v>
      </c>
      <c r="U78" s="120">
        <f t="shared" si="37"/>
        <v>0.40056913835181351</v>
      </c>
      <c r="V78" s="120">
        <f t="shared" si="38"/>
        <v>0.5630386981272455</v>
      </c>
      <c r="W78" s="120">
        <f t="shared" si="39"/>
        <v>0.50779460002509658</v>
      </c>
      <c r="X78" s="120">
        <f t="shared" si="40"/>
        <v>0.55478915535890083</v>
      </c>
      <c r="Y78" s="120">
        <f t="shared" si="41"/>
        <v>0.61780842611180264</v>
      </c>
      <c r="Z78" s="120">
        <f t="shared" si="42"/>
        <v>0.4594829623021377</v>
      </c>
    </row>
    <row r="79" spans="2:26" x14ac:dyDescent="0.25">
      <c r="B79" s="51">
        <f>ITE_LUC_Rates!A67</f>
        <v>710</v>
      </c>
      <c r="C79" s="11" t="str">
        <f>ITE_LUC_Rates!B67</f>
        <v>General Office, 600,001 - 700,000gsf</v>
      </c>
      <c r="D79" s="52" t="str">
        <f>ITE_LUC_Rates!C67</f>
        <v>1000 GSF</v>
      </c>
      <c r="E79" s="112">
        <f>ITE_LUC_Rates!G67</f>
        <v>10.031105639143441</v>
      </c>
      <c r="F79" s="53" t="s">
        <v>73</v>
      </c>
      <c r="G79" s="91">
        <f>ITE_LUC_Rates!Q67</f>
        <v>8475.6</v>
      </c>
      <c r="H79" s="55">
        <f>+FEE_1_In!H76</f>
        <v>11482.641373755388</v>
      </c>
      <c r="I79" s="91">
        <f>FEE_1_Out!$H76</f>
        <v>11168.034065225916</v>
      </c>
      <c r="J79" s="91">
        <f>FEE_2_In!$H76</f>
        <v>13657.518805795269</v>
      </c>
      <c r="K79" s="55">
        <f>IF(F79="Prod",FEE_ByContextArea_ByMode!AC79*AreaModeSharesandPMT!$X$11+FEE_ByContextArea_ByMode!AD79+FEE_ByContextArea_ByMode!AE79*AreaModeSharesandPMT!$Z$11,FEE_ByContextArea_ByMode!AC79*AreaModeSharesandPMT!$X$19+FEE_ByContextArea_ByMode!AD79+FEE_ByContextArea_ByMode!AE79*AreaModeSharesandPMT!$Z$19)</f>
        <v>11155.076101083143</v>
      </c>
      <c r="L79" s="91">
        <f>FEE_2_Out!$H76</f>
        <v>12237.892362341981</v>
      </c>
      <c r="M79" s="91">
        <f>FEE_3_In!$H76</f>
        <v>13585.43595485058</v>
      </c>
      <c r="N79" s="55">
        <f>IF(I79="Prod",FEE_ByContextArea_ByMode!AG79*AreaModeSharesandPMT!$X$12+FEE_ByContextArea_ByMode!AH79+FEE_ByContextArea_ByMode!AI79*AreaModeSharesandPMT!$Z$12,FEE_ByContextArea_ByMode!AG79*AreaModeSharesandPMT!$X$20+FEE_ByContextArea_ByMode!AH79+FEE_ByContextArea_ByMode!AI79*AreaModeSharesandPMT!$Z$20)</f>
        <v>11974.917883097858</v>
      </c>
      <c r="O79" s="91">
        <f>FEE_3_Out!$H76</f>
        <v>13174.806951224236</v>
      </c>
      <c r="P79" s="91">
        <f>FEE_4_In!$H76</f>
        <v>12752.66954571365</v>
      </c>
      <c r="Q79" s="55">
        <f>IF(L79="Prod",FEE_ByContextArea_ByMode!AK79*AreaModeSharesandPMT!$X$13+FEE_ByContextArea_ByMode!AL79+FEE_ByContextArea_ByMode!AM79*AreaModeSharesandPMT!$Z$13,FEE_ByContextArea_ByMode!AK79*AreaModeSharesandPMT!$X$21+FEE_ByContextArea_ByMode!AL79+FEE_ByContextArea_ByMode!AM79*AreaModeSharesandPMT!$Z$21)</f>
        <v>12845.570568696625</v>
      </c>
      <c r="R79" s="91">
        <f>FEE_4_Out!$H76</f>
        <v>14136.085709374574</v>
      </c>
      <c r="S79" s="122">
        <f t="shared" si="35"/>
        <v>0.35478802370987172</v>
      </c>
      <c r="T79" s="120">
        <f t="shared" si="36"/>
        <v>0.31766884530014594</v>
      </c>
      <c r="U79" s="120">
        <f t="shared" si="37"/>
        <v>0.44389687601373118</v>
      </c>
      <c r="V79" s="120">
        <f t="shared" si="38"/>
        <v>0.61139256286224786</v>
      </c>
      <c r="W79" s="120">
        <f t="shared" si="39"/>
        <v>0.55443944395962941</v>
      </c>
      <c r="X79" s="120">
        <f t="shared" si="40"/>
        <v>0.60288781382445844</v>
      </c>
      <c r="Y79" s="120">
        <f t="shared" si="41"/>
        <v>0.66785663662449557</v>
      </c>
      <c r="Z79" s="120">
        <f t="shared" si="42"/>
        <v>0.50463324669800946</v>
      </c>
    </row>
    <row r="80" spans="2:26" x14ac:dyDescent="0.25">
      <c r="B80" s="51">
        <f>ITE_LUC_Rates!A68</f>
        <v>710</v>
      </c>
      <c r="C80" s="11" t="str">
        <f>ITE_LUC_Rates!B68</f>
        <v>General Office, 700,001gsf - more</v>
      </c>
      <c r="D80" s="52" t="str">
        <f>ITE_LUC_Rates!C68</f>
        <v>1000 GSF</v>
      </c>
      <c r="E80" s="112">
        <f>ITE_LUC_Rates!G68</f>
        <v>9.9688142805499087</v>
      </c>
      <c r="F80" s="53" t="s">
        <v>73</v>
      </c>
      <c r="G80" s="91">
        <f>ITE_LUC_Rates!Q68</f>
        <v>8218.2999999999993</v>
      </c>
      <c r="H80" s="55">
        <f>+FEE_1_In!H77</f>
        <v>11411.336239790653</v>
      </c>
      <c r="I80" s="91">
        <f>FEE_1_Out!$H77</f>
        <v>11098.682585960547</v>
      </c>
      <c r="J80" s="91">
        <f>FEE_2_In!$H77</f>
        <v>13572.708074851518</v>
      </c>
      <c r="K80" s="55">
        <f>IF(F80="Prod",FEE_ByContextArea_ByMode!AC80*AreaModeSharesandPMT!$X$11+FEE_ByContextArea_ByMode!AD80+FEE_ByContextArea_ByMode!AE80*AreaModeSharesandPMT!$Z$11,FEE_ByContextArea_ByMode!AC80*AreaModeSharesandPMT!$X$19+FEE_ByContextArea_ByMode!AD80+FEE_ByContextArea_ByMode!AE80*AreaModeSharesandPMT!$Z$19)</f>
        <v>11085.805088440306</v>
      </c>
      <c r="L80" s="91">
        <f>FEE_2_Out!$H77</f>
        <v>12161.897255820822</v>
      </c>
      <c r="M80" s="91">
        <f>FEE_3_In!$H77</f>
        <v>13501.072845423158</v>
      </c>
      <c r="N80" s="55">
        <f>IF(I80="Prod",FEE_ByContextArea_ByMode!AG80*AreaModeSharesandPMT!$X$12+FEE_ByContextArea_ByMode!AH80+FEE_ByContextArea_ByMode!AI80*AreaModeSharesandPMT!$Z$12,FEE_ByContextArea_ByMode!AG80*AreaModeSharesandPMT!$X$20+FEE_ByContextArea_ByMode!AH80+FEE_ByContextArea_ByMode!AI80*AreaModeSharesandPMT!$Z$20)</f>
        <v>11900.555800709513</v>
      </c>
      <c r="O80" s="91">
        <f>FEE_3_Out!$H77</f>
        <v>13092.993773921344</v>
      </c>
      <c r="P80" s="91">
        <f>FEE_4_In!$H77</f>
        <v>12673.477765637379</v>
      </c>
      <c r="Q80" s="55">
        <f>IF(L80="Prod",FEE_ByContextArea_ByMode!AK80*AreaModeSharesandPMT!$X$13+FEE_ByContextArea_ByMode!AL80+FEE_ByContextArea_ByMode!AM80*AreaModeSharesandPMT!$Z$13,FEE_ByContextArea_ByMode!AK80*AreaModeSharesandPMT!$X$21+FEE_ByContextArea_ByMode!AL80+FEE_ByContextArea_ByMode!AM80*AreaModeSharesandPMT!$Z$21)</f>
        <v>12765.801890006729</v>
      </c>
      <c r="R80" s="91">
        <f>FEE_4_Out!$H77</f>
        <v>14048.303164188781</v>
      </c>
      <c r="S80" s="122">
        <f t="shared" si="35"/>
        <v>0.38852758353803751</v>
      </c>
      <c r="T80" s="120">
        <f t="shared" si="36"/>
        <v>0.35048399133160735</v>
      </c>
      <c r="U80" s="120">
        <f t="shared" si="37"/>
        <v>0.47985559736451866</v>
      </c>
      <c r="V80" s="120">
        <f t="shared" si="38"/>
        <v>0.65152258676995478</v>
      </c>
      <c r="W80" s="120">
        <f t="shared" si="39"/>
        <v>0.59315111080410121</v>
      </c>
      <c r="X80" s="120">
        <f t="shared" si="40"/>
        <v>0.64280603597132724</v>
      </c>
      <c r="Y80" s="120">
        <f t="shared" si="41"/>
        <v>0.70939283844454226</v>
      </c>
      <c r="Z80" s="120">
        <f t="shared" si="42"/>
        <v>0.54210454298789035</v>
      </c>
    </row>
    <row r="81" spans="1:26" x14ac:dyDescent="0.25">
      <c r="B81" s="51">
        <f>ITE_LUC_Rates!A69</f>
        <v>712</v>
      </c>
      <c r="C81" s="11" t="str">
        <f>ITE_LUC_Rates!B69</f>
        <v>Small Office Building</v>
      </c>
      <c r="D81" s="52" t="str">
        <f>ITE_LUC_Rates!C69</f>
        <v>1000 GSF</v>
      </c>
      <c r="E81" s="112">
        <f>ITE_LUC_Rates!G69</f>
        <v>16.190000000000001</v>
      </c>
      <c r="F81" s="53" t="s">
        <v>73</v>
      </c>
      <c r="G81" s="91">
        <f>ITE_LUC_Rates!Q69</f>
        <v>0</v>
      </c>
      <c r="H81" s="55">
        <f>+FEE_1_In!H78</f>
        <v>18532.749083577004</v>
      </c>
      <c r="I81" s="91">
        <f>FEE_1_Out!$H78</f>
        <v>18024.979301428939</v>
      </c>
      <c r="J81" s="91">
        <f>FEE_2_In!$H78</f>
        <v>22042.956920221059</v>
      </c>
      <c r="K81" s="55">
        <f>IF(F81="Prod",FEE_ByContextArea_ByMode!AC81*AreaModeSharesandPMT!$X$11+FEE_ByContextArea_ByMode!AD81+FEE_ByContextArea_ByMode!AE81*AreaModeSharesandPMT!$Z$11,FEE_ByContextArea_ByMode!AC81*AreaModeSharesandPMT!$X$19+FEE_ByContextArea_ByMode!AD81+FEE_ByContextArea_ByMode!AE81*AreaModeSharesandPMT!$Z$19)</f>
        <v>18004.065411473191</v>
      </c>
      <c r="L81" s="91">
        <f>FEE_2_Out!$H78</f>
        <v>19751.708782047601</v>
      </c>
      <c r="M81" s="91">
        <f>FEE_3_In!$H78</f>
        <v>21926.616668330924</v>
      </c>
      <c r="N81" s="55">
        <f>IF(I81="Prod",FEE_ByContextArea_ByMode!AG81*AreaModeSharesandPMT!$X$12+FEE_ByContextArea_ByMode!AH81+FEE_ByContextArea_ByMode!AI81*AreaModeSharesandPMT!$Z$12,FEE_ByContextArea_ByMode!AG81*AreaModeSharesandPMT!$X$20+FEE_ByContextArea_ByMode!AH81+FEE_ByContextArea_ByMode!AI81*AreaModeSharesandPMT!$Z$20)</f>
        <v>19327.273333740828</v>
      </c>
      <c r="O81" s="91">
        <f>FEE_3_Out!$H78</f>
        <v>21263.869827866165</v>
      </c>
      <c r="P81" s="91">
        <f>FEE_4_In!$H78</f>
        <v>20582.548661379078</v>
      </c>
      <c r="Q81" s="55">
        <f>IF(L81="Prod",FEE_ByContextArea_ByMode!AK81*AreaModeSharesandPMT!$X$13+FEE_ByContextArea_ByMode!AL81+FEE_ByContextArea_ByMode!AM81*AreaModeSharesandPMT!$Z$13,FEE_ByContextArea_ByMode!AK81*AreaModeSharesandPMT!$X$21+FEE_ByContextArea_ByMode!AL81+FEE_ByContextArea_ByMode!AM81*AreaModeSharesandPMT!$Z$21)</f>
        <v>20732.48901852428</v>
      </c>
      <c r="R81" s="91">
        <f>FEE_4_Out!$H78</f>
        <v>22815.354146177357</v>
      </c>
      <c r="S81" s="122">
        <f t="shared" si="35"/>
        <v>0</v>
      </c>
      <c r="T81" s="120">
        <f t="shared" si="36"/>
        <v>0</v>
      </c>
      <c r="U81" s="120">
        <f t="shared" si="37"/>
        <v>0</v>
      </c>
      <c r="V81" s="120">
        <f t="shared" si="38"/>
        <v>0</v>
      </c>
      <c r="W81" s="120">
        <f t="shared" si="39"/>
        <v>0</v>
      </c>
      <c r="X81" s="120">
        <f t="shared" si="40"/>
        <v>0</v>
      </c>
      <c r="Y81" s="120">
        <f t="shared" si="41"/>
        <v>0</v>
      </c>
      <c r="Z81" s="120">
        <f t="shared" si="42"/>
        <v>0</v>
      </c>
    </row>
    <row r="82" spans="1:26" x14ac:dyDescent="0.25">
      <c r="B82" s="51">
        <f>ITE_LUC_Rates!A70</f>
        <v>714</v>
      </c>
      <c r="C82" s="11" t="str">
        <f>ITE_LUC_Rates!B70</f>
        <v>Corporate Headquarters Buildings</v>
      </c>
      <c r="D82" s="52" t="str">
        <f>ITE_LUC_Rates!C70</f>
        <v>1000 GSF</v>
      </c>
      <c r="E82" s="112">
        <f>ITE_LUC_Rates!G70</f>
        <v>7.95</v>
      </c>
      <c r="F82" s="53" t="s">
        <v>73</v>
      </c>
      <c r="G82" s="91">
        <f>ITE_LUC_Rates!Q70</f>
        <v>0</v>
      </c>
      <c r="H82" s="55">
        <f>+FEE_1_In!H79</f>
        <v>9100.3925394958114</v>
      </c>
      <c r="I82" s="91">
        <f>FEE_1_Out!$H79</f>
        <v>8851.0553086077853</v>
      </c>
      <c r="J82" s="91">
        <f>FEE_2_In!$H79</f>
        <v>10824.058524753391</v>
      </c>
      <c r="K82" s="55">
        <f>IF(F82="Prod",FEE_ByContextArea_ByMode!AC82*AreaModeSharesandPMT!$X$11+FEE_ByContextArea_ByMode!AD82+FEE_ByContextArea_ByMode!AE82*AreaModeSharesandPMT!$Z$11,FEE_ByContextArea_ByMode!AC82*AreaModeSharesandPMT!$X$19+FEE_ByContextArea_ByMode!AD82+FEE_ByContextArea_ByMode!AE82*AreaModeSharesandPMT!$Z$19)</f>
        <v>8840.7856714769532</v>
      </c>
      <c r="L82" s="91">
        <f>FEE_2_Out!$H79</f>
        <v>9698.9552079850782</v>
      </c>
      <c r="M82" s="91">
        <f>FEE_3_In!$H79</f>
        <v>10766.930359063052</v>
      </c>
      <c r="N82" s="55">
        <f>IF(I82="Prod",FEE_ByContextArea_ByMode!AG82*AreaModeSharesandPMT!$X$12+FEE_ByContextArea_ByMode!AH82+FEE_ByContextArea_ByMode!AI82*AreaModeSharesandPMT!$Z$12,FEE_ByContextArea_ByMode!AG82*AreaModeSharesandPMT!$X$20+FEE_ByContextArea_ByMode!AH82+FEE_ByContextArea_ByMode!AI82*AreaModeSharesandPMT!$Z$20)</f>
        <v>9490.538789576256</v>
      </c>
      <c r="O82" s="91">
        <f>FEE_3_Out!$H79</f>
        <v>10441.492596141818</v>
      </c>
      <c r="P82" s="91">
        <f>FEE_4_In!$H79</f>
        <v>10106.934024580833</v>
      </c>
      <c r="Q82" s="55">
        <f>IF(L82="Prod",FEE_ByContextArea_ByMode!AK82*AreaModeSharesandPMT!$X$13+FEE_ByContextArea_ByMode!AL82+FEE_ByContextArea_ByMode!AM82*AreaModeSharesandPMT!$Z$13,FEE_ByContextArea_ByMode!AK82*AreaModeSharesandPMT!$X$21+FEE_ByContextArea_ByMode!AL82+FEE_ByContextArea_ByMode!AM82*AreaModeSharesandPMT!$Z$21)</f>
        <v>10180.561315458184</v>
      </c>
      <c r="R82" s="91">
        <f>FEE_4_Out!$H79</f>
        <v>11203.339435584308</v>
      </c>
      <c r="S82" s="122">
        <f t="shared" si="35"/>
        <v>0</v>
      </c>
      <c r="T82" s="120">
        <f t="shared" si="36"/>
        <v>0</v>
      </c>
      <c r="U82" s="120">
        <f t="shared" si="37"/>
        <v>0</v>
      </c>
      <c r="V82" s="120">
        <f t="shared" si="38"/>
        <v>0</v>
      </c>
      <c r="W82" s="120">
        <f t="shared" si="39"/>
        <v>0</v>
      </c>
      <c r="X82" s="120">
        <f t="shared" si="40"/>
        <v>0</v>
      </c>
      <c r="Y82" s="120">
        <f t="shared" si="41"/>
        <v>0</v>
      </c>
      <c r="Z82" s="120">
        <f t="shared" si="42"/>
        <v>0</v>
      </c>
    </row>
    <row r="83" spans="1:26" x14ac:dyDescent="0.25">
      <c r="B83" s="51">
        <f>ITE_LUC_Rates!A71</f>
        <v>715</v>
      </c>
      <c r="C83" s="11" t="str">
        <f>ITE_LUC_Rates!B71</f>
        <v>Single Tenant Office Building</v>
      </c>
      <c r="D83" s="52" t="str">
        <f>ITE_LUC_Rates!C71</f>
        <v>1000 GSF</v>
      </c>
      <c r="E83" s="112">
        <f>ITE_LUC_Rates!G71</f>
        <v>11.25</v>
      </c>
      <c r="F83" s="53" t="s">
        <v>73</v>
      </c>
      <c r="G83" s="91">
        <f>ITE_LUC_Rates!Q71</f>
        <v>0</v>
      </c>
      <c r="H83" s="55">
        <f>+FEE_1_In!H80</f>
        <v>12877.913970984637</v>
      </c>
      <c r="I83" s="91">
        <f>FEE_1_Out!$H80</f>
        <v>12525.078266897808</v>
      </c>
      <c r="J83" s="91">
        <f>FEE_2_In!$H80</f>
        <v>15317.063950122725</v>
      </c>
      <c r="K83" s="55">
        <f>IF(F83="Prod",FEE_ByContextArea_ByMode!AC83*AreaModeSharesandPMT!$X$11+FEE_ByContextArea_ByMode!AD83+FEE_ByContextArea_ByMode!AE83*AreaModeSharesandPMT!$Z$11,FEE_ByContextArea_ByMode!AC83*AreaModeSharesandPMT!$X$19+FEE_ByContextArea_ByMode!AD83+FEE_ByContextArea_ByMode!AE83*AreaModeSharesandPMT!$Z$19)</f>
        <v>12510.545761523983</v>
      </c>
      <c r="L83" s="91">
        <f>FEE_2_Out!$H80</f>
        <v>13724.936615073218</v>
      </c>
      <c r="M83" s="91">
        <f>FEE_3_In!$H80</f>
        <v>15236.2222062213</v>
      </c>
      <c r="N83" s="55">
        <f>IF(I83="Prod",FEE_ByContextArea_ByMode!AG83*AreaModeSharesandPMT!$X$12+FEE_ByContextArea_ByMode!AH83+FEE_ByContextArea_ByMode!AI83*AreaModeSharesandPMT!$Z$12,FEE_ByContextArea_ByMode!AG83*AreaModeSharesandPMT!$X$20+FEE_ByContextArea_ByMode!AH83+FEE_ByContextArea_ByMode!AI83*AreaModeSharesandPMT!$Z$20)</f>
        <v>13430.007721098475</v>
      </c>
      <c r="O83" s="91">
        <f>FEE_3_Out!$H80</f>
        <v>14775.697070012004</v>
      </c>
      <c r="P83" s="91">
        <f>FEE_4_In!$H80</f>
        <v>14302.265129123816</v>
      </c>
      <c r="Q83" s="55">
        <f>IF(L83="Prod",FEE_ByContextArea_ByMode!AK83*AreaModeSharesandPMT!$X$13+FEE_ByContextArea_ByMode!AL83+FEE_ByContextArea_ByMode!AM83*AreaModeSharesandPMT!$Z$13,FEE_ByContextArea_ByMode!AK83*AreaModeSharesandPMT!$X$21+FEE_ByContextArea_ByMode!AL83+FEE_ByContextArea_ByMode!AM83*AreaModeSharesandPMT!$Z$21)</f>
        <v>14406.454691686107</v>
      </c>
      <c r="R83" s="91">
        <f>FEE_4_Out!$H80</f>
        <v>15853.782220166475</v>
      </c>
      <c r="S83" s="122">
        <f t="shared" si="35"/>
        <v>0</v>
      </c>
      <c r="T83" s="120">
        <f t="shared" si="36"/>
        <v>0</v>
      </c>
      <c r="U83" s="120">
        <f t="shared" si="37"/>
        <v>0</v>
      </c>
      <c r="V83" s="120">
        <f t="shared" si="38"/>
        <v>0</v>
      </c>
      <c r="W83" s="120">
        <f t="shared" si="39"/>
        <v>0</v>
      </c>
      <c r="X83" s="120">
        <f t="shared" si="40"/>
        <v>0</v>
      </c>
      <c r="Y83" s="120">
        <f t="shared" si="41"/>
        <v>0</v>
      </c>
      <c r="Z83" s="120">
        <f t="shared" si="42"/>
        <v>0</v>
      </c>
    </row>
    <row r="84" spans="1:26" x14ac:dyDescent="0.25">
      <c r="B84" s="51">
        <f>ITE_LUC_Rates!A72</f>
        <v>720</v>
      </c>
      <c r="C84" s="11" t="str">
        <f>ITE_LUC_Rates!B72</f>
        <v>Medical Office Building</v>
      </c>
      <c r="D84" s="52" t="str">
        <f>ITE_LUC_Rates!C72</f>
        <v>1000 GSF</v>
      </c>
      <c r="E84" s="112">
        <f>ITE_LUC_Rates!G72</f>
        <v>34.799999999999997</v>
      </c>
      <c r="F84" s="53" t="s">
        <v>73</v>
      </c>
      <c r="G84" s="91">
        <f>ITE_LUC_Rates!Q72</f>
        <v>35910.699999999997</v>
      </c>
      <c r="H84" s="55">
        <f>+FEE_1_In!H81</f>
        <v>26316.685834669333</v>
      </c>
      <c r="I84" s="91">
        <f>FEE_1_Out!$H81</f>
        <v>25595.647753763627</v>
      </c>
      <c r="J84" s="91">
        <f>FEE_2_In!$H81</f>
        <v>31301.215460293883</v>
      </c>
      <c r="K84" s="55">
        <f>IF(F84="Prod",FEE_ByContextArea_ByMode!AC84*AreaModeSharesandPMT!$X$11+FEE_ByContextArea_ByMode!AD84+FEE_ByContextArea_ByMode!AE84*AreaModeSharesandPMT!$Z$11,FEE_ByContextArea_ByMode!AC84*AreaModeSharesandPMT!$X$19+FEE_ByContextArea_ByMode!AD84+FEE_ByContextArea_ByMode!AE84*AreaModeSharesandPMT!$Z$19)</f>
        <v>25565.949824489122</v>
      </c>
      <c r="L84" s="91">
        <f>FEE_2_Out!$H81</f>
        <v>28047.620586179077</v>
      </c>
      <c r="M84" s="91">
        <f>FEE_3_In!$H81</f>
        <v>31136.011159242171</v>
      </c>
      <c r="N84" s="55">
        <f>IF(I84="Prod",FEE_ByContextArea_ByMode!AG84*AreaModeSharesandPMT!$X$12+FEE_ByContextArea_ByMode!AH84+FEE_ByContextArea_ByMode!AI84*AreaModeSharesandPMT!$Z$12,FEE_ByContextArea_ByMode!AG84*AreaModeSharesandPMT!$X$20+FEE_ByContextArea_ByMode!AH84+FEE_ByContextArea_ByMode!AI84*AreaModeSharesandPMT!$Z$20)</f>
        <v>27444.918078320461</v>
      </c>
      <c r="O84" s="91">
        <f>FEE_3_Out!$H81</f>
        <v>30194.904132444593</v>
      </c>
      <c r="P84" s="91">
        <f>FEE_4_In!$H81</f>
        <v>29227.421380150707</v>
      </c>
      <c r="Q84" s="55">
        <f>IF(L84="Prod",FEE_ByContextArea_ByMode!AK84*AreaModeSharesandPMT!$X$13+FEE_ByContextArea_ByMode!AL84+FEE_ByContextArea_ByMode!AM84*AreaModeSharesandPMT!$Z$13,FEE_ByContextArea_ByMode!AK84*AreaModeSharesandPMT!$X$21+FEE_ByContextArea_ByMode!AL84+FEE_ByContextArea_ByMode!AM84*AreaModeSharesandPMT!$Z$21)</f>
        <v>29440.338160879426</v>
      </c>
      <c r="R84" s="91">
        <f>FEE_4_Out!$H81</f>
        <v>32398.027112110554</v>
      </c>
      <c r="S84" s="122">
        <f t="shared" si="35"/>
        <v>-0.26716310640925034</v>
      </c>
      <c r="T84" s="120">
        <f t="shared" si="36"/>
        <v>-0.28724174817634773</v>
      </c>
      <c r="U84" s="120">
        <f t="shared" si="37"/>
        <v>-0.21896202006145582</v>
      </c>
      <c r="V84" s="120">
        <f t="shared" si="38"/>
        <v>-0.12835964043324455</v>
      </c>
      <c r="W84" s="120">
        <f t="shared" si="39"/>
        <v>-0.15916692984418024</v>
      </c>
      <c r="X84" s="120">
        <f t="shared" si="40"/>
        <v>-0.13296006039308139</v>
      </c>
      <c r="Y84" s="120">
        <f t="shared" si="41"/>
        <v>-9.7816887108562178E-2</v>
      </c>
      <c r="Z84" s="120">
        <f t="shared" si="42"/>
        <v>-0.18610828025767501</v>
      </c>
    </row>
    <row r="85" spans="1:26" x14ac:dyDescent="0.25">
      <c r="B85" s="51">
        <f>ITE_LUC_Rates!A73</f>
        <v>730</v>
      </c>
      <c r="C85" s="11" t="str">
        <f>ITE_LUC_Rates!B73</f>
        <v>Government Office Building</v>
      </c>
      <c r="D85" s="52" t="str">
        <f>ITE_LUC_Rates!C73</f>
        <v>1000 GSF</v>
      </c>
      <c r="E85" s="112">
        <f>ITE_LUC_Rates!G73</f>
        <v>22.59</v>
      </c>
      <c r="F85" s="53" t="s">
        <v>73</v>
      </c>
      <c r="G85" s="91">
        <f>ITE_LUC_Rates!Q73</f>
        <v>0</v>
      </c>
      <c r="H85" s="55">
        <f>+FEE_1_In!H82</f>
        <v>25858.85125373715</v>
      </c>
      <c r="I85" s="91">
        <f>FEE_1_Out!$H82</f>
        <v>25150.357159930805</v>
      </c>
      <c r="J85" s="91">
        <f>FEE_2_In!$H82</f>
        <v>30756.664411846428</v>
      </c>
      <c r="K85" s="55">
        <f>IF(F85="Prod",FEE_ByContextArea_ByMode!AC85*AreaModeSharesandPMT!$X$11+FEE_ByContextArea_ByMode!AD85+FEE_ByContextArea_ByMode!AE85*AreaModeSharesandPMT!$Z$11,FEE_ByContextArea_ByMode!AC85*AreaModeSharesandPMT!$X$19+FEE_ByContextArea_ByMode!AD85+FEE_ByContextArea_ByMode!AE85*AreaModeSharesandPMT!$Z$19)</f>
        <v>25121.175889140162</v>
      </c>
      <c r="L85" s="91">
        <f>FEE_2_Out!$H82</f>
        <v>27559.672723067026</v>
      </c>
      <c r="M85" s="91">
        <f>FEE_3_In!$H82</f>
        <v>30594.33419009237</v>
      </c>
      <c r="N85" s="55">
        <f>IF(I85="Prod",FEE_ByContextArea_ByMode!AG85*AreaModeSharesandPMT!$X$12+FEE_ByContextArea_ByMode!AH85+FEE_ByContextArea_ByMode!AI85*AreaModeSharesandPMT!$Z$12,FEE_ByContextArea_ByMode!AG85*AreaModeSharesandPMT!$X$20+FEE_ByContextArea_ByMode!AH85+FEE_ByContextArea_ByMode!AI85*AreaModeSharesandPMT!$Z$20)</f>
        <v>26967.455503965739</v>
      </c>
      <c r="O85" s="91">
        <f>FEE_3_Out!$H82</f>
        <v>29669.599716584104</v>
      </c>
      <c r="P85" s="91">
        <f>FEE_4_In!$H82</f>
        <v>28718.948379280628</v>
      </c>
      <c r="Q85" s="55">
        <f>IF(L85="Prod",FEE_ByContextArea_ByMode!AK85*AreaModeSharesandPMT!$X$13+FEE_ByContextArea_ByMode!AL85+FEE_ByContextArea_ByMode!AM85*AreaModeSharesandPMT!$Z$13,FEE_ByContextArea_ByMode!AK85*AreaModeSharesandPMT!$X$21+FEE_ByContextArea_ByMode!AL85+FEE_ByContextArea_ByMode!AM85*AreaModeSharesandPMT!$Z$21)</f>
        <v>28928.1610209057</v>
      </c>
      <c r="R85" s="91">
        <f>FEE_4_Out!$H82</f>
        <v>31834.394698094278</v>
      </c>
      <c r="S85" s="122">
        <f t="shared" si="35"/>
        <v>0</v>
      </c>
      <c r="T85" s="120">
        <f t="shared" si="36"/>
        <v>0</v>
      </c>
      <c r="U85" s="120">
        <f t="shared" si="37"/>
        <v>0</v>
      </c>
      <c r="V85" s="120">
        <f t="shared" si="38"/>
        <v>0</v>
      </c>
      <c r="W85" s="120">
        <f t="shared" si="39"/>
        <v>0</v>
      </c>
      <c r="X85" s="120">
        <f t="shared" si="40"/>
        <v>0</v>
      </c>
      <c r="Y85" s="120">
        <f t="shared" si="41"/>
        <v>0</v>
      </c>
      <c r="Z85" s="120">
        <f t="shared" si="42"/>
        <v>0</v>
      </c>
    </row>
    <row r="86" spans="1:26" x14ac:dyDescent="0.25">
      <c r="B86" s="51">
        <f>ITE_LUC_Rates!A74</f>
        <v>731</v>
      </c>
      <c r="C86" s="11" t="str">
        <f>ITE_LUC_Rates!B74</f>
        <v>State Motor Vehicles Department</v>
      </c>
      <c r="D86" s="52" t="str">
        <f>ITE_LUC_Rates!C74</f>
        <v>1000 GSF</v>
      </c>
      <c r="E86" s="112">
        <f>ITE_LUC_Rates!G74</f>
        <v>11.21</v>
      </c>
      <c r="F86" s="53" t="s">
        <v>73</v>
      </c>
      <c r="G86" s="91">
        <f>ITE_LUC_Rates!Q74</f>
        <v>0</v>
      </c>
      <c r="H86" s="55">
        <f>+FEE_1_In!H83</f>
        <v>6335.3525693572828</v>
      </c>
      <c r="I86" s="91">
        <f>FEE_1_Out!$H83</f>
        <v>6161.7733243426055</v>
      </c>
      <c r="J86" s="91">
        <f>FEE_2_In!$H83</f>
        <v>7535.3042946287251</v>
      </c>
      <c r="K86" s="55">
        <f>IF(F86="Prod",FEE_ByContextArea_ByMode!AC86*AreaModeSharesandPMT!$X$11+FEE_ByContextArea_ByMode!AD86+FEE_ByContextArea_ByMode!AE86*AreaModeSharesandPMT!$Z$11,FEE_ByContextArea_ByMode!AC86*AreaModeSharesandPMT!$X$19+FEE_ByContextArea_ByMode!AD86+FEE_ByContextArea_ByMode!AE86*AreaModeSharesandPMT!$Z$19)</f>
        <v>6154.6239874650128</v>
      </c>
      <c r="L86" s="91">
        <f>FEE_2_Out!$H83</f>
        <v>6752.0494891084963</v>
      </c>
      <c r="M86" s="91">
        <f>FEE_3_In!$H83</f>
        <v>7495.5338045407234</v>
      </c>
      <c r="N86" s="55">
        <f>IF(I86="Prod",FEE_ByContextArea_ByMode!AG86*AreaModeSharesandPMT!$X$12+FEE_ByContextArea_ByMode!AH86+FEE_ByContextArea_ByMode!AI86*AreaModeSharesandPMT!$Z$12,FEE_ByContextArea_ByMode!AG86*AreaModeSharesandPMT!$X$20+FEE_ByContextArea_ByMode!AH86+FEE_ByContextArea_ByMode!AI86*AreaModeSharesandPMT!$Z$20)</f>
        <v>6606.9577816758701</v>
      </c>
      <c r="O86" s="91">
        <f>FEE_3_Out!$H83</f>
        <v>7268.9762183112416</v>
      </c>
      <c r="P86" s="91">
        <f>FEE_4_In!$H83</f>
        <v>7036.0690665877828</v>
      </c>
      <c r="Q86" s="55">
        <f>IF(L86="Prod",FEE_ByContextArea_ByMode!AK86*AreaModeSharesandPMT!$X$13+FEE_ByContextArea_ByMode!AL86+FEE_ByContextArea_ByMode!AM86*AreaModeSharesandPMT!$Z$13,FEE_ByContextArea_ByMode!AK86*AreaModeSharesandPMT!$X$21+FEE_ByContextArea_ByMode!AL86+FEE_ByContextArea_ByMode!AM86*AreaModeSharesandPMT!$Z$21)</f>
        <v>7087.3256299074665</v>
      </c>
      <c r="R86" s="91">
        <f>FEE_4_Out!$H83</f>
        <v>7799.3454645576376</v>
      </c>
      <c r="S86" s="122">
        <f t="shared" si="35"/>
        <v>0</v>
      </c>
      <c r="T86" s="120">
        <f t="shared" si="36"/>
        <v>0</v>
      </c>
      <c r="U86" s="120">
        <f t="shared" si="37"/>
        <v>0</v>
      </c>
      <c r="V86" s="120">
        <f t="shared" si="38"/>
        <v>0</v>
      </c>
      <c r="W86" s="120">
        <f t="shared" si="39"/>
        <v>0</v>
      </c>
      <c r="X86" s="120">
        <f t="shared" si="40"/>
        <v>0</v>
      </c>
      <c r="Y86" s="120">
        <f t="shared" si="41"/>
        <v>0</v>
      </c>
      <c r="Z86" s="120">
        <f t="shared" si="42"/>
        <v>0</v>
      </c>
    </row>
    <row r="87" spans="1:26" x14ac:dyDescent="0.25">
      <c r="B87" s="51">
        <f>ITE_LUC_Rates!A75</f>
        <v>733</v>
      </c>
      <c r="C87" s="11" t="str">
        <f>ITE_LUC_Rates!B75</f>
        <v>Government Office Complex</v>
      </c>
      <c r="D87" s="52" t="str">
        <f>ITE_LUC_Rates!C75</f>
        <v>1000 GSF</v>
      </c>
      <c r="E87" s="112">
        <f>ITE_LUC_Rates!G75</f>
        <v>33.979999999999997</v>
      </c>
      <c r="F87" s="53" t="s">
        <v>73</v>
      </c>
      <c r="G87" s="91">
        <f>ITE_LUC_Rates!Q75</f>
        <v>0</v>
      </c>
      <c r="H87" s="55">
        <f>+FEE_1_In!H84</f>
        <v>38897.02370969404</v>
      </c>
      <c r="I87" s="91">
        <f>FEE_1_Out!$H84</f>
        <v>37831.303067483335</v>
      </c>
      <c r="J87" s="91">
        <f>FEE_2_In!$H84</f>
        <v>46264.340713348451</v>
      </c>
      <c r="K87" s="55">
        <f>IF(F87="Prod",FEE_ByContextArea_ByMode!AC87*AreaModeSharesandPMT!$X$11+FEE_ByContextArea_ByMode!AD87+FEE_ByContextArea_ByMode!AE87*AreaModeSharesandPMT!$Z$11,FEE_ByContextArea_ByMode!AC87*AreaModeSharesandPMT!$X$19+FEE_ByContextArea_ByMode!AD87+FEE_ByContextArea_ByMode!AE87*AreaModeSharesandPMT!$Z$19)</f>
        <v>37787.408442363121</v>
      </c>
      <c r="L87" s="91">
        <f>FEE_2_Out!$H84</f>
        <v>41455.408549350053</v>
      </c>
      <c r="M87" s="91">
        <f>FEE_3_In!$H84</f>
        <v>46020.162717102205</v>
      </c>
      <c r="N87" s="55">
        <f>IF(I87="Prod",FEE_ByContextArea_ByMode!AG87*AreaModeSharesandPMT!$X$12+FEE_ByContextArea_ByMode!AH87+FEE_ByContextArea_ByMode!AI87*AreaModeSharesandPMT!$Z$12,FEE_ByContextArea_ByMode!AG87*AreaModeSharesandPMT!$X$20+FEE_ByContextArea_ByMode!AH87+FEE_ByContextArea_ByMode!AI87*AreaModeSharesandPMT!$Z$20)</f>
        <v>40564.592210037881</v>
      </c>
      <c r="O87" s="91">
        <f>FEE_3_Out!$H84</f>
        <v>44629.172127911814</v>
      </c>
      <c r="P87" s="91">
        <f>FEE_4_In!$H84</f>
        <v>43199.197252233535</v>
      </c>
      <c r="Q87" s="55">
        <f>IF(L87="Prod",FEE_ByContextArea_ByMode!AK87*AreaModeSharesandPMT!$X$13+FEE_ByContextArea_ByMode!AL87+FEE_ByContextArea_ByMode!AM87*AreaModeSharesandPMT!$Z$13,FEE_ByContextArea_ByMode!AK87*AreaModeSharesandPMT!$X$21+FEE_ByContextArea_ByMode!AL87+FEE_ByContextArea_ByMode!AM87*AreaModeSharesandPMT!$Z$21)</f>
        <v>43513.896037643906</v>
      </c>
      <c r="R87" s="91">
        <f>FEE_4_Out!$H84</f>
        <v>47885.468430333938</v>
      </c>
      <c r="S87" s="122">
        <f t="shared" si="35"/>
        <v>0</v>
      </c>
      <c r="T87" s="120">
        <f t="shared" si="36"/>
        <v>0</v>
      </c>
      <c r="U87" s="120">
        <f t="shared" si="37"/>
        <v>0</v>
      </c>
      <c r="V87" s="120">
        <f t="shared" si="38"/>
        <v>0</v>
      </c>
      <c r="W87" s="120">
        <f t="shared" si="39"/>
        <v>0</v>
      </c>
      <c r="X87" s="120">
        <f t="shared" si="40"/>
        <v>0</v>
      </c>
      <c r="Y87" s="120">
        <f t="shared" si="41"/>
        <v>0</v>
      </c>
      <c r="Z87" s="120">
        <f t="shared" si="42"/>
        <v>0</v>
      </c>
    </row>
    <row r="88" spans="1:26" x14ac:dyDescent="0.25">
      <c r="B88" s="51">
        <f>ITE_LUC_Rates!A76</f>
        <v>750</v>
      </c>
      <c r="C88" s="11" t="str">
        <f>ITE_LUC_Rates!B76</f>
        <v>Office Park</v>
      </c>
      <c r="D88" s="52" t="str">
        <f>ITE_LUC_Rates!C76</f>
        <v>1000 GSF</v>
      </c>
      <c r="E88" s="112">
        <f>ITE_LUC_Rates!G76</f>
        <v>11.07</v>
      </c>
      <c r="F88" s="53" t="s">
        <v>73</v>
      </c>
      <c r="G88" s="91">
        <f>ITE_LUC_Rates!Q76</f>
        <v>11350.1</v>
      </c>
      <c r="H88" s="55">
        <f>+FEE_1_In!H85</f>
        <v>12671.867347448882</v>
      </c>
      <c r="I88" s="91">
        <f>FEE_1_Out!$H85</f>
        <v>12324.677014627443</v>
      </c>
      <c r="J88" s="91">
        <f>FEE_2_In!$H85</f>
        <v>15071.990926920756</v>
      </c>
      <c r="K88" s="55">
        <f>IF(F88="Prod",FEE_ByContextArea_ByMode!AC88*AreaModeSharesandPMT!$X$11+FEE_ByContextArea_ByMode!AD88+FEE_ByContextArea_ByMode!AE88*AreaModeSharesandPMT!$Z$11,FEE_ByContextArea_ByMode!AC88*AreaModeSharesandPMT!$X$19+FEE_ByContextArea_ByMode!AD88+FEE_ByContextArea_ByMode!AE88*AreaModeSharesandPMT!$Z$19)</f>
        <v>12310.377029339601</v>
      </c>
      <c r="L88" s="91">
        <f>FEE_2_Out!$H85</f>
        <v>13505.337629232048</v>
      </c>
      <c r="M88" s="91">
        <f>FEE_3_In!$H85</f>
        <v>14992.442650921761</v>
      </c>
      <c r="N88" s="55">
        <f>IF(I88="Prod",FEE_ByContextArea_ByMode!AG88*AreaModeSharesandPMT!$X$12+FEE_ByContextArea_ByMode!AH88+FEE_ByContextArea_ByMode!AI88*AreaModeSharesandPMT!$Z$12,FEE_ByContextArea_ByMode!AG88*AreaModeSharesandPMT!$X$20+FEE_ByContextArea_ByMode!AH88+FEE_ByContextArea_ByMode!AI88*AreaModeSharesandPMT!$Z$20)</f>
        <v>13215.127597560899</v>
      </c>
      <c r="O88" s="91">
        <f>FEE_3_Out!$H85</f>
        <v>14539.285916891811</v>
      </c>
      <c r="P88" s="91">
        <f>FEE_4_In!$H85</f>
        <v>14073.428887057837</v>
      </c>
      <c r="Q88" s="55">
        <f>IF(L88="Prod",FEE_ByContextArea_ByMode!AK88*AreaModeSharesandPMT!$X$13+FEE_ByContextArea_ByMode!AL88+FEE_ByContextArea_ByMode!AM88*AreaModeSharesandPMT!$Z$13,FEE_ByContextArea_ByMode!AK88*AreaModeSharesandPMT!$X$21+FEE_ByContextArea_ByMode!AL88+FEE_ByContextArea_ByMode!AM88*AreaModeSharesandPMT!$Z$21)</f>
        <v>14175.951416619131</v>
      </c>
      <c r="R88" s="91">
        <f>FEE_4_Out!$H85</f>
        <v>15600.121704643811</v>
      </c>
      <c r="S88" s="122">
        <f t="shared" si="35"/>
        <v>0.11645424687437833</v>
      </c>
      <c r="T88" s="120">
        <f t="shared" si="36"/>
        <v>8.5865059746384809E-2</v>
      </c>
      <c r="U88" s="120">
        <f t="shared" si="37"/>
        <v>0.18988710489176719</v>
      </c>
      <c r="V88" s="120">
        <f t="shared" si="38"/>
        <v>0.32791701631886561</v>
      </c>
      <c r="W88" s="120">
        <f t="shared" si="39"/>
        <v>0.28098306771674353</v>
      </c>
      <c r="X88" s="120">
        <f t="shared" si="40"/>
        <v>0.32090841939029269</v>
      </c>
      <c r="Y88" s="120">
        <f t="shared" si="41"/>
        <v>0.37444795240956563</v>
      </c>
      <c r="Z88" s="120">
        <f t="shared" si="42"/>
        <v>0.23993875710855739</v>
      </c>
    </row>
    <row r="89" spans="1:26" x14ac:dyDescent="0.25">
      <c r="B89" s="51">
        <f>ITE_LUC_Rates!A77</f>
        <v>760</v>
      </c>
      <c r="C89" s="11" t="str">
        <f>ITE_LUC_Rates!B77</f>
        <v>Research Center</v>
      </c>
      <c r="D89" s="52" t="str">
        <f>ITE_LUC_Rates!C77</f>
        <v>1000 GSF</v>
      </c>
      <c r="E89" s="112">
        <f>ITE_LUC_Rates!G77</f>
        <v>11.26</v>
      </c>
      <c r="F89" s="53" t="s">
        <v>73</v>
      </c>
      <c r="G89" s="91">
        <f>ITE_LUC_Rates!Q77</f>
        <v>8060.1</v>
      </c>
      <c r="H89" s="55">
        <f>+FEE_1_In!H86</f>
        <v>12889.361005625515</v>
      </c>
      <c r="I89" s="91">
        <f>FEE_1_Out!$H86</f>
        <v>12536.211669801718</v>
      </c>
      <c r="J89" s="91">
        <f>FEE_2_In!$H86</f>
        <v>15330.679118078388</v>
      </c>
      <c r="K89" s="55">
        <f>IF(F89="Prod",FEE_ByContextArea_ByMode!AC89*AreaModeSharesandPMT!$X$11+FEE_ByContextArea_ByMode!AD89+FEE_ByContextArea_ByMode!AE89*AreaModeSharesandPMT!$Z$11,FEE_ByContextArea_ByMode!AC89*AreaModeSharesandPMT!$X$19+FEE_ByContextArea_ByMode!AD89+FEE_ByContextArea_ByMode!AE89*AreaModeSharesandPMT!$Z$19)</f>
        <v>12521.66624664534</v>
      </c>
      <c r="L89" s="91">
        <f>FEE_2_Out!$H86</f>
        <v>13737.136558731065</v>
      </c>
      <c r="M89" s="91">
        <f>FEE_3_In!$H86</f>
        <v>15249.765514849052</v>
      </c>
      <c r="N89" s="55">
        <f>IF(I89="Prod",FEE_ByContextArea_ByMode!AG89*AreaModeSharesandPMT!$X$12+FEE_ByContextArea_ByMode!AH89+FEE_ByContextArea_ByMode!AI89*AreaModeSharesandPMT!$Z$12,FEE_ByContextArea_ByMode!AG89*AreaModeSharesandPMT!$X$20+FEE_ByContextArea_ByMode!AH89+FEE_ByContextArea_ByMode!AI89*AreaModeSharesandPMT!$Z$20)</f>
        <v>13441.945505739452</v>
      </c>
      <c r="O89" s="91">
        <f>FEE_3_Out!$H86</f>
        <v>14788.831022963124</v>
      </c>
      <c r="P89" s="91">
        <f>FEE_4_In!$H86</f>
        <v>14314.978253683041</v>
      </c>
      <c r="Q89" s="55">
        <f>IF(L89="Prod",FEE_ByContextArea_ByMode!AK89*AreaModeSharesandPMT!$X$13+FEE_ByContextArea_ByMode!AL89+FEE_ByContextArea_ByMode!AM89*AreaModeSharesandPMT!$Z$13,FEE_ByContextArea_ByMode!AK89*AreaModeSharesandPMT!$X$21+FEE_ByContextArea_ByMode!AL89+FEE_ByContextArea_ByMode!AM89*AreaModeSharesandPMT!$Z$21)</f>
        <v>14419.26042918983</v>
      </c>
      <c r="R89" s="91">
        <f>FEE_4_Out!$H86</f>
        <v>15867.874471028845</v>
      </c>
      <c r="S89" s="122">
        <f t="shared" si="35"/>
        <v>0.59915646277658019</v>
      </c>
      <c r="T89" s="120">
        <f t="shared" si="36"/>
        <v>0.55534195230849703</v>
      </c>
      <c r="U89" s="120">
        <f t="shared" si="37"/>
        <v>0.70433822889679587</v>
      </c>
      <c r="V89" s="120">
        <f t="shared" si="38"/>
        <v>0.90204577090586802</v>
      </c>
      <c r="W89" s="120">
        <f t="shared" si="39"/>
        <v>0.83481979416671304</v>
      </c>
      <c r="X89" s="120">
        <f t="shared" si="40"/>
        <v>0.89200698686729085</v>
      </c>
      <c r="Y89" s="120">
        <f t="shared" si="41"/>
        <v>0.96869449151112819</v>
      </c>
      <c r="Z89" s="120">
        <f t="shared" si="42"/>
        <v>0.7760298574066129</v>
      </c>
    </row>
    <row r="90" spans="1:26" x14ac:dyDescent="0.25">
      <c r="B90" s="51">
        <f>ITE_LUC_Rates!A78</f>
        <v>770</v>
      </c>
      <c r="C90" s="11" t="str">
        <f>ITE_LUC_Rates!B78</f>
        <v>Business Park</v>
      </c>
      <c r="D90" s="52" t="str">
        <f>ITE_LUC_Rates!C78</f>
        <v>1000 GSF</v>
      </c>
      <c r="E90" s="112">
        <f>ITE_LUC_Rates!G78</f>
        <v>12.44</v>
      </c>
      <c r="F90" s="53" t="s">
        <v>73</v>
      </c>
      <c r="G90" s="91">
        <f>ITE_LUC_Rates!Q78</f>
        <v>12682.3</v>
      </c>
      <c r="H90" s="55">
        <f>+FEE_1_In!H87</f>
        <v>14240.111093248786</v>
      </c>
      <c r="I90" s="91">
        <f>FEE_1_Out!$H87</f>
        <v>13849.953212462997</v>
      </c>
      <c r="J90" s="91">
        <f>FEE_2_In!$H87</f>
        <v>16937.268936846813</v>
      </c>
      <c r="K90" s="55">
        <f>IF(F90="Prod",FEE_ByContextArea_ByMode!AC90*AreaModeSharesandPMT!$X$11+FEE_ByContextArea_ByMode!AD90+FEE_ByContextArea_ByMode!AE90*AreaModeSharesandPMT!$Z$11,FEE_ByContextArea_ByMode!AC90*AreaModeSharesandPMT!$X$19+FEE_ByContextArea_ByMode!AD90+FEE_ByContextArea_ByMode!AE90*AreaModeSharesandPMT!$Z$19)</f>
        <v>13833.883490965189</v>
      </c>
      <c r="L90" s="91">
        <f>FEE_2_Out!$H87</f>
        <v>15176.72991035652</v>
      </c>
      <c r="M90" s="91">
        <f>FEE_3_In!$H87</f>
        <v>16847.87593292382</v>
      </c>
      <c r="N90" s="55">
        <f>IF(I90="Prod",FEE_ByContextArea_ByMode!AG90*AreaModeSharesandPMT!$X$12+FEE_ByContextArea_ByMode!AH90+FEE_ByContextArea_ByMode!AI90*AreaModeSharesandPMT!$Z$12,FEE_ByContextArea_ByMode!AG90*AreaModeSharesandPMT!$X$20+FEE_ByContextArea_ByMode!AH90+FEE_ByContextArea_ByMode!AI90*AreaModeSharesandPMT!$Z$20)</f>
        <v>14850.604093374666</v>
      </c>
      <c r="O90" s="91">
        <f>FEE_3_Out!$H87</f>
        <v>16338.637471195492</v>
      </c>
      <c r="P90" s="91">
        <f>FEE_4_In!$H87</f>
        <v>15815.126951671133</v>
      </c>
      <c r="Q90" s="55">
        <f>IF(L90="Prod",FEE_ByContextArea_ByMode!AK90*AreaModeSharesandPMT!$X$13+FEE_ByContextArea_ByMode!AL90+FEE_ByContextArea_ByMode!AM90*AreaModeSharesandPMT!$Z$13,FEE_ByContextArea_ByMode!AK90*AreaModeSharesandPMT!$X$21+FEE_ByContextArea_ByMode!AL90+FEE_ByContextArea_ByMode!AM90*AreaModeSharesandPMT!$Z$21)</f>
        <v>15930.337454628901</v>
      </c>
      <c r="R90" s="91">
        <f>FEE_4_Out!$H87</f>
        <v>17530.760072788522</v>
      </c>
      <c r="S90" s="122">
        <f t="shared" si="35"/>
        <v>0.12283348393026405</v>
      </c>
      <c r="T90" s="120">
        <f t="shared" si="36"/>
        <v>9.2069515187544582E-2</v>
      </c>
      <c r="U90" s="120">
        <f t="shared" si="37"/>
        <v>0.19668592529403339</v>
      </c>
      <c r="V90" s="120">
        <f t="shared" si="38"/>
        <v>0.33550451707078488</v>
      </c>
      <c r="W90" s="120">
        <f t="shared" si="39"/>
        <v>0.28830239555880977</v>
      </c>
      <c r="X90" s="120">
        <f t="shared" si="40"/>
        <v>0.32845587416508204</v>
      </c>
      <c r="Y90" s="120">
        <f t="shared" si="41"/>
        <v>0.38230132332372868</v>
      </c>
      <c r="Z90" s="120">
        <f t="shared" si="42"/>
        <v>0.24702356446946805</v>
      </c>
    </row>
    <row r="91" spans="1:26" x14ac:dyDescent="0.25">
      <c r="B91" s="92" t="str">
        <f>ITE_LUC_Rates!A79</f>
        <v>Retail</v>
      </c>
      <c r="C91" s="93"/>
      <c r="D91" s="94"/>
      <c r="E91" s="113"/>
      <c r="F91" s="95"/>
      <c r="G91" s="96"/>
      <c r="H91" s="99"/>
      <c r="I91" s="99"/>
      <c r="J91" s="99"/>
      <c r="K91" s="99"/>
      <c r="L91" s="99"/>
      <c r="M91" s="99"/>
      <c r="N91" s="99"/>
      <c r="O91" s="99"/>
      <c r="P91" s="99"/>
      <c r="Q91" s="99"/>
      <c r="R91" s="99"/>
      <c r="S91" s="96"/>
      <c r="T91" s="98"/>
      <c r="U91" s="98"/>
      <c r="V91" s="98"/>
      <c r="W91" s="98"/>
      <c r="X91" s="98"/>
      <c r="Y91" s="98"/>
      <c r="Z91" s="98"/>
    </row>
    <row r="92" spans="1:26" x14ac:dyDescent="0.25">
      <c r="B92" s="51">
        <f>ITE_LUC_Rates!A80</f>
        <v>812</v>
      </c>
      <c r="C92" s="11" t="str">
        <f>ITE_LUC_Rates!B80</f>
        <v>Building Materials and Lumber Store</v>
      </c>
      <c r="D92" s="52" t="str">
        <f>ITE_LUC_Rates!C80</f>
        <v>1000 GSF</v>
      </c>
      <c r="E92" s="112">
        <f>ITE_LUC_Rates!G80</f>
        <v>18.05</v>
      </c>
      <c r="F92" s="53" t="s">
        <v>73</v>
      </c>
      <c r="G92" s="91">
        <f>ITE_LUC_Rates!Q80</f>
        <v>0</v>
      </c>
      <c r="H92" s="55">
        <f>+FEE_1_In!H89</f>
        <v>14574.903740433003</v>
      </c>
      <c r="I92" s="91">
        <f>FEE_1_Out!$H89</f>
        <v>14175.573038671821</v>
      </c>
      <c r="J92" s="91">
        <f>FEE_2_In!$H89</f>
        <v>17335.473211118682</v>
      </c>
      <c r="K92" s="55">
        <f>IF(F92="Prod",FEE_ByContextArea_ByMode!AC92*AreaModeSharesandPMT!$X$11+FEE_ByContextArea_ByMode!AD92+FEE_ByContextArea_ByMode!AE92*AreaModeSharesandPMT!$Z$11,FEE_ByContextArea_ByMode!AC92*AreaModeSharesandPMT!$X$19+FEE_ByContextArea_ByMode!AD92+FEE_ByContextArea_ByMode!AE92*AreaModeSharesandPMT!$Z$19)</f>
        <v>14159.125509405201</v>
      </c>
      <c r="L92" s="91">
        <f>FEE_2_Out!$H89</f>
        <v>15533.542968135054</v>
      </c>
      <c r="M92" s="91">
        <f>FEE_3_In!$H89</f>
        <v>17243.978529741969</v>
      </c>
      <c r="N92" s="55">
        <f>IF(I92="Prod",FEE_ByContextArea_ByMode!AG92*AreaModeSharesandPMT!$X$12+FEE_ByContextArea_ByMode!AH92+FEE_ByContextArea_ByMode!AI92*AreaModeSharesandPMT!$Z$12,FEE_ByContextArea_ByMode!AG92*AreaModeSharesandPMT!$X$20+FEE_ByContextArea_ByMode!AH92+FEE_ByContextArea_ByMode!AI92*AreaModeSharesandPMT!$Z$20)</f>
        <v>15199.749758331083</v>
      </c>
      <c r="O92" s="91">
        <f>FEE_3_Out!$H89</f>
        <v>16722.767598730668</v>
      </c>
      <c r="P92" s="91">
        <f>FEE_4_In!$H89</f>
        <v>16186.949066192043</v>
      </c>
      <c r="Q92" s="55">
        <f>IF(L92="Prod",FEE_ByContextArea_ByMode!AK92*AreaModeSharesandPMT!$X$13+FEE_ByContextArea_ByMode!AL92+FEE_ByContextArea_ByMode!AM92*AreaModeSharesandPMT!$Z$13,FEE_ByContextArea_ByMode!AK92*AreaModeSharesandPMT!$X$21+FEE_ByContextArea_ByMode!AL92+FEE_ByContextArea_ByMode!AM92*AreaModeSharesandPMT!$Z$21)</f>
        <v>16304.868229848882</v>
      </c>
      <c r="R92" s="91">
        <f>FEE_4_Out!$H89</f>
        <v>17942.917641889431</v>
      </c>
      <c r="S92" s="122">
        <f t="shared" ref="S92:S129" si="43">IFERROR(H92/$G92-1,0)</f>
        <v>0</v>
      </c>
      <c r="T92" s="120">
        <f t="shared" ref="T92:T129" si="44">IFERROR(I92/$G92-1,0)</f>
        <v>0</v>
      </c>
      <c r="U92" s="120">
        <f t="shared" ref="U92:U129" si="45">IFERROR(L92/$G92-1,0)</f>
        <v>0</v>
      </c>
      <c r="V92" s="120">
        <f t="shared" ref="V92:V129" si="46">IFERROR(J92/$G92-1,0)</f>
        <v>0</v>
      </c>
      <c r="W92" s="120">
        <f t="shared" ref="W92:W129" si="47">IFERROR(O92/$G92-1,0)</f>
        <v>0</v>
      </c>
      <c r="X92" s="120">
        <f t="shared" ref="X92:X129" si="48">IFERROR(M92/$G92-1,0)</f>
        <v>0</v>
      </c>
      <c r="Y92" s="120">
        <f t="shared" ref="Y92:Y129" si="49">IFERROR(R92/$G92-1,0)</f>
        <v>0</v>
      </c>
      <c r="Z92" s="120">
        <f t="shared" ref="Z92:Z129" si="50">IFERROR(P92/$G92-1,0)</f>
        <v>0</v>
      </c>
    </row>
    <row r="93" spans="1:26" x14ac:dyDescent="0.25">
      <c r="B93" s="51">
        <f>ITE_LUC_Rates!A81</f>
        <v>813</v>
      </c>
      <c r="C93" s="11" t="str">
        <f>ITE_LUC_Rates!B81</f>
        <v>Discount Superstore (Free standing)</v>
      </c>
      <c r="D93" s="52" t="str">
        <f>ITE_LUC_Rates!C81</f>
        <v>1000 GSF</v>
      </c>
      <c r="E93" s="112">
        <f>ITE_LUC_Rates!G81</f>
        <v>50.7</v>
      </c>
      <c r="F93" s="53" t="s">
        <v>73</v>
      </c>
      <c r="G93" s="91">
        <f>ITE_LUC_Rates!Q81</f>
        <v>20592.7</v>
      </c>
      <c r="H93" s="55">
        <f>+FEE_1_In!H90</f>
        <v>40208.421515320093</v>
      </c>
      <c r="I93" s="91">
        <f>FEE_1_Out!$H90</f>
        <v>39106.770522190091</v>
      </c>
      <c r="J93" s="91">
        <f>FEE_2_In!$H90</f>
        <v>47824.124704613074</v>
      </c>
      <c r="K93" s="55">
        <f>IF(F93="Prod",FEE_ByContextArea_ByMode!AC93*AreaModeSharesandPMT!$X$11+FEE_ByContextArea_ByMode!AD93+FEE_ByContextArea_ByMode!AE93*AreaModeSharesandPMT!$Z$11,FEE_ByContextArea_ByMode!AC93*AreaModeSharesandPMT!$X$19+FEE_ByContextArea_ByMode!AD93+FEE_ByContextArea_ByMode!AE93*AreaModeSharesandPMT!$Z$19)</f>
        <v>39061.396007104733</v>
      </c>
      <c r="L93" s="91">
        <f>FEE_2_Out!$H90</f>
        <v>42853.061290307713</v>
      </c>
      <c r="M93" s="91">
        <f>FEE_3_In!$H90</f>
        <v>47571.714343575899</v>
      </c>
      <c r="N93" s="55">
        <f>IF(I93="Prod",FEE_ByContextArea_ByMode!AG93*AreaModeSharesandPMT!$X$12+FEE_ByContextArea_ByMode!AH93+FEE_ByContextArea_ByMode!AI93*AreaModeSharesandPMT!$Z$12,FEE_ByContextArea_ByMode!AG93*AreaModeSharesandPMT!$X$20+FEE_ByContextArea_ByMode!AH93+FEE_ByContextArea_ByMode!AI93*AreaModeSharesandPMT!$Z$20)</f>
        <v>41932.211429631323</v>
      </c>
      <c r="O93" s="91">
        <f>FEE_3_Out!$H90</f>
        <v>46133.82705555515</v>
      </c>
      <c r="P93" s="91">
        <f>FEE_4_In!$H90</f>
        <v>44655.641141210755</v>
      </c>
      <c r="Q93" s="55">
        <f>IF(L93="Prod",FEE_ByContextArea_ByMode!AK93*AreaModeSharesandPMT!$X$13+FEE_ByContextArea_ByMode!AL93+FEE_ByContextArea_ByMode!AM93*AreaModeSharesandPMT!$Z$13,FEE_ByContextArea_ByMode!AK93*AreaModeSharesandPMT!$X$21+FEE_ByContextArea_ByMode!AL93+FEE_ByContextArea_ByMode!AM93*AreaModeSharesandPMT!$Z$21)</f>
        <v>44980.949871991266</v>
      </c>
      <c r="R93" s="91">
        <f>FEE_4_Out!$H90</f>
        <v>49499.908102880545</v>
      </c>
      <c r="S93" s="122">
        <f t="shared" si="43"/>
        <v>0.95255704765864069</v>
      </c>
      <c r="T93" s="120">
        <f t="shared" si="44"/>
        <v>0.89905988637673007</v>
      </c>
      <c r="U93" s="120">
        <f t="shared" si="45"/>
        <v>1.0809831294734402</v>
      </c>
      <c r="V93" s="120">
        <f t="shared" si="46"/>
        <v>1.3223824318624109</v>
      </c>
      <c r="W93" s="120">
        <f t="shared" si="47"/>
        <v>1.2403000604852763</v>
      </c>
      <c r="X93" s="120">
        <f t="shared" si="48"/>
        <v>1.3101251581179687</v>
      </c>
      <c r="Y93" s="120">
        <f t="shared" si="49"/>
        <v>1.4037599781903558</v>
      </c>
      <c r="Z93" s="120">
        <f t="shared" si="50"/>
        <v>1.1685180253784475</v>
      </c>
    </row>
    <row r="94" spans="1:26" x14ac:dyDescent="0.25">
      <c r="B94" s="51">
        <f>ITE_LUC_Rates!A82</f>
        <v>816</v>
      </c>
      <c r="C94" s="11" t="str">
        <f>ITE_LUC_Rates!B82</f>
        <v>Hardware/Paint Store/Pool Suply</v>
      </c>
      <c r="D94" s="52" t="str">
        <f>ITE_LUC_Rates!C82</f>
        <v>1000 GSF</v>
      </c>
      <c r="E94" s="112">
        <f>ITE_LUC_Rates!G82</f>
        <v>9.14</v>
      </c>
      <c r="F94" s="53" t="s">
        <v>73</v>
      </c>
      <c r="G94" s="91">
        <f>ITE_LUC_Rates!Q82</f>
        <v>14865.5</v>
      </c>
      <c r="H94" s="55">
        <f>+FEE_1_In!H91</f>
        <v>7248.618789941338</v>
      </c>
      <c r="I94" s="91">
        <f>FEE_1_Out!$H91</f>
        <v>7050.0174077478805</v>
      </c>
      <c r="J94" s="91">
        <f>FEE_2_In!$H91</f>
        <v>8621.5483195298548</v>
      </c>
      <c r="K94" s="55">
        <f>IF(F94="Prod",FEE_ByContextArea_ByMode!AC94*AreaModeSharesandPMT!$X$11+FEE_ByContextArea_ByMode!AD94+FEE_ByContextArea_ByMode!AE94*AreaModeSharesandPMT!$Z$11,FEE_ByContextArea_ByMode!AC94*AreaModeSharesandPMT!$X$19+FEE_ByContextArea_ByMode!AD94+FEE_ByContextArea_ByMode!AE94*AreaModeSharesandPMT!$Z$19)</f>
        <v>7041.8374655806201</v>
      </c>
      <c r="L94" s="91">
        <f>FEE_2_Out!$H91</f>
        <v>7725.3842247221428</v>
      </c>
      <c r="M94" s="91">
        <f>FEE_3_In!$H91</f>
        <v>8576.0447554296588</v>
      </c>
      <c r="N94" s="55">
        <f>IF(I94="Prod",FEE_ByContextArea_ByMode!AG94*AreaModeSharesandPMT!$X$12+FEE_ByContextArea_ByMode!AH94+FEE_ByContextArea_ByMode!AI94*AreaModeSharesandPMT!$Z$12,FEE_ByContextArea_ByMode!AG94*AreaModeSharesandPMT!$X$20+FEE_ByContextArea_ByMode!AH94+FEE_ByContextArea_ByMode!AI94*AreaModeSharesandPMT!$Z$20)</f>
        <v>7559.3769717323539</v>
      </c>
      <c r="O94" s="91">
        <f>FEE_3_Out!$H91</f>
        <v>8316.8279938416981</v>
      </c>
      <c r="P94" s="91">
        <f>FEE_4_In!$H91</f>
        <v>8050.3463516896727</v>
      </c>
      <c r="Q94" s="55">
        <f>IF(L94="Prod",FEE_ByContextArea_ByMode!AK94*AreaModeSharesandPMT!$X$13+FEE_ByContextArea_ByMode!AL94+FEE_ByContextArea_ByMode!AM94*AreaModeSharesandPMT!$Z$13,FEE_ByContextArea_ByMode!AK94*AreaModeSharesandPMT!$X$21+FEE_ByContextArea_ByMode!AL94+FEE_ByContextArea_ByMode!AM94*AreaModeSharesandPMT!$Z$21)</f>
        <v>8108.9917520710105</v>
      </c>
      <c r="R94" s="91">
        <f>FEE_4_Out!$H91</f>
        <v>8923.6520721958223</v>
      </c>
      <c r="S94" s="122">
        <f t="shared" si="43"/>
        <v>-0.51238647943618865</v>
      </c>
      <c r="T94" s="120">
        <f t="shared" si="44"/>
        <v>-0.52574636522499207</v>
      </c>
      <c r="U94" s="120">
        <f t="shared" si="45"/>
        <v>-0.48031453871567431</v>
      </c>
      <c r="V94" s="120">
        <f t="shared" si="46"/>
        <v>-0.42002971178030646</v>
      </c>
      <c r="W94" s="120">
        <f t="shared" si="47"/>
        <v>-0.44052820330014475</v>
      </c>
      <c r="X94" s="120">
        <f t="shared" si="48"/>
        <v>-0.42309072984900209</v>
      </c>
      <c r="Y94" s="120">
        <f t="shared" si="49"/>
        <v>-0.39970723674307473</v>
      </c>
      <c r="Z94" s="120">
        <f t="shared" si="50"/>
        <v>-0.45845438419900619</v>
      </c>
    </row>
    <row r="95" spans="1:26" x14ac:dyDescent="0.25">
      <c r="B95" s="51">
        <f>ITE_LUC_Rates!A83</f>
        <v>817</v>
      </c>
      <c r="C95" s="11" t="str">
        <f>ITE_LUC_Rates!B83</f>
        <v>Nursery Garden Center</v>
      </c>
      <c r="D95" s="52" t="str">
        <f>ITE_LUC_Rates!C83</f>
        <v>1000 GSF</v>
      </c>
      <c r="E95" s="112">
        <f>ITE_LUC_Rates!G83</f>
        <v>68.099999999999994</v>
      </c>
      <c r="F95" s="53" t="s">
        <v>73</v>
      </c>
      <c r="G95" s="91">
        <f>ITE_LUC_Rates!Q83</f>
        <v>17723.2</v>
      </c>
      <c r="H95" s="55">
        <f>+FEE_1_In!H92</f>
        <v>54007.761443654803</v>
      </c>
      <c r="I95" s="91">
        <f>FEE_1_Out!$H92</f>
        <v>52528.029044598523</v>
      </c>
      <c r="J95" s="91">
        <f>FEE_2_In!$H92</f>
        <v>64237.137916847154</v>
      </c>
      <c r="K95" s="55">
        <f>IF(F95="Prod",FEE_ByContextArea_ByMode!AC95*AreaModeSharesandPMT!$X$11+FEE_ByContextArea_ByMode!AD95+FEE_ByContextArea_ByMode!AE95*AreaModeSharesandPMT!$Z$11,FEE_ByContextArea_ByMode!AC95*AreaModeSharesandPMT!$X$19+FEE_ByContextArea_ByMode!AD95+FEE_ByContextArea_ByMode!AE95*AreaModeSharesandPMT!$Z$19)</f>
        <v>52467.08221072649</v>
      </c>
      <c r="L95" s="91">
        <f>FEE_2_Out!$H92</f>
        <v>57560.029070413329</v>
      </c>
      <c r="M95" s="91">
        <f>FEE_3_In!$H92</f>
        <v>63898.101514743968</v>
      </c>
      <c r="N95" s="55">
        <f>IF(I95="Prod",FEE_ByContextArea_ByMode!AG95*AreaModeSharesandPMT!$X$12+FEE_ByContextArea_ByMode!AH95+FEE_ByContextArea_ByMode!AI95*AreaModeSharesandPMT!$Z$12,FEE_ByContextArea_ByMode!AG95*AreaModeSharesandPMT!$X$20+FEE_ByContextArea_ByMode!AH95+FEE_ByContextArea_ByMode!AI95*AreaModeSharesandPMT!$Z$20)</f>
        <v>56323.147896605384</v>
      </c>
      <c r="O95" s="91">
        <f>FEE_3_Out!$H92</f>
        <v>61966.738116041532</v>
      </c>
      <c r="P95" s="91">
        <f>FEE_4_In!$H92</f>
        <v>59981.245793223927</v>
      </c>
      <c r="Q95" s="55">
        <f>IF(L95="Prod",FEE_ByContextArea_ByMode!AK95*AreaModeSharesandPMT!$X$13+FEE_ByContextArea_ByMode!AL95+FEE_ByContextArea_ByMode!AM95*AreaModeSharesandPMT!$Z$13,FEE_ByContextArea_ByMode!AK95*AreaModeSharesandPMT!$X$21+FEE_ByContextArea_ByMode!AL95+FEE_ByContextArea_ByMode!AM95*AreaModeSharesandPMT!$Z$21)</f>
        <v>60418.198940485294</v>
      </c>
      <c r="R95" s="91">
        <f>FEE_4_Out!$H92</f>
        <v>66488.042244697514</v>
      </c>
      <c r="S95" s="122">
        <f t="shared" si="43"/>
        <v>2.0472917669300577</v>
      </c>
      <c r="T95" s="120">
        <f t="shared" si="44"/>
        <v>1.9638005012976505</v>
      </c>
      <c r="U95" s="120">
        <f t="shared" si="45"/>
        <v>2.2477221421872646</v>
      </c>
      <c r="V95" s="120">
        <f t="shared" si="46"/>
        <v>2.624466118807391</v>
      </c>
      <c r="W95" s="120">
        <f t="shared" si="47"/>
        <v>2.4963628529860031</v>
      </c>
      <c r="X95" s="120">
        <f t="shared" si="48"/>
        <v>2.6053365935465358</v>
      </c>
      <c r="Y95" s="120">
        <f t="shared" si="49"/>
        <v>2.7514693872831946</v>
      </c>
      <c r="Z95" s="120">
        <f t="shared" si="50"/>
        <v>2.3843349842705566</v>
      </c>
    </row>
    <row r="96" spans="1:26" x14ac:dyDescent="0.25">
      <c r="A96" s="859"/>
      <c r="B96" s="662"/>
      <c r="C96" s="662"/>
      <c r="D96" s="94"/>
      <c r="E96" s="113"/>
      <c r="F96" s="95"/>
      <c r="G96" s="96"/>
      <c r="H96" s="99"/>
      <c r="I96" s="99"/>
      <c r="J96" s="99"/>
      <c r="K96" s="99"/>
      <c r="L96" s="99"/>
      <c r="M96" s="99"/>
      <c r="N96" s="99"/>
      <c r="O96" s="99"/>
      <c r="P96" s="99"/>
      <c r="Q96" s="99"/>
      <c r="R96" s="99"/>
      <c r="S96" s="769"/>
      <c r="T96" s="770"/>
      <c r="U96" s="770"/>
      <c r="V96" s="770"/>
      <c r="W96" s="770"/>
      <c r="X96" s="770"/>
      <c r="Y96" s="770"/>
      <c r="Z96" s="770"/>
    </row>
    <row r="97" spans="2:26" x14ac:dyDescent="0.25">
      <c r="B97" s="51">
        <f>ITE_LUC_Rates!A85</f>
        <v>820</v>
      </c>
      <c r="C97" s="11" t="str">
        <f>ITE_LUC_Rates!B85</f>
        <v>Shopping Center General, 1 - 10,000gsf</v>
      </c>
      <c r="D97" s="52" t="str">
        <f>ITE_LUC_Rates!C85</f>
        <v>1000 GSF</v>
      </c>
      <c r="E97" s="112">
        <f>ITE_LUC_Rates!G85</f>
        <v>156.80137359044605</v>
      </c>
      <c r="F97" s="53" t="s">
        <v>73</v>
      </c>
      <c r="G97" s="91">
        <f>ITE_LUC_Rates!Q85</f>
        <v>18799.7</v>
      </c>
      <c r="H97" s="55">
        <f>+FEE_1_In!H94</f>
        <v>17484.839081876627</v>
      </c>
      <c r="I97" s="91">
        <f>FEE_1_Out!$H94</f>
        <v>17005.780476406911</v>
      </c>
      <c r="J97" s="91">
        <f>FEE_2_In!$H94</f>
        <v>20796.566818052153</v>
      </c>
      <c r="K97" s="55">
        <f>IF(F97="Prod",FEE_ByContextArea_ByMode!AC97*AreaModeSharesandPMT!$X$11+FEE_ByContextArea_ByMode!AD97+FEE_ByContextArea_ByMode!AE97*AreaModeSharesandPMT!$Z$11,FEE_ByContextArea_ByMode!AC97*AreaModeSharesandPMT!$X$19+FEE_ByContextArea_ByMode!AD97+FEE_ByContextArea_ByMode!AE97*AreaModeSharesandPMT!$Z$19)</f>
        <v>16986.049134941961</v>
      </c>
      <c r="L97" s="91">
        <f>FEE_2_Out!$H94</f>
        <v>18634.874302174205</v>
      </c>
      <c r="M97" s="91">
        <f>FEE_3_In!$H94</f>
        <v>20686.804873190627</v>
      </c>
      <c r="N97" s="55">
        <f>IF(I97="Prod",FEE_ByContextArea_ByMode!AG97*AreaModeSharesandPMT!$X$12+FEE_ByContextArea_ByMode!AH97+FEE_ByContextArea_ByMode!AI97*AreaModeSharesandPMT!$Z$12,FEE_ByContextArea_ByMode!AG97*AreaModeSharesandPMT!$X$20+FEE_ByContextArea_ByMode!AH97+FEE_ByContextArea_ByMode!AI97*AreaModeSharesandPMT!$Z$20)</f>
        <v>18234.437999884631</v>
      </c>
      <c r="O97" s="91">
        <f>FEE_3_Out!$H94</f>
        <v>20061.532184001884</v>
      </c>
      <c r="P97" s="91">
        <f>FEE_4_In!$H94</f>
        <v>19418.735429706008</v>
      </c>
      <c r="Q97" s="55">
        <f>IF(L97="Prod",FEE_ByContextArea_ByMode!AK97*AreaModeSharesandPMT!$X$13+FEE_ByContextArea_ByMode!AL97+FEE_ByContextArea_ByMode!AM97*AreaModeSharesandPMT!$Z$13,FEE_ByContextArea_ByMode!AK97*AreaModeSharesandPMT!$X$21+FEE_ByContextArea_ByMode!AL97+FEE_ByContextArea_ByMode!AM97*AreaModeSharesandPMT!$Z$21)</f>
        <v>19560.1976059185</v>
      </c>
      <c r="R97" s="91">
        <f>FEE_4_Out!$H94</f>
        <v>21525.28985542935</v>
      </c>
      <c r="S97" s="122">
        <f t="shared" si="43"/>
        <v>-6.9940526610710485E-2</v>
      </c>
      <c r="T97" s="120">
        <f t="shared" si="44"/>
        <v>-9.5422773958791285E-2</v>
      </c>
      <c r="U97" s="120">
        <f t="shared" si="45"/>
        <v>-8.7674642587804996E-3</v>
      </c>
      <c r="V97" s="120">
        <f t="shared" si="46"/>
        <v>0.10621801507748274</v>
      </c>
      <c r="W97" s="120">
        <f t="shared" si="47"/>
        <v>6.71198042522958E-2</v>
      </c>
      <c r="X97" s="120">
        <f t="shared" si="48"/>
        <v>0.10037952058759592</v>
      </c>
      <c r="Y97" s="120">
        <f t="shared" si="49"/>
        <v>0.14498049731800777</v>
      </c>
      <c r="Z97" s="120">
        <f t="shared" si="50"/>
        <v>3.2927941919605574E-2</v>
      </c>
    </row>
    <row r="98" spans="2:26" x14ac:dyDescent="0.25">
      <c r="B98" s="51">
        <f>ITE_LUC_Rates!A86</f>
        <v>820</v>
      </c>
      <c r="C98" s="11" t="str">
        <f>ITE_LUC_Rates!B86</f>
        <v>Shopping Center General, 10,001 - 50,000gsf</v>
      </c>
      <c r="D98" s="52" t="str">
        <f>ITE_LUC_Rates!C86</f>
        <v>1000 GSF</v>
      </c>
      <c r="E98" s="112">
        <f>ITE_LUC_Rates!G86</f>
        <v>88.3774492278785</v>
      </c>
      <c r="F98" s="53" t="s">
        <v>73</v>
      </c>
      <c r="G98" s="91">
        <f>ITE_LUC_Rates!Q86</f>
        <v>14048.1</v>
      </c>
      <c r="H98" s="55">
        <f>+FEE_1_In!H95</f>
        <v>14166.451951739158</v>
      </c>
      <c r="I98" s="91">
        <f>FEE_1_Out!$H95</f>
        <v>13778.312221961016</v>
      </c>
      <c r="J98" s="91">
        <f>FEE_2_In!$H95</f>
        <v>16849.658335971839</v>
      </c>
      <c r="K98" s="55">
        <f>IF(F98="Prod",FEE_ByContextArea_ByMode!AC98*AreaModeSharesandPMT!$X$11+FEE_ByContextArea_ByMode!AD98+FEE_ByContextArea_ByMode!AE98*AreaModeSharesandPMT!$Z$11,FEE_ByContextArea_ByMode!AC98*AreaModeSharesandPMT!$X$19+FEE_ByContextArea_ByMode!AD98+FEE_ByContextArea_ByMode!AE98*AreaModeSharesandPMT!$Z$19)</f>
        <v>13762.325623542942</v>
      </c>
      <c r="L98" s="91">
        <f>FEE_2_Out!$H95</f>
        <v>15098.225965492606</v>
      </c>
      <c r="M98" s="91">
        <f>FEE_3_In!$H95</f>
        <v>16760.727730964332</v>
      </c>
      <c r="N98" s="55">
        <f>IF(I98="Prod",FEE_ByContextArea_ByMode!AG98*AreaModeSharesandPMT!$X$12+FEE_ByContextArea_ByMode!AH98+FEE_ByContextArea_ByMode!AI98*AreaModeSharesandPMT!$Z$12,FEE_ByContextArea_ByMode!AG98*AreaModeSharesandPMT!$X$20+FEE_ByContextArea_ByMode!AH98+FEE_ByContextArea_ByMode!AI98*AreaModeSharesandPMT!$Z$20)</f>
        <v>14773.78708392479</v>
      </c>
      <c r="O98" s="91">
        <f>FEE_3_Out!$H95</f>
        <v>16254.123382668758</v>
      </c>
      <c r="P98" s="91">
        <f>FEE_4_In!$H95</f>
        <v>15733.320800967842</v>
      </c>
      <c r="Q98" s="55">
        <f>IF(L98="Prod",FEE_ByContextArea_ByMode!AK98*AreaModeSharesandPMT!$X$13+FEE_ByContextArea_ByMode!AL98+FEE_ByContextArea_ByMode!AM98*AreaModeSharesandPMT!$Z$13,FEE_ByContextArea_ByMode!AK98*AreaModeSharesandPMT!$X$21+FEE_ByContextArea_ByMode!AL98+FEE_ByContextArea_ByMode!AM98*AreaModeSharesandPMT!$Z$21)</f>
        <v>15847.935360067784</v>
      </c>
      <c r="R98" s="91">
        <f>FEE_4_Out!$H95</f>
        <v>17440.079548702925</v>
      </c>
      <c r="S98" s="122">
        <f t="shared" si="43"/>
        <v>8.4247657504685769E-3</v>
      </c>
      <c r="T98" s="120">
        <f t="shared" si="44"/>
        <v>-1.9204574144473963E-2</v>
      </c>
      <c r="U98" s="120">
        <f t="shared" si="45"/>
        <v>7.4752170435333332E-2</v>
      </c>
      <c r="V98" s="120">
        <f t="shared" si="46"/>
        <v>0.19942613847935586</v>
      </c>
      <c r="W98" s="120">
        <f t="shared" si="47"/>
        <v>0.1570335762607582</v>
      </c>
      <c r="X98" s="120">
        <f t="shared" si="48"/>
        <v>0.19309570197851178</v>
      </c>
      <c r="Y98" s="120">
        <f t="shared" si="49"/>
        <v>0.24145468417102123</v>
      </c>
      <c r="Z98" s="120">
        <f t="shared" si="50"/>
        <v>0.11996076344614859</v>
      </c>
    </row>
    <row r="99" spans="2:26" x14ac:dyDescent="0.25">
      <c r="B99" s="51">
        <f>ITE_LUC_Rates!A87</f>
        <v>820</v>
      </c>
      <c r="C99" s="11" t="str">
        <f>ITE_LUC_Rates!B87</f>
        <v>Shopping Center General, 50,001 - 100,000gsf</v>
      </c>
      <c r="D99" s="52" t="str">
        <f>ITE_LUC_Rates!C87</f>
        <v>1000 GSF</v>
      </c>
      <c r="E99" s="112">
        <f>ITE_LUC_Rates!G87</f>
        <v>65.917489686786567</v>
      </c>
      <c r="F99" s="53" t="s">
        <v>73</v>
      </c>
      <c r="G99" s="91">
        <f>ITE_LUC_Rates!Q87</f>
        <v>13383.7</v>
      </c>
      <c r="H99" s="55">
        <f>+FEE_1_In!H96</f>
        <v>13230.76457963447</v>
      </c>
      <c r="I99" s="91">
        <f>FEE_1_Out!$H96</f>
        <v>12868.261293265223</v>
      </c>
      <c r="J99" s="91">
        <f>FEE_2_In!$H96</f>
        <v>15736.746466227929</v>
      </c>
      <c r="K99" s="55">
        <f>IF(F99="Prod",FEE_ByContextArea_ByMode!AC99*AreaModeSharesandPMT!$X$11+FEE_ByContextArea_ByMode!AD99+FEE_ByContextArea_ByMode!AE99*AreaModeSharesandPMT!$Z$11,FEE_ByContextArea_ByMode!AC99*AreaModeSharesandPMT!$X$19+FEE_ByContextArea_ByMode!AD99+FEE_ByContextArea_ByMode!AE99*AreaModeSharesandPMT!$Z$19)</f>
        <v>12853.330602022328</v>
      </c>
      <c r="L99" s="91">
        <f>FEE_2_Out!$H96</f>
        <v>14100.99536567681</v>
      </c>
      <c r="M99" s="91">
        <f>FEE_3_In!$H96</f>
        <v>15653.689685123727</v>
      </c>
      <c r="N99" s="55">
        <f>IF(I99="Prod",FEE_ByContextArea_ByMode!AG99*AreaModeSharesandPMT!$X$12+FEE_ByContextArea_ByMode!AH99+FEE_ByContextArea_ByMode!AI99*AreaModeSharesandPMT!$Z$12,FEE_ByContextArea_ByMode!AG99*AreaModeSharesandPMT!$X$20+FEE_ByContextArea_ByMode!AH99+FEE_ByContextArea_ByMode!AI99*AreaModeSharesandPMT!$Z$20)</f>
        <v>13797.985516977416</v>
      </c>
      <c r="O99" s="91">
        <f>FEE_3_Out!$H96</f>
        <v>15180.546311599277</v>
      </c>
      <c r="P99" s="91">
        <f>FEE_4_In!$H96</f>
        <v>14694.142491191395</v>
      </c>
      <c r="Q99" s="55">
        <f>IF(L99="Prod",FEE_ByContextArea_ByMode!AK99*AreaModeSharesandPMT!$X$13+FEE_ByContextArea_ByMode!AL99+FEE_ByContextArea_ByMode!AM99*AreaModeSharesandPMT!$Z$13,FEE_ByContextArea_ByMode!AK99*AreaModeSharesandPMT!$X$21+FEE_ByContextArea_ByMode!AL99+FEE_ByContextArea_ByMode!AM99*AreaModeSharesandPMT!$Z$21)</f>
        <v>14801.186813511193</v>
      </c>
      <c r="R99" s="91">
        <f>FEE_4_Out!$H96</f>
        <v>16288.170640402204</v>
      </c>
      <c r="S99" s="122">
        <f t="shared" si="43"/>
        <v>-1.142699106865297E-2</v>
      </c>
      <c r="T99" s="120">
        <f t="shared" si="44"/>
        <v>-3.8512422329757712E-2</v>
      </c>
      <c r="U99" s="120">
        <f t="shared" si="45"/>
        <v>5.3594698452356981E-2</v>
      </c>
      <c r="V99" s="120">
        <f t="shared" si="46"/>
        <v>0.17581434627404446</v>
      </c>
      <c r="W99" s="120">
        <f t="shared" si="47"/>
        <v>0.13425632012068989</v>
      </c>
      <c r="X99" s="120">
        <f t="shared" si="48"/>
        <v>0.16960853016159394</v>
      </c>
      <c r="Y99" s="120">
        <f t="shared" si="49"/>
        <v>0.21701552189620243</v>
      </c>
      <c r="Z99" s="120">
        <f t="shared" si="50"/>
        <v>9.7913319275790167E-2</v>
      </c>
    </row>
    <row r="100" spans="2:26" x14ac:dyDescent="0.25">
      <c r="B100" s="51">
        <f>ITE_LUC_Rates!A88</f>
        <v>820</v>
      </c>
      <c r="C100" s="11" t="str">
        <f>ITE_LUC_Rates!B88</f>
        <v>Shopping Center General, 100,001 - 200,000gsf</v>
      </c>
      <c r="D100" s="52" t="str">
        <f>ITE_LUC_Rates!C88</f>
        <v>1000 GSF</v>
      </c>
      <c r="E100" s="112">
        <f>ITE_LUC_Rates!G88</f>
        <v>51.829042350493665</v>
      </c>
      <c r="F100" s="53" t="s">
        <v>73</v>
      </c>
      <c r="G100" s="91">
        <f>ITE_LUC_Rates!Q88</f>
        <v>20241.2</v>
      </c>
      <c r="H100" s="55">
        <f>+FEE_1_In!H97</f>
        <v>12227.105280890966</v>
      </c>
      <c r="I100" s="91">
        <f>FEE_1_Out!$H97</f>
        <v>11892.100767702945</v>
      </c>
      <c r="J100" s="91">
        <f>FEE_2_In!$H97</f>
        <v>14542.988401247305</v>
      </c>
      <c r="K100" s="55">
        <f>IF(F100="Prod",FEE_ByContextArea_ByMode!AC100*AreaModeSharesandPMT!$X$11+FEE_ByContextArea_ByMode!AD100+FEE_ByContextArea_ByMode!AE100*AreaModeSharesandPMT!$Z$11,FEE_ByContextArea_ByMode!AC100*AreaModeSharesandPMT!$X$19+FEE_ByContextArea_ByMode!AD100+FEE_ByContextArea_ByMode!AE100*AreaModeSharesandPMT!$Z$19)</f>
        <v>11878.302688790382</v>
      </c>
      <c r="L100" s="91">
        <f>FEE_2_Out!$H97</f>
        <v>13031.322102645205</v>
      </c>
      <c r="M100" s="91">
        <f>FEE_3_In!$H97</f>
        <v>14466.232141188366</v>
      </c>
      <c r="N100" s="55">
        <f>IF(I100="Prod",FEE_ByContextArea_ByMode!AG100*AreaModeSharesandPMT!$X$12+FEE_ByContextArea_ByMode!AH100+FEE_ByContextArea_ByMode!AI100*AreaModeSharesandPMT!$Z$12,FEE_ByContextArea_ByMode!AG100*AreaModeSharesandPMT!$X$20+FEE_ByContextArea_ByMode!AH100+FEE_ByContextArea_ByMode!AI100*AreaModeSharesandPMT!$Z$20)</f>
        <v>12751.29797411546</v>
      </c>
      <c r="O100" s="91">
        <f>FEE_3_Out!$H97</f>
        <v>14028.980476235893</v>
      </c>
      <c r="P100" s="91">
        <f>FEE_4_In!$H97</f>
        <v>13579.47427533884</v>
      </c>
      <c r="Q100" s="55">
        <f>IF(L100="Prod",FEE_ByContextArea_ByMode!AK100*AreaModeSharesandPMT!$X$13+FEE_ByContextArea_ByMode!AL100+FEE_ByContextArea_ByMode!AM100*AreaModeSharesandPMT!$Z$13,FEE_ByContextArea_ByMode!AK100*AreaModeSharesandPMT!$X$21+FEE_ByContextArea_ByMode!AL100+FEE_ByContextArea_ByMode!AM100*AreaModeSharesandPMT!$Z$21)</f>
        <v>13678.398429785702</v>
      </c>
      <c r="R100" s="91">
        <f>FEE_4_Out!$H97</f>
        <v>15052.582642114936</v>
      </c>
      <c r="S100" s="122">
        <f t="shared" si="43"/>
        <v>-0.39592982229853146</v>
      </c>
      <c r="T100" s="120">
        <f t="shared" si="44"/>
        <v>-0.41248044741897993</v>
      </c>
      <c r="U100" s="120">
        <f t="shared" si="45"/>
        <v>-0.35619814523619131</v>
      </c>
      <c r="V100" s="120">
        <f t="shared" si="46"/>
        <v>-0.28151550297179495</v>
      </c>
      <c r="W100" s="120">
        <f t="shared" si="47"/>
        <v>-0.30690964585914415</v>
      </c>
      <c r="X100" s="120">
        <f t="shared" si="48"/>
        <v>-0.2853075834837675</v>
      </c>
      <c r="Y100" s="120">
        <f t="shared" si="49"/>
        <v>-0.25633941455472331</v>
      </c>
      <c r="Z100" s="120">
        <f t="shared" si="50"/>
        <v>-0.32911713360182004</v>
      </c>
    </row>
    <row r="101" spans="2:26" x14ac:dyDescent="0.25">
      <c r="B101" s="51">
        <f>ITE_LUC_Rates!A89</f>
        <v>820</v>
      </c>
      <c r="C101" s="11" t="str">
        <f>ITE_LUC_Rates!B89</f>
        <v>Shopping Center General, 200,001 - 300,000gsf</v>
      </c>
      <c r="D101" s="52" t="str">
        <f>ITE_LUC_Rates!C89</f>
        <v>1000 GSF</v>
      </c>
      <c r="E101" s="112">
        <f>ITE_LUC_Rates!G89</f>
        <v>44.841430781139344</v>
      </c>
      <c r="F101" s="53" t="s">
        <v>73</v>
      </c>
      <c r="G101" s="91">
        <f>ITE_LUC_Rates!Q89</f>
        <v>18774.5</v>
      </c>
      <c r="H101" s="55">
        <f>+FEE_1_In!H98</f>
        <v>11375.556172518816</v>
      </c>
      <c r="I101" s="91">
        <f>FEE_1_Out!$H98</f>
        <v>11063.88283935684</v>
      </c>
      <c r="J101" s="91">
        <f>FEE_2_In!$H98</f>
        <v>13530.151059811878</v>
      </c>
      <c r="K101" s="55">
        <f>IF(F101="Prod",FEE_ByContextArea_ByMode!AC101*AreaModeSharesandPMT!$X$11+FEE_ByContextArea_ByMode!AD101+FEE_ByContextArea_ByMode!AE101*AreaModeSharesandPMT!$Z$11,FEE_ByContextArea_ByMode!AC101*AreaModeSharesandPMT!$X$19+FEE_ByContextArea_ByMode!AD101+FEE_ByContextArea_ByMode!AE101*AreaModeSharesandPMT!$Z$19)</f>
        <v>11051.045719029758</v>
      </c>
      <c r="L101" s="91">
        <f>FEE_2_Out!$H98</f>
        <v>12123.763816158507</v>
      </c>
      <c r="M101" s="91">
        <f>FEE_3_In!$H98</f>
        <v>13458.740441531074</v>
      </c>
      <c r="N101" s="55">
        <f>IF(I101="Prod",FEE_ByContextArea_ByMode!AG101*AreaModeSharesandPMT!$X$12+FEE_ByContextArea_ByMode!AH101+FEE_ByContextArea_ByMode!AI101*AreaModeSharesandPMT!$Z$12,FEE_ByContextArea_ByMode!AG101*AreaModeSharesandPMT!$X$20+FEE_ByContextArea_ByMode!AH101+FEE_ByContextArea_ByMode!AI101*AreaModeSharesandPMT!$Z$20)</f>
        <v>11863.241793114428</v>
      </c>
      <c r="O101" s="91">
        <f>FEE_3_Out!$H98</f>
        <v>13051.940895610114</v>
      </c>
      <c r="P101" s="91">
        <f>FEE_4_In!$H98</f>
        <v>12633.740273244379</v>
      </c>
      <c r="Q101" s="55">
        <f>IF(L101="Prod",FEE_ByContextArea_ByMode!AK101*AreaModeSharesandPMT!$X$13+FEE_ByContextArea_ByMode!AL101+FEE_ByContextArea_ByMode!AM101*AreaModeSharesandPMT!$Z$13,FEE_ByContextArea_ByMode!AK101*AreaModeSharesandPMT!$X$21+FEE_ByContextArea_ByMode!AL101+FEE_ByContextArea_ByMode!AM101*AreaModeSharesandPMT!$Z$21)</f>
        <v>12725.774916757911</v>
      </c>
      <c r="R101" s="91">
        <f>FEE_4_Out!$H98</f>
        <v>14004.254928144601</v>
      </c>
      <c r="S101" s="122">
        <f t="shared" si="43"/>
        <v>-0.39409538616107931</v>
      </c>
      <c r="T101" s="120">
        <f t="shared" si="44"/>
        <v>-0.41069627210541748</v>
      </c>
      <c r="U101" s="120">
        <f t="shared" si="45"/>
        <v>-0.35424305221664987</v>
      </c>
      <c r="V101" s="120">
        <f t="shared" si="46"/>
        <v>-0.27933361422078462</v>
      </c>
      <c r="W101" s="120">
        <f t="shared" si="47"/>
        <v>-0.3048048738656095</v>
      </c>
      <c r="X101" s="120">
        <f t="shared" si="48"/>
        <v>-0.2831372104966271</v>
      </c>
      <c r="Y101" s="120">
        <f t="shared" si="49"/>
        <v>-0.25408107123254409</v>
      </c>
      <c r="Z101" s="120">
        <f t="shared" si="50"/>
        <v>-0.32707980115345925</v>
      </c>
    </row>
    <row r="102" spans="2:26" x14ac:dyDescent="0.25">
      <c r="B102" s="51">
        <f>ITE_LUC_Rates!A90</f>
        <v>820</v>
      </c>
      <c r="C102" s="11" t="str">
        <f>ITE_LUC_Rates!B90</f>
        <v>Shopping Center General, 300,001 - 400,000gsf</v>
      </c>
      <c r="D102" s="52" t="str">
        <f>ITE_LUC_Rates!C90</f>
        <v>1000 GSF</v>
      </c>
      <c r="E102" s="112">
        <f>ITE_LUC_Rates!G90</f>
        <v>40.264145799881483</v>
      </c>
      <c r="F102" s="53" t="s">
        <v>73</v>
      </c>
      <c r="G102" s="91">
        <f>ITE_LUC_Rates!Q90</f>
        <v>25847.3</v>
      </c>
      <c r="H102" s="55">
        <f>+FEE_1_In!H99</f>
        <v>10910.296181225494</v>
      </c>
      <c r="I102" s="91">
        <f>FEE_1_Out!$H99</f>
        <v>10611.370280371368</v>
      </c>
      <c r="J102" s="91">
        <f>FEE_2_In!$H99</f>
        <v>12976.768186146941</v>
      </c>
      <c r="K102" s="55">
        <f>IF(F102="Prod",FEE_ByContextArea_ByMode!AC102*AreaModeSharesandPMT!$X$11+FEE_ByContextArea_ByMode!AD102+FEE_ByContextArea_ByMode!AE102*AreaModeSharesandPMT!$Z$11,FEE_ByContextArea_ByMode!AC102*AreaModeSharesandPMT!$X$19+FEE_ByContextArea_ByMode!AD102+FEE_ByContextArea_ByMode!AE102*AreaModeSharesandPMT!$Z$19)</f>
        <v>10599.05819797659</v>
      </c>
      <c r="L102" s="91">
        <f>FEE_2_Out!$H99</f>
        <v>11627.90214908899</v>
      </c>
      <c r="M102" s="91">
        <f>FEE_3_In!$H99</f>
        <v>12908.278260545749</v>
      </c>
      <c r="N102" s="55">
        <f>IF(I102="Prod",FEE_ByContextArea_ByMode!AG102*AreaModeSharesandPMT!$X$12+FEE_ByContextArea_ByMode!AH102+FEE_ByContextArea_ByMode!AI102*AreaModeSharesandPMT!$Z$12,FEE_ByContextArea_ByMode!AG102*AreaModeSharesandPMT!$X$20+FEE_ByContextArea_ByMode!AH102+FEE_ByContextArea_ByMode!AI102*AreaModeSharesandPMT!$Z$20)</f>
        <v>11378.035470920791</v>
      </c>
      <c r="O102" s="91">
        <f>FEE_3_Out!$H99</f>
        <v>12518.116806892358</v>
      </c>
      <c r="P102" s="91">
        <f>FEE_4_In!$H99</f>
        <v>12117.020580564049</v>
      </c>
      <c r="Q102" s="55">
        <f>IF(L102="Prod",FEE_ByContextArea_ByMode!AK102*AreaModeSharesandPMT!$X$13+FEE_ByContextArea_ByMode!AL102+FEE_ByContextArea_ByMode!AM102*AreaModeSharesandPMT!$Z$13,FEE_ByContextArea_ByMode!AK102*AreaModeSharesandPMT!$X$21+FEE_ByContextArea_ByMode!AL102+FEE_ByContextArea_ByMode!AM102*AreaModeSharesandPMT!$Z$21)</f>
        <v>12205.291009230377</v>
      </c>
      <c r="R102" s="91">
        <f>FEE_4_Out!$H99</f>
        <v>13431.481216941052</v>
      </c>
      <c r="S102" s="122">
        <f t="shared" si="43"/>
        <v>-0.57789416375306146</v>
      </c>
      <c r="T102" s="120">
        <f t="shared" si="44"/>
        <v>-0.58945923634687691</v>
      </c>
      <c r="U102" s="120">
        <f t="shared" si="45"/>
        <v>-0.55013087830879859</v>
      </c>
      <c r="V102" s="120">
        <f t="shared" si="46"/>
        <v>-0.49794492321646977</v>
      </c>
      <c r="W102" s="120">
        <f t="shared" si="47"/>
        <v>-0.51568957659436931</v>
      </c>
      <c r="X102" s="120">
        <f t="shared" si="48"/>
        <v>-0.50059471354664709</v>
      </c>
      <c r="Y102" s="120">
        <f t="shared" si="49"/>
        <v>-0.48035263965903385</v>
      </c>
      <c r="Z102" s="120">
        <f t="shared" si="50"/>
        <v>-0.53120749244354148</v>
      </c>
    </row>
    <row r="103" spans="2:26" x14ac:dyDescent="0.25">
      <c r="B103" s="51">
        <f>ITE_LUC_Rates!A91</f>
        <v>820</v>
      </c>
      <c r="C103" s="11" t="str">
        <f>ITE_LUC_Rates!B91</f>
        <v>Shopping Center General, 400,001 - 500,000gsf</v>
      </c>
      <c r="D103" s="52" t="str">
        <f>ITE_LUC_Rates!C91</f>
        <v>1000 GSF</v>
      </c>
      <c r="E103" s="112">
        <f>ITE_LUC_Rates!G91</f>
        <v>37.152860747503944</v>
      </c>
      <c r="F103" s="53" t="s">
        <v>73</v>
      </c>
      <c r="G103" s="91">
        <f>ITE_LUC_Rates!Q91</f>
        <v>24653.1</v>
      </c>
      <c r="H103" s="55">
        <f>+FEE_1_In!H100</f>
        <v>10730.100774769875</v>
      </c>
      <c r="I103" s="91">
        <f>FEE_1_Out!$H100</f>
        <v>10436.111960252339</v>
      </c>
      <c r="J103" s="91">
        <f>FEE_2_In!$H100</f>
        <v>12762.442747227416</v>
      </c>
      <c r="K103" s="55">
        <f>IF(F103="Prod",FEE_ByContextArea_ByMode!AC103*AreaModeSharesandPMT!$X$11+FEE_ByContextArea_ByMode!AD103+FEE_ByContextArea_ByMode!AE103*AreaModeSharesandPMT!$Z$11,FEE_ByContextArea_ByMode!AC103*AreaModeSharesandPMT!$X$19+FEE_ByContextArea_ByMode!AD103+FEE_ByContextArea_ByMode!AE103*AreaModeSharesandPMT!$Z$19)</f>
        <v>10424.003225287786</v>
      </c>
      <c r="L103" s="91">
        <f>FEE_2_Out!$H100</f>
        <v>11435.854699672638</v>
      </c>
      <c r="M103" s="91">
        <f>FEE_3_In!$H100</f>
        <v>12695.084007230798</v>
      </c>
      <c r="N103" s="55">
        <f>IF(I103="Prod",FEE_ByContextArea_ByMode!AG103*AreaModeSharesandPMT!$X$12+FEE_ByContextArea_ByMode!AH103+FEE_ByContextArea_ByMode!AI103*AreaModeSharesandPMT!$Z$12,FEE_ByContextArea_ByMode!AG103*AreaModeSharesandPMT!$X$20+FEE_ByContextArea_ByMode!AH103+FEE_ByContextArea_ByMode!AI103*AreaModeSharesandPMT!$Z$20)</f>
        <v>11190.114841426135</v>
      </c>
      <c r="O103" s="91">
        <f>FEE_3_Out!$H100</f>
        <v>12311.366494287782</v>
      </c>
      <c r="P103" s="91">
        <f>FEE_4_In!$H100</f>
        <v>11916.894808332207</v>
      </c>
      <c r="Q103" s="55">
        <f>IF(L103="Prod",FEE_ByContextArea_ByMode!AK103*AreaModeSharesandPMT!$X$13+FEE_ByContextArea_ByMode!AL103+FEE_ByContextArea_ByMode!AM103*AreaModeSharesandPMT!$Z$13,FEE_ByContextArea_ByMode!AK103*AreaModeSharesandPMT!$X$21+FEE_ByContextArea_ByMode!AL103+FEE_ByContextArea_ByMode!AM103*AreaModeSharesandPMT!$Z$21)</f>
        <v>12003.707354874408</v>
      </c>
      <c r="R103" s="91">
        <f>FEE_4_Out!$H100</f>
        <v>13209.645697814398</v>
      </c>
      <c r="S103" s="122">
        <f t="shared" si="43"/>
        <v>-0.56475653062820186</v>
      </c>
      <c r="T103" s="120">
        <f t="shared" si="44"/>
        <v>-0.57668155484493466</v>
      </c>
      <c r="U103" s="120">
        <f t="shared" si="45"/>
        <v>-0.53612913995916789</v>
      </c>
      <c r="V103" s="120">
        <f t="shared" si="46"/>
        <v>-0.48231894783100637</v>
      </c>
      <c r="W103" s="120">
        <f t="shared" si="47"/>
        <v>-0.50061588626632014</v>
      </c>
      <c r="X103" s="120">
        <f t="shared" si="48"/>
        <v>-0.48505121030495968</v>
      </c>
      <c r="Y103" s="120">
        <f t="shared" si="49"/>
        <v>-0.46417912157844654</v>
      </c>
      <c r="Z103" s="120">
        <f t="shared" si="50"/>
        <v>-0.51661678213562567</v>
      </c>
    </row>
    <row r="104" spans="2:26" x14ac:dyDescent="0.25">
      <c r="B104" s="51">
        <f>ITE_LUC_Rates!A92</f>
        <v>820</v>
      </c>
      <c r="C104" s="11" t="str">
        <f>ITE_LUC_Rates!B92</f>
        <v>Shopping Center General, 500,001 - 600,000gsf</v>
      </c>
      <c r="D104" s="52" t="str">
        <f>ITE_LUC_Rates!C92</f>
        <v>1000 GSF</v>
      </c>
      <c r="E104" s="112">
        <f>ITE_LUC_Rates!G92</f>
        <v>34.84209042728628</v>
      </c>
      <c r="F104" s="53" t="s">
        <v>73</v>
      </c>
      <c r="G104" s="91">
        <f>ITE_LUC_Rates!Q92</f>
        <v>23479</v>
      </c>
      <c r="H104" s="55">
        <f>+FEE_1_In!H101</f>
        <v>10703.790090502182</v>
      </c>
      <c r="I104" s="91">
        <f>FEE_1_Out!$H101</f>
        <v>10410.522149631535</v>
      </c>
      <c r="J104" s="91">
        <f>FEE_2_In!$H101</f>
        <v>12731.14867006494</v>
      </c>
      <c r="K104" s="55">
        <f>IF(F104="Prod",FEE_ByContextArea_ByMode!AC104*AreaModeSharesandPMT!$X$11+FEE_ByContextArea_ByMode!AD104+FEE_ByContextArea_ByMode!AE104*AreaModeSharesandPMT!$Z$11,FEE_ByContextArea_ByMode!AC104*AreaModeSharesandPMT!$X$19+FEE_ByContextArea_ByMode!AD104+FEE_ByContextArea_ByMode!AE104*AreaModeSharesandPMT!$Z$19)</f>
        <v>10398.44310582359</v>
      </c>
      <c r="L104" s="91">
        <f>FEE_2_Out!$H101</f>
        <v>11407.813475396179</v>
      </c>
      <c r="M104" s="91">
        <f>FEE_3_In!$H101</f>
        <v>12663.955096694235</v>
      </c>
      <c r="N104" s="55">
        <f>IF(I104="Prod",FEE_ByContextArea_ByMode!AG104*AreaModeSharesandPMT!$X$12+FEE_ByContextArea_ByMode!AH104+FEE_ByContextArea_ByMode!AI104*AreaModeSharesandPMT!$Z$12,FEE_ByContextArea_ByMode!AG104*AreaModeSharesandPMT!$X$20+FEE_ByContextArea_ByMode!AH104+FEE_ByContextArea_ByMode!AI104*AreaModeSharesandPMT!$Z$20)</f>
        <v>11162.676182210156</v>
      </c>
      <c r="O104" s="91">
        <f>FEE_3_Out!$H101</f>
        <v>12281.178476156885</v>
      </c>
      <c r="P104" s="91">
        <f>FEE_4_In!$H101</f>
        <v>11887.674052317447</v>
      </c>
      <c r="Q104" s="55">
        <f>IF(L104="Prod",FEE_ByContextArea_ByMode!AK104*AreaModeSharesandPMT!$X$13+FEE_ByContextArea_ByMode!AL104+FEE_ByContextArea_ByMode!AM104*AreaModeSharesandPMT!$Z$13,FEE_ByContextArea_ByMode!AK104*AreaModeSharesandPMT!$X$21+FEE_ByContextArea_ByMode!AL104+FEE_ByContextArea_ByMode!AM104*AreaModeSharesandPMT!$Z$21)</f>
        <v>11974.27373063497</v>
      </c>
      <c r="R104" s="91">
        <f>FEE_4_Out!$H101</f>
        <v>13177.25505912995</v>
      </c>
      <c r="S104" s="122">
        <f t="shared" si="43"/>
        <v>-0.54411218150252649</v>
      </c>
      <c r="T104" s="120">
        <f t="shared" si="44"/>
        <v>-0.55660283020437262</v>
      </c>
      <c r="U104" s="120">
        <f t="shared" si="45"/>
        <v>-0.51412694427376904</v>
      </c>
      <c r="V104" s="120">
        <f t="shared" si="46"/>
        <v>-0.45776444183887988</v>
      </c>
      <c r="W104" s="120">
        <f t="shared" si="47"/>
        <v>-0.47692923565071399</v>
      </c>
      <c r="X104" s="120">
        <f t="shared" si="48"/>
        <v>-0.4606263002387565</v>
      </c>
      <c r="Y104" s="120">
        <f t="shared" si="49"/>
        <v>-0.43876421231185525</v>
      </c>
      <c r="Z104" s="120">
        <f t="shared" si="50"/>
        <v>-0.49368908163390912</v>
      </c>
    </row>
    <row r="105" spans="2:26" x14ac:dyDescent="0.25">
      <c r="B105" s="51">
        <f>ITE_LUC_Rates!A93</f>
        <v>820</v>
      </c>
      <c r="C105" s="11" t="str">
        <f>ITE_LUC_Rates!B93</f>
        <v>Shopping Center General, 600,001 - 800,000gsf</v>
      </c>
      <c r="D105" s="52" t="str">
        <f>ITE_LUC_Rates!C93</f>
        <v>1000 GSF</v>
      </c>
      <c r="E105" s="112">
        <f>ITE_LUC_Rates!G93</f>
        <v>32.254394347161764</v>
      </c>
      <c r="F105" s="53" t="s">
        <v>73</v>
      </c>
      <c r="G105" s="91">
        <f>ITE_LUC_Rates!Q93</f>
        <v>21864.3</v>
      </c>
      <c r="H105" s="55">
        <f>+FEE_1_In!H102</f>
        <v>10520.261587286186</v>
      </c>
      <c r="I105" s="91">
        <f>FEE_1_Out!$H102</f>
        <v>10232.022054649835</v>
      </c>
      <c r="J105" s="91">
        <f>FEE_2_In!$H102</f>
        <v>12512.85882694567</v>
      </c>
      <c r="K105" s="55">
        <f>IF(F105="Prod",FEE_ByContextArea_ByMode!AC105*AreaModeSharesandPMT!$X$11+FEE_ByContextArea_ByMode!AD105+FEE_ByContextArea_ByMode!AE105*AreaModeSharesandPMT!$Z$11,FEE_ByContextArea_ByMode!AC105*AreaModeSharesandPMT!$X$19+FEE_ByContextArea_ByMode!AD105+FEE_ByContextArea_ByMode!AE105*AreaModeSharesandPMT!$Z$19)</f>
        <v>10220.150119614726</v>
      </c>
      <c r="L105" s="91">
        <f>FEE_2_Out!$H102</f>
        <v>11212.213700512284</v>
      </c>
      <c r="M105" s="91">
        <f>FEE_3_In!$H102</f>
        <v>12446.817362859831</v>
      </c>
      <c r="N105" s="55">
        <f>IF(I105="Prod",FEE_ByContextArea_ByMode!AG105*AreaModeSharesandPMT!$X$12+FEE_ByContextArea_ByMode!AH105+FEE_ByContextArea_ByMode!AI105*AreaModeSharesandPMT!$Z$12,FEE_ByContextArea_ByMode!AG105*AreaModeSharesandPMT!$X$20+FEE_ByContextArea_ByMode!AH105+FEE_ByContextArea_ByMode!AI105*AreaModeSharesandPMT!$Z$20)</f>
        <v>10971.279561547381</v>
      </c>
      <c r="O105" s="91">
        <f>FEE_3_Out!$H102</f>
        <v>12070.603877402607</v>
      </c>
      <c r="P105" s="91">
        <f>FEE_4_In!$H102</f>
        <v>11683.846528879993</v>
      </c>
      <c r="Q105" s="55">
        <f>IF(L105="Prod",FEE_ByContextArea_ByMode!AK105*AreaModeSharesandPMT!$X$13+FEE_ByContextArea_ByMode!AL105+FEE_ByContextArea_ByMode!AM105*AreaModeSharesandPMT!$Z$13,FEE_ByContextArea_ByMode!AK105*AreaModeSharesandPMT!$X$21+FEE_ByContextArea_ByMode!AL105+FEE_ByContextArea_ByMode!AM105*AreaModeSharesandPMT!$Z$21)</f>
        <v>11768.961358447099</v>
      </c>
      <c r="R105" s="91">
        <f>FEE_4_Out!$H102</f>
        <v>12951.316220919414</v>
      </c>
      <c r="S105" s="122">
        <f t="shared" si="43"/>
        <v>-0.51883839924963593</v>
      </c>
      <c r="T105" s="120">
        <f t="shared" si="44"/>
        <v>-0.5320215120241748</v>
      </c>
      <c r="U105" s="120">
        <f t="shared" si="45"/>
        <v>-0.48719082245888112</v>
      </c>
      <c r="V105" s="120">
        <f t="shared" si="46"/>
        <v>-0.42770366181649211</v>
      </c>
      <c r="W105" s="120">
        <f t="shared" si="47"/>
        <v>-0.44793092495974685</v>
      </c>
      <c r="X105" s="120">
        <f t="shared" si="48"/>
        <v>-0.43072417763844117</v>
      </c>
      <c r="Y105" s="120">
        <f t="shared" si="49"/>
        <v>-0.40765008617154841</v>
      </c>
      <c r="Z105" s="120">
        <f t="shared" si="50"/>
        <v>-0.46561991333452279</v>
      </c>
    </row>
    <row r="106" spans="2:26" x14ac:dyDescent="0.25">
      <c r="B106" s="51">
        <f>ITE_LUC_Rates!A94</f>
        <v>820</v>
      </c>
      <c r="C106" s="11" t="str">
        <f>ITE_LUC_Rates!B94</f>
        <v>Shopping Center General, 800,001 - 1,000,000gsf</v>
      </c>
      <c r="D106" s="52" t="str">
        <f>ITE_LUC_Rates!C94</f>
        <v>1000 GSF</v>
      </c>
      <c r="E106" s="112">
        <f>ITE_LUC_Rates!G94</f>
        <v>29.762037611107274</v>
      </c>
      <c r="F106" s="53" t="s">
        <v>73</v>
      </c>
      <c r="G106" s="91">
        <f>ITE_LUC_Rates!Q94</f>
        <v>20513.7</v>
      </c>
      <c r="H106" s="55">
        <f>+FEE_1_In!H103</f>
        <v>10951.872469790897</v>
      </c>
      <c r="I106" s="91">
        <f>FEE_1_Out!$H103</f>
        <v>10651.807440419341</v>
      </c>
      <c r="J106" s="91">
        <f>FEE_2_In!$H103</f>
        <v>13026.219259682595</v>
      </c>
      <c r="K106" s="55">
        <f>IF(F106="Prod",FEE_ByContextArea_ByMode!AC106*AreaModeSharesandPMT!$X$11+FEE_ByContextArea_ByMode!AD106+FEE_ByContextArea_ByMode!AE106*AreaModeSharesandPMT!$Z$11,FEE_ByContextArea_ByMode!AC106*AreaModeSharesandPMT!$X$19+FEE_ByContextArea_ByMode!AD106+FEE_ByContextArea_ByMode!AE106*AreaModeSharesandPMT!$Z$19)</f>
        <v>10639.448439894937</v>
      </c>
      <c r="L106" s="91">
        <f>FEE_2_Out!$H103</f>
        <v>11672.213046532144</v>
      </c>
      <c r="M106" s="91">
        <f>FEE_3_In!$H103</f>
        <v>12957.46833686709</v>
      </c>
      <c r="N106" s="55">
        <f>IF(I106="Prod",FEE_ByContextArea_ByMode!AG106*AreaModeSharesandPMT!$X$12+FEE_ByContextArea_ByMode!AH106+FEE_ByContextArea_ByMode!AI106*AreaModeSharesandPMT!$Z$12,FEE_ByContextArea_ByMode!AG106*AreaModeSharesandPMT!$X$20+FEE_ByContextArea_ByMode!AH106+FEE_ByContextArea_ByMode!AI106*AreaModeSharesandPMT!$Z$20)</f>
        <v>11421.394191728057</v>
      </c>
      <c r="O106" s="91">
        <f>FEE_3_Out!$H103</f>
        <v>12565.820079838728</v>
      </c>
      <c r="P106" s="91">
        <f>FEE_4_In!$H103</f>
        <v>12163.195380573359</v>
      </c>
      <c r="Q106" s="55">
        <f>IF(L106="Prod",FEE_ByContextArea_ByMode!AK106*AreaModeSharesandPMT!$X$13+FEE_ByContextArea_ByMode!AL106+FEE_ByContextArea_ByMode!AM106*AreaModeSharesandPMT!$Z$13,FEE_ByContextArea_ByMode!AK106*AreaModeSharesandPMT!$X$21+FEE_ByContextArea_ByMode!AL106+FEE_ByContextArea_ByMode!AM106*AreaModeSharesandPMT!$Z$21)</f>
        <v>12251.802184783768</v>
      </c>
      <c r="R106" s="91">
        <f>FEE_4_Out!$H103</f>
        <v>13482.665083048856</v>
      </c>
      <c r="S106" s="122">
        <f t="shared" si="43"/>
        <v>-0.46611910724097083</v>
      </c>
      <c r="T106" s="120">
        <f t="shared" si="44"/>
        <v>-0.48074665026692698</v>
      </c>
      <c r="U106" s="120">
        <f t="shared" si="45"/>
        <v>-0.43100400968464281</v>
      </c>
      <c r="V106" s="120">
        <f t="shared" si="46"/>
        <v>-0.36499903675677259</v>
      </c>
      <c r="W106" s="120">
        <f t="shared" si="47"/>
        <v>-0.38744253450919497</v>
      </c>
      <c r="X106" s="120">
        <f t="shared" si="48"/>
        <v>-0.36835050055001828</v>
      </c>
      <c r="Y106" s="120">
        <f t="shared" si="49"/>
        <v>-0.34274825686985499</v>
      </c>
      <c r="Z106" s="120">
        <f t="shared" si="50"/>
        <v>-0.40706964708592996</v>
      </c>
    </row>
    <row r="107" spans="2:26" x14ac:dyDescent="0.25">
      <c r="B107" s="51">
        <f>ITE_LUC_Rates!A95</f>
        <v>820</v>
      </c>
      <c r="C107" s="11" t="str">
        <f>ITE_LUC_Rates!B95</f>
        <v>Shopping Center General, 1,000,001 - 1,200,000gsf</v>
      </c>
      <c r="D107" s="52" t="str">
        <f>ITE_LUC_Rates!C95</f>
        <v>1000 GSF</v>
      </c>
      <c r="E107" s="112">
        <f>ITE_LUC_Rates!G95</f>
        <v>27.910949113552771</v>
      </c>
      <c r="F107" s="53" t="s">
        <v>73</v>
      </c>
      <c r="G107" s="91">
        <f>ITE_LUC_Rates!Q95</f>
        <v>19521.3</v>
      </c>
      <c r="H107" s="55">
        <f>+FEE_1_In!H104</f>
        <v>10714.21435277453</v>
      </c>
      <c r="I107" s="91">
        <f>FEE_1_Out!$H104</f>
        <v>10420.660802609806</v>
      </c>
      <c r="J107" s="91">
        <f>FEE_2_In!$H104</f>
        <v>12743.54734676197</v>
      </c>
      <c r="K107" s="55">
        <f>IF(F107="Prod",FEE_ByContextArea_ByMode!AC107*AreaModeSharesandPMT!$X$11+FEE_ByContextArea_ByMode!AD107+FEE_ByContextArea_ByMode!AE107*AreaModeSharesandPMT!$Z$11,FEE_ByContextArea_ByMode!AC107*AreaModeSharesandPMT!$X$19+FEE_ByContextArea_ByMode!AD107+FEE_ByContextArea_ByMode!AE107*AreaModeSharesandPMT!$Z$19)</f>
        <v>10408.569995200405</v>
      </c>
      <c r="L107" s="91">
        <f>FEE_2_Out!$H104</f>
        <v>11418.923375591912</v>
      </c>
      <c r="M107" s="91">
        <f>FEE_3_In!$H104</f>
        <v>12676.288334567646</v>
      </c>
      <c r="N107" s="55">
        <f>IF(I107="Prod",FEE_ByContextArea_ByMode!AG107*AreaModeSharesandPMT!$X$12+FEE_ByContextArea_ByMode!AH107+FEE_ByContextArea_ByMode!AI107*AreaModeSharesandPMT!$Z$12,FEE_ByContextArea_ByMode!AG107*AreaModeSharesandPMT!$X$20+FEE_ByContextArea_ByMode!AH107+FEE_ByContextArea_ByMode!AI107*AreaModeSharesandPMT!$Z$20)</f>
        <v>11173.547346835094</v>
      </c>
      <c r="O107" s="91">
        <f>FEE_3_Out!$H104</f>
        <v>12293.138933561833</v>
      </c>
      <c r="P107" s="91">
        <f>FEE_4_In!$H104</f>
        <v>11899.251281605555</v>
      </c>
      <c r="Q107" s="55">
        <f>IF(L107="Prod",FEE_ByContextArea_ByMode!AK107*AreaModeSharesandPMT!$X$13+FEE_ByContextArea_ByMode!AL107+FEE_ByContextArea_ByMode!AM107*AreaModeSharesandPMT!$Z$13,FEE_ByContextArea_ByMode!AK107*AreaModeSharesandPMT!$X$21+FEE_ByContextArea_ByMode!AL107+FEE_ByContextArea_ByMode!AM107*AreaModeSharesandPMT!$Z$21)</f>
        <v>11985.935298064229</v>
      </c>
      <c r="R107" s="91">
        <f>FEE_4_Out!$H104</f>
        <v>13190.088192216881</v>
      </c>
      <c r="S107" s="122">
        <f t="shared" si="43"/>
        <v>-0.4511526203288444</v>
      </c>
      <c r="T107" s="120">
        <f t="shared" si="44"/>
        <v>-0.46619022285350842</v>
      </c>
      <c r="U107" s="120">
        <f t="shared" si="45"/>
        <v>-0.41505312783513837</v>
      </c>
      <c r="V107" s="120">
        <f t="shared" si="46"/>
        <v>-0.34719781229928481</v>
      </c>
      <c r="W107" s="120">
        <f t="shared" si="47"/>
        <v>-0.37027047719353556</v>
      </c>
      <c r="X107" s="120">
        <f t="shared" si="48"/>
        <v>-0.3506432289566962</v>
      </c>
      <c r="Y107" s="120">
        <f t="shared" si="49"/>
        <v>-0.32432326780404575</v>
      </c>
      <c r="Z107" s="120">
        <f t="shared" si="50"/>
        <v>-0.3904478041111219</v>
      </c>
    </row>
    <row r="108" spans="2:26" x14ac:dyDescent="0.25">
      <c r="B108" s="51">
        <f>ITE_LUC_Rates!A96</f>
        <v>820</v>
      </c>
      <c r="C108" s="11" t="str">
        <f>ITE_LUC_Rates!B96</f>
        <v>Shopping Center General, 1,200,001 gsf - more</v>
      </c>
      <c r="D108" s="52" t="str">
        <f>ITE_LUC_Rates!C96</f>
        <v>1000 GSF</v>
      </c>
      <c r="E108" s="112">
        <f>ITE_LUC_Rates!G96</f>
        <v>26.458084032221276</v>
      </c>
      <c r="F108" s="53" t="s">
        <v>73</v>
      </c>
      <c r="G108" s="91">
        <f>ITE_LUC_Rates!Q96</f>
        <v>19248.8</v>
      </c>
      <c r="H108" s="55">
        <f>+FEE_1_In!H105</f>
        <v>10584.29846889438</v>
      </c>
      <c r="I108" s="91">
        <f>FEE_1_Out!$H105</f>
        <v>10294.304420871402</v>
      </c>
      <c r="J108" s="91">
        <f>FEE_2_In!$H105</f>
        <v>12589.024657294367</v>
      </c>
      <c r="K108" s="55">
        <f>IF(F108="Prod",FEE_ByContextArea_ByMode!AC108*AreaModeSharesandPMT!$X$11+FEE_ByContextArea_ByMode!AD108+FEE_ByContextArea_ByMode!AE108*AreaModeSharesandPMT!$Z$11,FEE_ByContextArea_ByMode!AC108*AreaModeSharesandPMT!$X$19+FEE_ByContextArea_ByMode!AD108+FEE_ByContextArea_ByMode!AE108*AreaModeSharesandPMT!$Z$19)</f>
        <v>10282.36022131207</v>
      </c>
      <c r="L108" s="91">
        <f>FEE_2_Out!$H105</f>
        <v>11280.462497878043</v>
      </c>
      <c r="M108" s="91">
        <f>FEE_3_In!$H105</f>
        <v>12522.581198506987</v>
      </c>
      <c r="N108" s="55">
        <f>IF(I108="Prod",FEE_ByContextArea_ByMode!AG108*AreaModeSharesandPMT!$X$12+FEE_ByContextArea_ByMode!AH108+FEE_ByContextArea_ByMode!AI108*AreaModeSharesandPMT!$Z$12,FEE_ByContextArea_ByMode!AG108*AreaModeSharesandPMT!$X$20+FEE_ByContextArea_ByMode!AH108+FEE_ByContextArea_ByMode!AI108*AreaModeSharesandPMT!$Z$20)</f>
        <v>11038.061791679587</v>
      </c>
      <c r="O108" s="91">
        <f>FEE_3_Out!$H105</f>
        <v>12144.077699799829</v>
      </c>
      <c r="P108" s="91">
        <f>FEE_4_In!$H105</f>
        <v>11754.96615748337</v>
      </c>
      <c r="Q108" s="55">
        <f>IF(L108="Prod",FEE_ByContextArea_ByMode!AK108*AreaModeSharesandPMT!$X$13+FEE_ByContextArea_ByMode!AL108+FEE_ByContextArea_ByMode!AM108*AreaModeSharesandPMT!$Z$13,FEE_ByContextArea_ByMode!AK108*AreaModeSharesandPMT!$X$21+FEE_ByContextArea_ByMode!AL108+FEE_ByContextArea_ByMode!AM108*AreaModeSharesandPMT!$Z$21)</f>
        <v>11840.599081417129</v>
      </c>
      <c r="R108" s="91">
        <f>FEE_4_Out!$H105</f>
        <v>13030.150943481025</v>
      </c>
      <c r="S108" s="122">
        <f t="shared" si="43"/>
        <v>-0.45013203582070671</v>
      </c>
      <c r="T108" s="120">
        <f t="shared" si="44"/>
        <v>-0.46519760084413564</v>
      </c>
      <c r="U108" s="120">
        <f t="shared" si="45"/>
        <v>-0.41396541613617244</v>
      </c>
      <c r="V108" s="120">
        <f t="shared" si="46"/>
        <v>-0.34598392329421224</v>
      </c>
      <c r="W108" s="120">
        <f t="shared" si="47"/>
        <v>-0.36909949192677827</v>
      </c>
      <c r="X108" s="120">
        <f t="shared" si="48"/>
        <v>-0.34943574672151057</v>
      </c>
      <c r="Y108" s="120">
        <f t="shared" si="49"/>
        <v>-0.32306684346655246</v>
      </c>
      <c r="Z108" s="120">
        <f t="shared" si="50"/>
        <v>-0.3893143386869119</v>
      </c>
    </row>
    <row r="109" spans="2:26" x14ac:dyDescent="0.25">
      <c r="B109" s="116">
        <f>ITE_LUC_Rates!A97</f>
        <v>823</v>
      </c>
      <c r="C109" s="117" t="str">
        <f>ITE_LUC_Rates!B97</f>
        <v>Factory Outlet Center</v>
      </c>
      <c r="D109" s="203" t="str">
        <f>ITE_LUC_Rates!C97</f>
        <v>1000 GSF</v>
      </c>
      <c r="E109" s="204">
        <f>ITE_LUC_Rates!G97</f>
        <v>26.59</v>
      </c>
      <c r="F109" s="118" t="s">
        <v>73</v>
      </c>
      <c r="G109" s="119">
        <f>ITE_LUC_Rates!Q97</f>
        <v>0</v>
      </c>
      <c r="H109" s="55">
        <f>+FEE_1_In!H106</f>
        <v>24535.681008266765</v>
      </c>
      <c r="I109" s="91">
        <f>FEE_1_Out!$H106</f>
        <v>23863.439812735643</v>
      </c>
      <c r="J109" s="91">
        <f>FEE_2_In!$H106</f>
        <v>29182.878213830707</v>
      </c>
      <c r="K109" s="55">
        <f>IF(F109="Prod",FEE_ByContextArea_ByMode!AC109*AreaModeSharesandPMT!$X$11+FEE_ByContextArea_ByMode!AD109+FEE_ByContextArea_ByMode!AE109*AreaModeSharesandPMT!$Z$11,FEE_ByContextArea_ByMode!AC109*AreaModeSharesandPMT!$X$19+FEE_ByContextArea_ByMode!AD109+FEE_ByContextArea_ByMode!AE109*AreaModeSharesandPMT!$Z$19)</f>
        <v>23835.751716906896</v>
      </c>
      <c r="L109" s="91">
        <f>FEE_2_Out!$H106</f>
        <v>26149.473230280433</v>
      </c>
      <c r="M109" s="91">
        <f>FEE_3_In!$H106</f>
        <v>29028.854258942796</v>
      </c>
      <c r="N109" s="55">
        <f>IF(I109="Prod",FEE_ByContextArea_ByMode!AG109*AreaModeSharesandPMT!$X$12+FEE_ByContextArea_ByMode!AH109+FEE_ByContextArea_ByMode!AI109*AreaModeSharesandPMT!$Z$12,FEE_ByContextArea_ByMode!AG109*AreaModeSharesandPMT!$X$20+FEE_ByContextArea_ByMode!AH109+FEE_ByContextArea_ByMode!AI109*AreaModeSharesandPMT!$Z$20)</f>
        <v>25587.559143962615</v>
      </c>
      <c r="O109" s="91">
        <f>FEE_3_Out!$H106</f>
        <v>28151.437476707841</v>
      </c>
      <c r="P109" s="91">
        <f>FEE_4_In!$H106</f>
        <v>27249.42996936393</v>
      </c>
      <c r="Q109" s="55">
        <f>IF(L109="Prod",FEE_ByContextArea_ByMode!AK109*AreaModeSharesandPMT!$X$13+FEE_ByContextArea_ByMode!AL109+FEE_ByContextArea_ByMode!AM109*AreaModeSharesandPMT!$Z$13,FEE_ByContextArea_ByMode!AK109*AreaModeSharesandPMT!$X$21+FEE_ByContextArea_ByMode!AL109+FEE_ByContextArea_ByMode!AM109*AreaModeSharesandPMT!$Z$21)</f>
        <v>27447.937419963386</v>
      </c>
      <c r="R109" s="91">
        <f>FEE_4_Out!$H106</f>
        <v>30205.462173839518</v>
      </c>
      <c r="S109" s="122">
        <f t="shared" si="43"/>
        <v>0</v>
      </c>
      <c r="T109" s="120">
        <f t="shared" si="44"/>
        <v>0</v>
      </c>
      <c r="U109" s="120">
        <f t="shared" si="45"/>
        <v>0</v>
      </c>
      <c r="V109" s="120">
        <f t="shared" si="46"/>
        <v>0</v>
      </c>
      <c r="W109" s="120">
        <f t="shared" si="47"/>
        <v>0</v>
      </c>
      <c r="X109" s="120">
        <f t="shared" si="48"/>
        <v>0</v>
      </c>
      <c r="Y109" s="120">
        <f t="shared" si="49"/>
        <v>0</v>
      </c>
      <c r="Z109" s="120">
        <f t="shared" si="50"/>
        <v>0</v>
      </c>
    </row>
    <row r="110" spans="2:26" x14ac:dyDescent="0.25">
      <c r="B110" s="51">
        <f>ITE_LUC_Rates!A98</f>
        <v>840</v>
      </c>
      <c r="C110" s="11" t="str">
        <f>ITE_LUC_Rates!B98</f>
        <v>Auto Sales (New)</v>
      </c>
      <c r="D110" s="52" t="str">
        <f>ITE_LUC_Rates!C98</f>
        <v>1000 GSF</v>
      </c>
      <c r="E110" s="112">
        <f>ITE_LUC_Rates!G98</f>
        <v>27.84</v>
      </c>
      <c r="F110" s="53" t="s">
        <v>73</v>
      </c>
      <c r="G110" s="91">
        <f>ITE_LUC_Rates!Q98</f>
        <v>24316.7</v>
      </c>
      <c r="H110" s="55">
        <f>+FEE_1_In!H107</f>
        <v>14012.593042181881</v>
      </c>
      <c r="I110" s="91">
        <f>FEE_1_Out!$H107</f>
        <v>13628.668817865728</v>
      </c>
      <c r="J110" s="91">
        <f>FEE_2_In!$H107</f>
        <v>16666.657675904167</v>
      </c>
      <c r="K110" s="55">
        <f>IF(F110="Prod",FEE_ByContextArea_ByMode!AC110*AreaModeSharesandPMT!$X$11+FEE_ByContextArea_ByMode!AD110+FEE_ByContextArea_ByMode!AE110*AreaModeSharesandPMT!$Z$11,FEE_ByContextArea_ByMode!AC110*AreaModeSharesandPMT!$X$19+FEE_ByContextArea_ByMode!AD110+FEE_ByContextArea_ByMode!AE110*AreaModeSharesandPMT!$Z$19)</f>
        <v>13612.855846592156</v>
      </c>
      <c r="L110" s="91">
        <f>FEE_2_Out!$H107</f>
        <v>14934.247250764756</v>
      </c>
      <c r="M110" s="91">
        <f>FEE_3_In!$H107</f>
        <v>16578.692927835244</v>
      </c>
      <c r="N110" s="55">
        <f>IF(I110="Prod",FEE_ByContextArea_ByMode!AG110*AreaModeSharesandPMT!$X$12+FEE_ByContextArea_ByMode!AH110+FEE_ByContextArea_ByMode!AI110*AreaModeSharesandPMT!$Z$12,FEE_ByContextArea_ByMode!AG110*AreaModeSharesandPMT!$X$20+FEE_ByContextArea_ByMode!AH110+FEE_ByContextArea_ByMode!AI110*AreaModeSharesandPMT!$Z$20)</f>
        <v>14613.332032899471</v>
      </c>
      <c r="O110" s="91">
        <f>FEE_3_Out!$H107</f>
        <v>16077.590704762784</v>
      </c>
      <c r="P110" s="91">
        <f>FEE_4_In!$H107</f>
        <v>15562.44445236635</v>
      </c>
      <c r="Q110" s="55">
        <f>IF(L110="Prod",FEE_ByContextArea_ByMode!AK110*AreaModeSharesandPMT!$X$13+FEE_ByContextArea_ByMode!AL110+FEE_ByContextArea_ByMode!AM110*AreaModeSharesandPMT!$Z$13,FEE_ByContextArea_ByMode!AK110*AreaModeSharesandPMT!$X$21+FEE_ByContextArea_ByMode!AL110+FEE_ByContextArea_ByMode!AM110*AreaModeSharesandPMT!$Z$21)</f>
        <v>15675.814206405536</v>
      </c>
      <c r="R110" s="91">
        <f>FEE_4_Out!$H107</f>
        <v>17250.666445754017</v>
      </c>
      <c r="S110" s="122">
        <f t="shared" si="43"/>
        <v>-0.42374610690669867</v>
      </c>
      <c r="T110" s="120">
        <f t="shared" si="44"/>
        <v>-0.43953460716850035</v>
      </c>
      <c r="U110" s="120">
        <f t="shared" si="45"/>
        <v>-0.38584399812619496</v>
      </c>
      <c r="V110" s="120">
        <f t="shared" si="46"/>
        <v>-0.31460034972244721</v>
      </c>
      <c r="W110" s="120">
        <f t="shared" si="47"/>
        <v>-0.33882514055102941</v>
      </c>
      <c r="X110" s="120">
        <f t="shared" si="48"/>
        <v>-0.31821781212766354</v>
      </c>
      <c r="Y110" s="120">
        <f t="shared" si="49"/>
        <v>-0.29058357236985211</v>
      </c>
      <c r="Z110" s="120">
        <f t="shared" si="50"/>
        <v>-0.36001001565317869</v>
      </c>
    </row>
    <row r="111" spans="2:26" x14ac:dyDescent="0.25">
      <c r="B111" s="51">
        <f>ITE_LUC_Rates!A99</f>
        <v>843</v>
      </c>
      <c r="C111" s="11" t="str">
        <f>ITE_LUC_Rates!B99</f>
        <v>Auto Parts Sales</v>
      </c>
      <c r="D111" s="52" t="str">
        <f>ITE_LUC_Rates!C99</f>
        <v>1000 GSF</v>
      </c>
      <c r="E111" s="112">
        <f>ITE_LUC_Rates!G99</f>
        <v>55.34</v>
      </c>
      <c r="F111" s="53" t="s">
        <v>73</v>
      </c>
      <c r="G111" s="91">
        <f>ITE_LUC_Rates!Q99</f>
        <v>15535</v>
      </c>
      <c r="H111" s="55">
        <f>+FEE_1_In!H108</f>
        <v>27854.055278532527</v>
      </c>
      <c r="I111" s="91">
        <f>FEE_1_Out!$H108</f>
        <v>27090.895559651202</v>
      </c>
      <c r="J111" s="91">
        <f>FEE_2_In!$H108</f>
        <v>33129.771400306636</v>
      </c>
      <c r="K111" s="55">
        <f>IF(F111="Prod",FEE_ByContextArea_ByMode!AC111*AreaModeSharesandPMT!$X$11+FEE_ByContextArea_ByMode!AD111+FEE_ByContextArea_ByMode!AE111*AreaModeSharesandPMT!$Z$11,FEE_ByContextArea_ByMode!AC111*AreaModeSharesandPMT!$X$19+FEE_ByContextArea_ByMode!AD111+FEE_ByContextArea_ByMode!AE111*AreaModeSharesandPMT!$Z$19)</f>
        <v>27059.462735287725</v>
      </c>
      <c r="L111" s="91">
        <f>FEE_2_Out!$H108</f>
        <v>29686.107861254379</v>
      </c>
      <c r="M111" s="91">
        <f>FEE_3_In!$H108</f>
        <v>32954.916186293194</v>
      </c>
      <c r="N111" s="55">
        <f>IF(I111="Prod",FEE_ByContextArea_ByMode!AG111*AreaModeSharesandPMT!$X$12+FEE_ByContextArea_ByMode!AH111+FEE_ByContextArea_ByMode!AI111*AreaModeSharesandPMT!$Z$12,FEE_ByContextArea_ByMode!AG111*AreaModeSharesandPMT!$X$20+FEE_ByContextArea_ByMode!AH111+FEE_ByContextArea_ByMode!AI111*AreaModeSharesandPMT!$Z$20)</f>
        <v>29048.196648730496</v>
      </c>
      <c r="O111" s="91">
        <f>FEE_3_Out!$H108</f>
        <v>31958.831523044999</v>
      </c>
      <c r="P111" s="91">
        <f>FEE_4_In!$H108</f>
        <v>30934.830315874784</v>
      </c>
      <c r="Q111" s="55">
        <f>IF(L111="Prod",FEE_ByContextArea_ByMode!AK111*AreaModeSharesandPMT!$X$13+FEE_ByContextArea_ByMode!AL111+FEE_ByContextArea_ByMode!AM111*AreaModeSharesandPMT!$Z$13,FEE_ByContextArea_ByMode!AK111*AreaModeSharesandPMT!$X$21+FEE_ByContextArea_ByMode!AL111+FEE_ByContextArea_ByMode!AM111*AreaModeSharesandPMT!$Z$21)</f>
        <v>31160.185279543191</v>
      </c>
      <c r="R111" s="91">
        <f>FEE_4_Out!$H108</f>
        <v>34290.656648995246</v>
      </c>
      <c r="S111" s="122">
        <f t="shared" si="43"/>
        <v>0.7929871437742213</v>
      </c>
      <c r="T111" s="120">
        <f t="shared" si="44"/>
        <v>0.74386196071137456</v>
      </c>
      <c r="U111" s="120">
        <f t="shared" si="45"/>
        <v>0.91091778958830893</v>
      </c>
      <c r="V111" s="120">
        <f t="shared" si="46"/>
        <v>1.1325890827361853</v>
      </c>
      <c r="W111" s="120">
        <f t="shared" si="47"/>
        <v>1.0572147745764404</v>
      </c>
      <c r="X111" s="120">
        <f t="shared" si="48"/>
        <v>1.1213335169805725</v>
      </c>
      <c r="Y111" s="120">
        <f t="shared" si="49"/>
        <v>1.207316166655632</v>
      </c>
      <c r="Z111" s="120">
        <f t="shared" si="50"/>
        <v>0.99129902258608205</v>
      </c>
    </row>
    <row r="112" spans="2:26" x14ac:dyDescent="0.25">
      <c r="B112" s="51">
        <f>ITE_LUC_Rates!A100</f>
        <v>848</v>
      </c>
      <c r="C112" s="11" t="str">
        <f>ITE_LUC_Rates!B100</f>
        <v>Tire sales</v>
      </c>
      <c r="D112" s="52" t="str">
        <f>ITE_LUC_Rates!C100</f>
        <v>1000 GSF</v>
      </c>
      <c r="E112" s="112">
        <f>ITE_LUC_Rates!G100</f>
        <v>28.52</v>
      </c>
      <c r="F112" s="53" t="s">
        <v>73</v>
      </c>
      <c r="G112" s="91">
        <f>ITE_LUC_Rates!Q100</f>
        <v>24027.4</v>
      </c>
      <c r="H112" s="55">
        <f>+FEE_1_In!H109</f>
        <v>22618.228434258956</v>
      </c>
      <c r="I112" s="91">
        <f>FEE_1_Out!$H109</f>
        <v>21998.522589602791</v>
      </c>
      <c r="J112" s="91">
        <f>FEE_2_In!$H109</f>
        <v>26902.249242121601</v>
      </c>
      <c r="K112" s="55">
        <f>IF(F112="Prod",FEE_ByContextArea_ByMode!AC112*AreaModeSharesandPMT!$X$11+FEE_ByContextArea_ByMode!AD112+FEE_ByContextArea_ByMode!AE112*AreaModeSharesandPMT!$Z$11,FEE_ByContextArea_ByMode!AC112*AreaModeSharesandPMT!$X$19+FEE_ByContextArea_ByMode!AD112+FEE_ByContextArea_ByMode!AE112*AreaModeSharesandPMT!$Z$19)</f>
        <v>21972.998306166213</v>
      </c>
      <c r="L112" s="91">
        <f>FEE_2_Out!$H109</f>
        <v>24105.903510839762</v>
      </c>
      <c r="M112" s="91">
        <f>FEE_3_In!$H109</f>
        <v>26760.262190903049</v>
      </c>
      <c r="N112" s="55">
        <f>IF(I112="Prod",FEE_ByContextArea_ByMode!AG112*AreaModeSharesandPMT!$X$12+FEE_ByContextArea_ByMode!AH112+FEE_ByContextArea_ByMode!AI112*AreaModeSharesandPMT!$Z$12,FEE_ByContextArea_ByMode!AG112*AreaModeSharesandPMT!$X$20+FEE_ByContextArea_ByMode!AH112+FEE_ByContextArea_ByMode!AI112*AreaModeSharesandPMT!$Z$20)</f>
        <v>23587.902760810361</v>
      </c>
      <c r="O112" s="91">
        <f>FEE_3_Out!$H109</f>
        <v>25951.415140521356</v>
      </c>
      <c r="P112" s="91">
        <f>FEE_4_In!$H109</f>
        <v>25119.899119276743</v>
      </c>
      <c r="Q112" s="55">
        <f>IF(L112="Prod",FEE_ByContextArea_ByMode!AK112*AreaModeSharesandPMT!$X$13+FEE_ByContextArea_ByMode!AL112+FEE_ByContextArea_ByMode!AM112*AreaModeSharesandPMT!$Z$13,FEE_ByContextArea_ByMode!AK112*AreaModeSharesandPMT!$X$21+FEE_ByContextArea_ByMode!AL112+FEE_ByContextArea_ByMode!AM112*AreaModeSharesandPMT!$Z$21)</f>
        <v>25302.89330077299</v>
      </c>
      <c r="R112" s="91">
        <f>FEE_4_Out!$H109</f>
        <v>27844.918719805773</v>
      </c>
      <c r="S112" s="122">
        <f t="shared" si="43"/>
        <v>-5.8648524840017924E-2</v>
      </c>
      <c r="T112" s="120">
        <f t="shared" si="44"/>
        <v>-8.4440156254826149E-2</v>
      </c>
      <c r="U112" s="120">
        <f t="shared" si="45"/>
        <v>3.2672495084677955E-3</v>
      </c>
      <c r="V112" s="120">
        <f t="shared" si="46"/>
        <v>0.11964878605765072</v>
      </c>
      <c r="W112" s="120">
        <f t="shared" si="47"/>
        <v>8.0075877561507136E-2</v>
      </c>
      <c r="X112" s="120">
        <f t="shared" si="48"/>
        <v>0.11373940546638628</v>
      </c>
      <c r="Y112" s="120">
        <f t="shared" si="49"/>
        <v>0.15888188983434626</v>
      </c>
      <c r="Z112" s="120">
        <f t="shared" si="50"/>
        <v>4.546888632464352E-2</v>
      </c>
    </row>
    <row r="113" spans="2:26" x14ac:dyDescent="0.25">
      <c r="B113" s="51">
        <f>ITE_LUC_Rates!A101</f>
        <v>850</v>
      </c>
      <c r="C113" s="11" t="str">
        <f>ITE_LUC_Rates!B101</f>
        <v>Supermarket (free standing)</v>
      </c>
      <c r="D113" s="52" t="str">
        <f>ITE_LUC_Rates!C101</f>
        <v>1000 GSF</v>
      </c>
      <c r="E113" s="112">
        <f>ITE_LUC_Rates!G101</f>
        <v>106.78</v>
      </c>
      <c r="F113" s="53" t="s">
        <v>73</v>
      </c>
      <c r="G113" s="91">
        <f>ITE_LUC_Rates!Q101</f>
        <v>19750</v>
      </c>
      <c r="H113" s="55">
        <f>+FEE_1_In!H110</f>
        <v>17336.565645714792</v>
      </c>
      <c r="I113" s="91">
        <f>FEE_1_Out!$H110</f>
        <v>16861.569512036967</v>
      </c>
      <c r="J113" s="91">
        <f>FEE_2_In!$H110</f>
        <v>20620.209551734613</v>
      </c>
      <c r="K113" s="55">
        <f>IF(F113="Prod",FEE_ByContextArea_ByMode!AC113*AreaModeSharesandPMT!$X$11+FEE_ByContextArea_ByMode!AD113+FEE_ByContextArea_ByMode!AE113*AreaModeSharesandPMT!$Z$11,FEE_ByContextArea_ByMode!AC113*AreaModeSharesandPMT!$X$19+FEE_ByContextArea_ByMode!AD113+FEE_ByContextArea_ByMode!AE113*AreaModeSharesandPMT!$Z$19)</f>
        <v>16842.005494605448</v>
      </c>
      <c r="L113" s="91">
        <f>FEE_2_Out!$H110</f>
        <v>18476.848435748514</v>
      </c>
      <c r="M113" s="91">
        <f>FEE_3_In!$H110</f>
        <v>20511.378400725309</v>
      </c>
      <c r="N113" s="55">
        <f>IF(I113="Prod",FEE_ByContextArea_ByMode!AG113*AreaModeSharesandPMT!$X$12+FEE_ByContextArea_ByMode!AH113+FEE_ByContextArea_ByMode!AI113*AreaModeSharesandPMT!$Z$12,FEE_ByContextArea_ByMode!AG113*AreaModeSharesandPMT!$X$20+FEE_ByContextArea_ByMode!AH113+FEE_ByContextArea_ByMode!AI113*AreaModeSharesandPMT!$Z$20)</f>
        <v>18079.807879123309</v>
      </c>
      <c r="O113" s="91">
        <f>FEE_3_Out!$H110</f>
        <v>19891.408095489314</v>
      </c>
      <c r="P113" s="91">
        <f>FEE_4_In!$H110</f>
        <v>19254.062331223533</v>
      </c>
      <c r="Q113" s="55">
        <f>IF(L113="Prod",FEE_ByContextArea_ByMode!AK113*AreaModeSharesandPMT!$X$13+FEE_ByContextArea_ByMode!AL113+FEE_ByContextArea_ByMode!AM113*AreaModeSharesandPMT!$Z$13,FEE_ByContextArea_ByMode!AK113*AreaModeSharesandPMT!$X$21+FEE_ByContextArea_ByMode!AL113+FEE_ByContextArea_ByMode!AM113*AreaModeSharesandPMT!$Z$21)</f>
        <v>19394.324891994576</v>
      </c>
      <c r="R113" s="91">
        <f>FEE_4_Out!$H110</f>
        <v>21342.752934368855</v>
      </c>
      <c r="S113" s="122">
        <f t="shared" si="43"/>
        <v>-0.12219920781190929</v>
      </c>
      <c r="T113" s="120">
        <f t="shared" si="44"/>
        <v>-0.14624964496015358</v>
      </c>
      <c r="U113" s="120">
        <f t="shared" si="45"/>
        <v>-6.4463370341847348E-2</v>
      </c>
      <c r="V113" s="120">
        <f t="shared" si="46"/>
        <v>4.4061243125803173E-2</v>
      </c>
      <c r="W113" s="120">
        <f t="shared" si="47"/>
        <v>7.1599035690792512E-3</v>
      </c>
      <c r="X113" s="120">
        <f t="shared" si="48"/>
        <v>3.8550805100015628E-2</v>
      </c>
      <c r="Y113" s="120">
        <f t="shared" si="49"/>
        <v>8.0645718195891281E-2</v>
      </c>
      <c r="Z113" s="120">
        <f t="shared" si="50"/>
        <v>-2.5110768039314779E-2</v>
      </c>
    </row>
    <row r="114" spans="2:26" x14ac:dyDescent="0.25">
      <c r="B114" s="51">
        <f>ITE_LUC_Rates!A102</f>
        <v>851</v>
      </c>
      <c r="C114" s="11" t="str">
        <f>ITE_LUC_Rates!B102</f>
        <v>Convenience market</v>
      </c>
      <c r="D114" s="52" t="str">
        <f>ITE_LUC_Rates!C102</f>
        <v>1000 GSF</v>
      </c>
      <c r="E114" s="112">
        <f>ITE_LUC_Rates!G102</f>
        <v>762.28</v>
      </c>
      <c r="F114" s="53" t="s">
        <v>73</v>
      </c>
      <c r="G114" s="91">
        <f>ITE_LUC_Rates!Q102</f>
        <v>52868.6</v>
      </c>
      <c r="H114" s="55">
        <f>+FEE_1_In!H111</f>
        <v>156812.78844446765</v>
      </c>
      <c r="I114" s="91">
        <f>FEE_1_Out!$H111</f>
        <v>152516.35109092688</v>
      </c>
      <c r="J114" s="91">
        <f>FEE_2_In!$H111</f>
        <v>186514.02037727137</v>
      </c>
      <c r="K114" s="55">
        <f>IF(F114="Prod",FEE_ByContextArea_ByMode!AC114*AreaModeSharesandPMT!$X$11+FEE_ByContextArea_ByMode!AD114+FEE_ByContextArea_ByMode!AE114*AreaModeSharesandPMT!$Z$11,FEE_ByContextArea_ByMode!AC114*AreaModeSharesandPMT!$X$19+FEE_ByContextArea_ByMode!AD114+FEE_ByContextArea_ByMode!AE114*AreaModeSharesandPMT!$Z$19)</f>
        <v>152339.39054468562</v>
      </c>
      <c r="L114" s="91">
        <f>FEE_2_Out!$H111</f>
        <v>167126.87991878588</v>
      </c>
      <c r="M114" s="91">
        <f>FEE_3_In!$H111</f>
        <v>185529.62031741245</v>
      </c>
      <c r="N114" s="55">
        <f>IF(I114="Prod",FEE_ByContextArea_ByMode!AG114*AreaModeSharesandPMT!$X$12+FEE_ByContextArea_ByMode!AH114+FEE_ByContextArea_ByMode!AI114*AreaModeSharesandPMT!$Z$12,FEE_ByContextArea_ByMode!AG114*AreaModeSharesandPMT!$X$20+FEE_ByContextArea_ByMode!AH114+FEE_ByContextArea_ByMode!AI114*AreaModeSharesandPMT!$Z$20)</f>
        <v>163535.56673240915</v>
      </c>
      <c r="O114" s="91">
        <f>FEE_3_Out!$H111</f>
        <v>179921.86187761705</v>
      </c>
      <c r="P114" s="91">
        <f>FEE_4_In!$H111</f>
        <v>174156.9388507492</v>
      </c>
      <c r="Q114" s="55">
        <f>IF(L114="Prod",FEE_ByContextArea_ByMode!AK114*AreaModeSharesandPMT!$X$13+FEE_ByContextArea_ByMode!AL114+FEE_ByContextArea_ByMode!AM114*AreaModeSharesandPMT!$Z$13,FEE_ByContextArea_ByMode!AK114*AreaModeSharesandPMT!$X$21+FEE_ByContextArea_ByMode!AL114+FEE_ByContextArea_ByMode!AM114*AreaModeSharesandPMT!$Z$21)</f>
        <v>175425.64245204779</v>
      </c>
      <c r="R114" s="91">
        <f>FEE_4_Out!$H111</f>
        <v>193049.57331886445</v>
      </c>
      <c r="S114" s="122">
        <f t="shared" si="43"/>
        <v>1.9660855109548514</v>
      </c>
      <c r="T114" s="120">
        <f t="shared" si="44"/>
        <v>1.8848191760501862</v>
      </c>
      <c r="U114" s="120">
        <f t="shared" si="45"/>
        <v>2.1611746843832802</v>
      </c>
      <c r="V114" s="120">
        <f t="shared" si="46"/>
        <v>2.5278789371625385</v>
      </c>
      <c r="W114" s="120">
        <f t="shared" si="47"/>
        <v>2.4031894522952575</v>
      </c>
      <c r="X114" s="120">
        <f t="shared" si="48"/>
        <v>2.5092591882026847</v>
      </c>
      <c r="Y114" s="120">
        <f t="shared" si="49"/>
        <v>2.6514977381444651</v>
      </c>
      <c r="Z114" s="120">
        <f t="shared" si="50"/>
        <v>2.2941469766695013</v>
      </c>
    </row>
    <row r="115" spans="2:26" x14ac:dyDescent="0.25">
      <c r="B115" s="51">
        <f>ITE_LUC_Rates!A103</f>
        <v>853</v>
      </c>
      <c r="C115" s="11" t="str">
        <f>ITE_LUC_Rates!B103</f>
        <v>Convenience market with Gasoline Pump</v>
      </c>
      <c r="D115" s="52" t="str">
        <f>ITE_LUC_Rates!C103</f>
        <v>1000 GSF</v>
      </c>
      <c r="E115" s="112">
        <f>ITE_LUC_Rates!G103</f>
        <v>624.20000000000005</v>
      </c>
      <c r="F115" s="53" t="s">
        <v>73</v>
      </c>
      <c r="G115" s="91">
        <f>ITE_LUC_Rates!Q103</f>
        <v>60577.2</v>
      </c>
      <c r="H115" s="55">
        <f>+FEE_1_In!H112</f>
        <v>128407.59635178246</v>
      </c>
      <c r="I115" s="91">
        <f>FEE_1_Out!$H112</f>
        <v>124889.41904674997</v>
      </c>
      <c r="J115" s="91">
        <f>FEE_2_In!$H112</f>
        <v>152728.72372290082</v>
      </c>
      <c r="K115" s="55">
        <f>IF(F115="Prod",FEE_ByContextArea_ByMode!AC115*AreaModeSharesandPMT!$X$11+FEE_ByContextArea_ByMode!AD115+FEE_ByContextArea_ByMode!AE115*AreaModeSharesandPMT!$Z$11,FEE_ByContextArea_ByMode!AC115*AreaModeSharesandPMT!$X$19+FEE_ByContextArea_ByMode!AD115+FEE_ByContextArea_ByMode!AE115*AreaModeSharesandPMT!$Z$19)</f>
        <v>124744.51327332843</v>
      </c>
      <c r="L115" s="91">
        <f>FEE_2_Out!$H112</f>
        <v>136853.38516726947</v>
      </c>
      <c r="M115" s="91">
        <f>FEE_3_In!$H112</f>
        <v>151922.63866575123</v>
      </c>
      <c r="N115" s="55">
        <f>IF(I115="Prod",FEE_ByContextArea_ByMode!AG115*AreaModeSharesandPMT!$X$12+FEE_ByContextArea_ByMode!AH115+FEE_ByContextArea_ByMode!AI115*AreaModeSharesandPMT!$Z$12,FEE_ByContextArea_ByMode!AG115*AreaModeSharesandPMT!$X$20+FEE_ByContextArea_ByMode!AH115+FEE_ByContextArea_ByMode!AI115*AreaModeSharesandPMT!$Z$20)</f>
        <v>133912.60528200897</v>
      </c>
      <c r="O115" s="91">
        <f>FEE_3_Out!$H112</f>
        <v>147330.67400956151</v>
      </c>
      <c r="P115" s="91">
        <f>FEE_4_In!$H112</f>
        <v>142610.01368347279</v>
      </c>
      <c r="Q115" s="55">
        <f>IF(L115="Prod",FEE_ByContextArea_ByMode!AK115*AreaModeSharesandPMT!$X$13+FEE_ByContextArea_ByMode!AL115+FEE_ByContextArea_ByMode!AM115*AreaModeSharesandPMT!$Z$13,FEE_ByContextArea_ByMode!AK115*AreaModeSharesandPMT!$X$21+FEE_ByContextArea_ByMode!AL115+FEE_ByContextArea_ByMode!AM115*AreaModeSharesandPMT!$Z$21)</f>
        <v>143648.90331448842</v>
      </c>
      <c r="R115" s="91">
        <f>FEE_4_Out!$H112</f>
        <v>158080.42145358029</v>
      </c>
      <c r="S115" s="122">
        <f t="shared" si="43"/>
        <v>1.1197347574959302</v>
      </c>
      <c r="T115" s="120">
        <f t="shared" si="44"/>
        <v>1.0616571754183086</v>
      </c>
      <c r="U115" s="120">
        <f t="shared" si="45"/>
        <v>1.2591566656641358</v>
      </c>
      <c r="V115" s="120">
        <f t="shared" si="46"/>
        <v>1.5212245485578868</v>
      </c>
      <c r="W115" s="120">
        <f t="shared" si="47"/>
        <v>1.4321142939845606</v>
      </c>
      <c r="X115" s="120">
        <f t="shared" si="48"/>
        <v>1.5079178084452773</v>
      </c>
      <c r="Y115" s="120">
        <f t="shared" si="49"/>
        <v>1.6095696310423775</v>
      </c>
      <c r="Z115" s="120">
        <f t="shared" si="50"/>
        <v>1.3541862892882603</v>
      </c>
    </row>
    <row r="116" spans="2:26" x14ac:dyDescent="0.25">
      <c r="B116" s="51">
        <f>ITE_LUC_Rates!A104</f>
        <v>857</v>
      </c>
      <c r="C116" s="11" t="str">
        <f>ITE_LUC_Rates!B104</f>
        <v>Discount Club</v>
      </c>
      <c r="D116" s="52" t="str">
        <f>ITE_LUC_Rates!C104</f>
        <v>1000 GSF</v>
      </c>
      <c r="E116" s="112">
        <f>ITE_LUC_Rates!G104</f>
        <v>41.8</v>
      </c>
      <c r="F116" s="53" t="s">
        <v>73</v>
      </c>
      <c r="G116" s="91">
        <f>ITE_LUC_Rates!Q104</f>
        <v>0</v>
      </c>
      <c r="H116" s="55">
        <f>+FEE_1_In!H113</f>
        <v>33150.138448528211</v>
      </c>
      <c r="I116" s="91">
        <f>FEE_1_Out!$H113</f>
        <v>32241.873921647843</v>
      </c>
      <c r="J116" s="91">
        <f>FEE_2_In!$H113</f>
        <v>39428.962774217485</v>
      </c>
      <c r="K116" s="55">
        <f>IF(F116="Prod",FEE_ByContextArea_ByMode!AC116*AreaModeSharesandPMT!$X$11+FEE_ByContextArea_ByMode!AD116+FEE_ByContextArea_ByMode!AE116*AreaModeSharesandPMT!$Z$11,FEE_ByContextArea_ByMode!AC116*AreaModeSharesandPMT!$X$19+FEE_ByContextArea_ByMode!AD116+FEE_ByContextArea_ByMode!AE116*AreaModeSharesandPMT!$Z$19)</f>
        <v>32204.464558125805</v>
      </c>
      <c r="L116" s="91">
        <f>FEE_2_Out!$H113</f>
        <v>35330.531793587033</v>
      </c>
      <c r="M116" s="91">
        <f>FEE_3_In!$H113</f>
        <v>39220.861135334766</v>
      </c>
      <c r="N116" s="55">
        <f>IF(I116="Prod",FEE_ByContextArea_ByMode!AG116*AreaModeSharesandPMT!$X$12+FEE_ByContextArea_ByMode!AH116+FEE_ByContextArea_ByMode!AI116*AreaModeSharesandPMT!$Z$12,FEE_ByContextArea_ByMode!AG116*AreaModeSharesandPMT!$X$20+FEE_ByContextArea_ByMode!AH116+FEE_ByContextArea_ByMode!AI116*AreaModeSharesandPMT!$Z$20)</f>
        <v>34571.330133305513</v>
      </c>
      <c r="O116" s="91">
        <f>FEE_3_Out!$H113</f>
        <v>38035.384041858088</v>
      </c>
      <c r="P116" s="91">
        <f>FEE_4_In!$H113</f>
        <v>36816.682439893688</v>
      </c>
      <c r="Q116" s="55">
        <f>IF(L116="Prod",FEE_ByContextArea_ByMode!AK116*AreaModeSharesandPMT!$X$13+FEE_ByContextArea_ByMode!AL116+FEE_ByContextArea_ByMode!AM116*AreaModeSharesandPMT!$Z$13,FEE_ByContextArea_ByMode!AK116*AreaModeSharesandPMT!$X$21+FEE_ByContextArea_ByMode!AL116+FEE_ByContextArea_ByMode!AM116*AreaModeSharesandPMT!$Z$21)</f>
        <v>37084.885693278789</v>
      </c>
      <c r="R116" s="91">
        <f>FEE_4_Out!$H113</f>
        <v>40810.575122295988</v>
      </c>
      <c r="S116" s="122">
        <f t="shared" si="43"/>
        <v>0</v>
      </c>
      <c r="T116" s="120">
        <f t="shared" si="44"/>
        <v>0</v>
      </c>
      <c r="U116" s="120">
        <f t="shared" si="45"/>
        <v>0</v>
      </c>
      <c r="V116" s="120">
        <f t="shared" si="46"/>
        <v>0</v>
      </c>
      <c r="W116" s="120">
        <f t="shared" si="47"/>
        <v>0</v>
      </c>
      <c r="X116" s="120">
        <f t="shared" si="48"/>
        <v>0</v>
      </c>
      <c r="Y116" s="120">
        <f t="shared" si="49"/>
        <v>0</v>
      </c>
      <c r="Z116" s="120">
        <f t="shared" si="50"/>
        <v>0</v>
      </c>
    </row>
    <row r="117" spans="2:26" x14ac:dyDescent="0.25">
      <c r="B117" s="51">
        <f>ITE_LUC_Rates!A105</f>
        <v>861</v>
      </c>
      <c r="C117" s="11" t="str">
        <f>ITE_LUC_Rates!B105</f>
        <v>Sporting Goods Superstore</v>
      </c>
      <c r="D117" s="52" t="str">
        <f>ITE_LUC_Rates!C105</f>
        <v>1000 GSF</v>
      </c>
      <c r="E117" s="112">
        <f>ITE_LUC_Rates!G105</f>
        <v>28.75</v>
      </c>
      <c r="F117" s="53" t="s">
        <v>73</v>
      </c>
      <c r="G117" s="91">
        <f>ITE_LUC_Rates!Q105</f>
        <v>0</v>
      </c>
      <c r="H117" s="55">
        <f>+FEE_1_In!H114</f>
        <v>22800.633502277175</v>
      </c>
      <c r="I117" s="91">
        <f>FEE_1_Out!$H114</f>
        <v>22175.930029841522</v>
      </c>
      <c r="J117" s="91">
        <f>FEE_2_In!$H114</f>
        <v>27119.202865041938</v>
      </c>
      <c r="K117" s="55">
        <f>IF(F117="Prod",FEE_ByContextArea_ByMode!AC117*AreaModeSharesandPMT!$X$11+FEE_ByContextArea_ByMode!AD117+FEE_ByContextArea_ByMode!AE117*AreaModeSharesandPMT!$Z$11,FEE_ByContextArea_ByMode!AC117*AreaModeSharesandPMT!$X$19+FEE_ByContextArea_ByMode!AD117+FEE_ByContextArea_ByMode!AE117*AreaModeSharesandPMT!$Z$19)</f>
        <v>22150.199905409496</v>
      </c>
      <c r="L117" s="91">
        <f>FEE_2_Out!$H114</f>
        <v>24300.30595850783</v>
      </c>
      <c r="M117" s="91">
        <f>FEE_3_In!$H114</f>
        <v>26976.070756958721</v>
      </c>
      <c r="N117" s="55">
        <f>IF(I117="Prod",FEE_ByContextArea_ByMode!AG117*AreaModeSharesandPMT!$X$12+FEE_ByContextArea_ByMode!AH117+FEE_ByContextArea_ByMode!AI117*AreaModeSharesandPMT!$Z$12,FEE_ByContextArea_ByMode!AG117*AreaModeSharesandPMT!$X$20+FEE_ByContextArea_ByMode!AH117+FEE_ByContextArea_ByMode!AI117*AreaModeSharesandPMT!$Z$20)</f>
        <v>23778.12778307496</v>
      </c>
      <c r="O117" s="91">
        <f>FEE_3_Out!$H114</f>
        <v>26160.700746493305</v>
      </c>
      <c r="P117" s="91">
        <f>FEE_4_In!$H114</f>
        <v>25322.478950883818</v>
      </c>
      <c r="Q117" s="55">
        <f>IF(L117="Prod",FEE_ByContextArea_ByMode!AK117*AreaModeSharesandPMT!$X$13+FEE_ByContextArea_ByMode!AL117+FEE_ByContextArea_ByMode!AM117*AreaModeSharesandPMT!$Z$13,FEE_ByContextArea_ByMode!AK117*AreaModeSharesandPMT!$X$21+FEE_ByContextArea_ByMode!AL117+FEE_ByContextArea_ByMode!AM117*AreaModeSharesandPMT!$Z$21)</f>
        <v>25506.948891908258</v>
      </c>
      <c r="R117" s="91">
        <f>FEE_4_Out!$H114</f>
        <v>28069.474515933241</v>
      </c>
      <c r="S117" s="122">
        <f t="shared" si="43"/>
        <v>0</v>
      </c>
      <c r="T117" s="120">
        <f t="shared" si="44"/>
        <v>0</v>
      </c>
      <c r="U117" s="120">
        <f t="shared" si="45"/>
        <v>0</v>
      </c>
      <c r="V117" s="120">
        <f t="shared" si="46"/>
        <v>0</v>
      </c>
      <c r="W117" s="120">
        <f t="shared" si="47"/>
        <v>0</v>
      </c>
      <c r="X117" s="120">
        <f t="shared" si="48"/>
        <v>0</v>
      </c>
      <c r="Y117" s="120">
        <f t="shared" si="49"/>
        <v>0</v>
      </c>
      <c r="Z117" s="120">
        <f t="shared" si="50"/>
        <v>0</v>
      </c>
    </row>
    <row r="118" spans="2:26" x14ac:dyDescent="0.25">
      <c r="B118" s="51">
        <f>ITE_LUC_Rates!A106</f>
        <v>862</v>
      </c>
      <c r="C118" s="11" t="str">
        <f>ITE_LUC_Rates!B106</f>
        <v>Home Improvements Superstore</v>
      </c>
      <c r="D118" s="52" t="str">
        <f>ITE_LUC_Rates!C106</f>
        <v>1000 GSF</v>
      </c>
      <c r="E118" s="112">
        <f>ITE_LUC_Rates!G106</f>
        <v>30.74</v>
      </c>
      <c r="F118" s="53" t="s">
        <v>73</v>
      </c>
      <c r="G118" s="91">
        <f>ITE_LUC_Rates!Q106</f>
        <v>22273</v>
      </c>
      <c r="H118" s="55">
        <f>+FEE_1_In!H115</f>
        <v>24378.833873391311</v>
      </c>
      <c r="I118" s="91">
        <f>FEE_1_Out!$H115</f>
        <v>23710.890056254902</v>
      </c>
      <c r="J118" s="91">
        <f>FEE_2_In!$H115</f>
        <v>28996.32334161353</v>
      </c>
      <c r="K118" s="55">
        <f>IF(F118="Prod",FEE_ByContextArea_ByMode!AC118*AreaModeSharesandPMT!$X$11+FEE_ByContextArea_ByMode!AD118+FEE_ByContextArea_ByMode!AE118*AreaModeSharesandPMT!$Z$11,FEE_ByContextArea_ByMode!AC118*AreaModeSharesandPMT!$X$19+FEE_ByContextArea_ByMode!AD118+FEE_ByContextArea_ByMode!AE118*AreaModeSharesandPMT!$Z$19)</f>
        <v>23683.378959731752</v>
      </c>
      <c r="L118" s="91">
        <f>FEE_2_Out!$H115</f>
        <v>25982.309744853243</v>
      </c>
      <c r="M118" s="91">
        <f>FEE_3_In!$H115</f>
        <v>28843.284002396907</v>
      </c>
      <c r="N118" s="55">
        <f>IF(I118="Prod",FEE_ByContextArea_ByMode!AG118*AreaModeSharesandPMT!$X$12+FEE_ByContextArea_ByMode!AH118+FEE_ByContextArea_ByMode!AI118*AreaModeSharesandPMT!$Z$12,FEE_ByContextArea_ByMode!AG118*AreaModeSharesandPMT!$X$20+FEE_ByContextArea_ByMode!AH118+FEE_ByContextArea_ByMode!AI118*AreaModeSharesandPMT!$Z$20)</f>
        <v>25423.987758320844</v>
      </c>
      <c r="O118" s="91">
        <f>FEE_3_Out!$H115</f>
        <v>27971.476206859272</v>
      </c>
      <c r="P118" s="91">
        <f>FEE_4_In!$H115</f>
        <v>27075.234885223257</v>
      </c>
      <c r="Q118" s="55">
        <f>IF(L118="Prod",FEE_ByContextArea_ByMode!AK118*AreaModeSharesandPMT!$X$13+FEE_ByContextArea_ByMode!AL118+FEE_ByContextArea_ByMode!AM118*AreaModeSharesandPMT!$Z$13,FEE_ByContextArea_ByMode!AK118*AreaModeSharesandPMT!$X$21+FEE_ByContextArea_ByMode!AL118+FEE_ByContextArea_ByMode!AM118*AreaModeSharesandPMT!$Z$21)</f>
        <v>27272.473354339465</v>
      </c>
      <c r="R118" s="91">
        <f>FEE_4_Out!$H115</f>
        <v>30012.37031721001</v>
      </c>
      <c r="S118" s="122">
        <f t="shared" si="43"/>
        <v>9.4546485583051787E-2</v>
      </c>
      <c r="T118" s="120">
        <f t="shared" si="44"/>
        <v>6.4557538555870542E-2</v>
      </c>
      <c r="U118" s="120">
        <f t="shared" si="45"/>
        <v>0.16653839827832995</v>
      </c>
      <c r="V118" s="120">
        <f t="shared" si="46"/>
        <v>0.30185980072794538</v>
      </c>
      <c r="W118" s="120">
        <f t="shared" si="47"/>
        <v>0.25584681932650621</v>
      </c>
      <c r="X118" s="120">
        <f t="shared" si="48"/>
        <v>0.29498873085785071</v>
      </c>
      <c r="Y118" s="120">
        <f t="shared" si="49"/>
        <v>0.34747767778072158</v>
      </c>
      <c r="Z118" s="120">
        <f t="shared" si="50"/>
        <v>0.21560790577036126</v>
      </c>
    </row>
    <row r="119" spans="2:26" x14ac:dyDescent="0.25">
      <c r="B119" s="51">
        <f>ITE_LUC_Rates!A107</f>
        <v>863</v>
      </c>
      <c r="C119" s="11" t="str">
        <f>ITE_LUC_Rates!B107</f>
        <v>Electronics Superstore</v>
      </c>
      <c r="D119" s="52" t="str">
        <f>ITE_LUC_Rates!C107</f>
        <v>1000 GSF</v>
      </c>
      <c r="E119" s="112">
        <f>ITE_LUC_Rates!G107</f>
        <v>41.05</v>
      </c>
      <c r="F119" s="53" t="s">
        <v>73</v>
      </c>
      <c r="G119" s="91">
        <f>ITE_LUC_Rates!Q107</f>
        <v>0</v>
      </c>
      <c r="H119" s="55">
        <f>+FEE_1_In!H116</f>
        <v>32555.339313686196</v>
      </c>
      <c r="I119" s="91">
        <f>FEE_1_Out!$H116</f>
        <v>31663.371399130239</v>
      </c>
      <c r="J119" s="91">
        <f>FEE_2_In!$H116</f>
        <v>38721.505308172913</v>
      </c>
      <c r="K119" s="55">
        <f>IF(F119="Prod",FEE_ByContextArea_ByMode!AC119*AreaModeSharesandPMT!$X$11+FEE_ByContextArea_ByMode!AD119+FEE_ByContextArea_ByMode!AE119*AreaModeSharesandPMT!$Z$11,FEE_ByContextArea_ByMode!AC119*AreaModeSharesandPMT!$X$19+FEE_ByContextArea_ByMode!AD119+FEE_ByContextArea_ByMode!AE119*AreaModeSharesandPMT!$Z$19)</f>
        <v>31626.633256245557</v>
      </c>
      <c r="L119" s="91">
        <f>FEE_2_Out!$H116</f>
        <v>34696.610768582475</v>
      </c>
      <c r="M119" s="91">
        <f>FEE_3_In!$H116</f>
        <v>38517.137550370615</v>
      </c>
      <c r="N119" s="55">
        <f>IF(I119="Prod",FEE_ByContextArea_ByMode!AG119*AreaModeSharesandPMT!$X$12+FEE_ByContextArea_ByMode!AH119+FEE_ByContextArea_ByMode!AI119*AreaModeSharesandPMT!$Z$12,FEE_ByContextArea_ByMode!AG119*AreaModeSharesandPMT!$X$20+FEE_ByContextArea_ByMode!AH119+FEE_ByContextArea_ByMode!AI119*AreaModeSharesandPMT!$Z$20)</f>
        <v>33951.031147660076</v>
      </c>
      <c r="O119" s="91">
        <f>FEE_3_Out!$H116</f>
        <v>37352.930978906094</v>
      </c>
      <c r="P119" s="91">
        <f>FEE_4_In!$H116</f>
        <v>36156.09603247932</v>
      </c>
      <c r="Q119" s="55">
        <f>IF(L119="Prod",FEE_ByContextArea_ByMode!AK119*AreaModeSharesandPMT!$X$13+FEE_ByContextArea_ByMode!AL119+FEE_ByContextArea_ByMode!AM119*AreaModeSharesandPMT!$Z$13,FEE_ByContextArea_ByMode!AK119*AreaModeSharesandPMT!$X$21+FEE_ByContextArea_ByMode!AL119+FEE_ByContextArea_ByMode!AM119*AreaModeSharesandPMT!$Z$21)</f>
        <v>36419.487026533359</v>
      </c>
      <c r="R119" s="91">
        <f>FEE_4_Out!$H116</f>
        <v>40078.327961010771</v>
      </c>
      <c r="S119" s="122">
        <f t="shared" si="43"/>
        <v>0</v>
      </c>
      <c r="T119" s="120">
        <f t="shared" si="44"/>
        <v>0</v>
      </c>
      <c r="U119" s="120">
        <f t="shared" si="45"/>
        <v>0</v>
      </c>
      <c r="V119" s="120">
        <f t="shared" si="46"/>
        <v>0</v>
      </c>
      <c r="W119" s="120">
        <f t="shared" si="47"/>
        <v>0</v>
      </c>
      <c r="X119" s="120">
        <f t="shared" si="48"/>
        <v>0</v>
      </c>
      <c r="Y119" s="120">
        <f t="shared" si="49"/>
        <v>0</v>
      </c>
      <c r="Z119" s="120">
        <f t="shared" si="50"/>
        <v>0</v>
      </c>
    </row>
    <row r="120" spans="2:26" x14ac:dyDescent="0.25">
      <c r="B120" s="51">
        <f>ITE_LUC_Rates!A108</f>
        <v>868</v>
      </c>
      <c r="C120" s="11" t="str">
        <f>ITE_LUC_Rates!B108</f>
        <v>Book Superstore</v>
      </c>
      <c r="D120" s="52" t="str">
        <f>ITE_LUC_Rates!C108</f>
        <v>1000 GSF</v>
      </c>
      <c r="E120" s="112">
        <f>ITE_LUC_Rates!G108</f>
        <v>143.6</v>
      </c>
      <c r="F120" s="53" t="s">
        <v>73</v>
      </c>
      <c r="G120" s="91">
        <f>ITE_LUC_Rates!Q108</f>
        <v>0</v>
      </c>
      <c r="H120" s="55">
        <f>+FEE_1_In!H117</f>
        <v>113884.20768441747</v>
      </c>
      <c r="I120" s="91">
        <f>FEE_1_Out!$H117</f>
        <v>110763.94964470407</v>
      </c>
      <c r="J120" s="91">
        <f>FEE_2_In!$H117</f>
        <v>135454.52283200074</v>
      </c>
      <c r="K120" s="55">
        <f>IF(F120="Prod",FEE_ByContextArea_ByMode!AC120*AreaModeSharesandPMT!$X$11+FEE_ByContextArea_ByMode!AD120+FEE_ByContextArea_ByMode!AE120*AreaModeSharesandPMT!$Z$11,FEE_ByContextArea_ByMode!AC120*AreaModeSharesandPMT!$X$19+FEE_ByContextArea_ByMode!AD120+FEE_ByContextArea_ByMode!AE120*AreaModeSharesandPMT!$Z$19)</f>
        <v>110635.4332666714</v>
      </c>
      <c r="L120" s="91">
        <f>FEE_2_Out!$H117</f>
        <v>121374.74558753821</v>
      </c>
      <c r="M120" s="91">
        <f>FEE_3_In!$H117</f>
        <v>134739.60906780077</v>
      </c>
      <c r="N120" s="55">
        <f>IF(I120="Prod",FEE_ByContextArea_ByMode!AG120*AreaModeSharesandPMT!$X$12+FEE_ByContextArea_ByMode!AH120+FEE_ByContextArea_ByMode!AI120*AreaModeSharesandPMT!$Z$12,FEE_ByContextArea_ByMode!AG120*AreaModeSharesandPMT!$X$20+FEE_ByContextArea_ByMode!AH120+FEE_ByContextArea_ByMode!AI120*AreaModeSharesandPMT!$Z$20)</f>
        <v>118766.57911824572</v>
      </c>
      <c r="O120" s="91">
        <f>FEE_3_Out!$H117</f>
        <v>130667.01311987611</v>
      </c>
      <c r="P120" s="91">
        <f>FEE_4_In!$H117</f>
        <v>126480.2774729362</v>
      </c>
      <c r="Q120" s="55">
        <f>IF(L120="Prod",FEE_ByContextArea_ByMode!AK120*AreaModeSharesandPMT!$X$13+FEE_ByContextArea_ByMode!AL120+FEE_ByContextArea_ByMode!AM120*AreaModeSharesandPMT!$Z$13,FEE_ByContextArea_ByMode!AK120*AreaModeSharesandPMT!$X$21+FEE_ByContextArea_ByMode!AL120+FEE_ByContextArea_ByMode!AM120*AreaModeSharesandPMT!$Z$21)</f>
        <v>127401.66472619218</v>
      </c>
      <c r="R120" s="91">
        <f>FEE_4_Out!$H117</f>
        <v>140200.92314740914</v>
      </c>
      <c r="S120" s="122">
        <f t="shared" si="43"/>
        <v>0</v>
      </c>
      <c r="T120" s="120">
        <f t="shared" si="44"/>
        <v>0</v>
      </c>
      <c r="U120" s="120">
        <f t="shared" si="45"/>
        <v>0</v>
      </c>
      <c r="V120" s="120">
        <f t="shared" si="46"/>
        <v>0</v>
      </c>
      <c r="W120" s="120">
        <f t="shared" si="47"/>
        <v>0</v>
      </c>
      <c r="X120" s="120">
        <f t="shared" si="48"/>
        <v>0</v>
      </c>
      <c r="Y120" s="120">
        <f t="shared" si="49"/>
        <v>0</v>
      </c>
      <c r="Z120" s="120">
        <f t="shared" si="50"/>
        <v>0</v>
      </c>
    </row>
    <row r="121" spans="2:26" x14ac:dyDescent="0.25">
      <c r="B121" s="51">
        <f>ITE_LUC_Rates!A109</f>
        <v>869</v>
      </c>
      <c r="C121" s="11" t="str">
        <f>ITE_LUC_Rates!B109</f>
        <v>Discount Home Furnishing Superstore</v>
      </c>
      <c r="D121" s="52" t="str">
        <f>ITE_LUC_Rates!C109</f>
        <v>1000 GSF</v>
      </c>
      <c r="E121" s="112">
        <f>ITE_LUC_Rates!G109</f>
        <v>20</v>
      </c>
      <c r="F121" s="53" t="s">
        <v>73</v>
      </c>
      <c r="G121" s="91">
        <f>ITE_LUC_Rates!Q109</f>
        <v>0</v>
      </c>
      <c r="H121" s="55">
        <f>+FEE_1_In!H118</f>
        <v>15861.31026245369</v>
      </c>
      <c r="I121" s="91">
        <f>FEE_1_Out!$H118</f>
        <v>15426.7339338028</v>
      </c>
      <c r="J121" s="91">
        <f>FEE_2_In!$H118</f>
        <v>18865.532427855262</v>
      </c>
      <c r="K121" s="55">
        <f>IF(F121="Prod",FEE_ByContextArea_ByMode!AC121*AreaModeSharesandPMT!$X$11+FEE_ByContextArea_ByMode!AD121+FEE_ByContextArea_ByMode!AE121*AreaModeSharesandPMT!$Z$11,FEE_ByContextArea_ByMode!AC121*AreaModeSharesandPMT!$X$19+FEE_ByContextArea_ByMode!AD121+FEE_ByContextArea_ByMode!AE121*AreaModeSharesandPMT!$Z$19)</f>
        <v>15408.834716806605</v>
      </c>
      <c r="L121" s="91">
        <f>FEE_2_Out!$H118</f>
        <v>16904.560666788053</v>
      </c>
      <c r="M121" s="91">
        <f>FEE_3_In!$H118</f>
        <v>18765.962265710416</v>
      </c>
      <c r="N121" s="55">
        <f>IF(I121="Prod",FEE_ByContextArea_ByMode!AG121*AreaModeSharesandPMT!$X$12+FEE_ByContextArea_ByMode!AH121+FEE_ByContextArea_ByMode!AI121*AreaModeSharesandPMT!$Z$12,FEE_ByContextArea_ByMode!AG121*AreaModeSharesandPMT!$X$20+FEE_ByContextArea_ByMode!AH121+FEE_ByContextArea_ByMode!AI121*AreaModeSharesandPMT!$Z$20)</f>
        <v>16541.306283878235</v>
      </c>
      <c r="O121" s="91">
        <f>FEE_3_Out!$H118</f>
        <v>18198.748345386652</v>
      </c>
      <c r="P121" s="91">
        <f>FEE_4_In!$H118</f>
        <v>17615.637531049611</v>
      </c>
      <c r="Q121" s="55">
        <f>IF(L121="Prod",FEE_ByContextArea_ByMode!AK121*AreaModeSharesandPMT!$X$13+FEE_ByContextArea_ByMode!AL121+FEE_ByContextArea_ByMode!AM121*AreaModeSharesandPMT!$Z$13,FEE_ByContextArea_ByMode!AK121*AreaModeSharesandPMT!$X$21+FEE_ByContextArea_ByMode!AL121+FEE_ByContextArea_ByMode!AM121*AreaModeSharesandPMT!$Z$21)</f>
        <v>17743.96444654488</v>
      </c>
      <c r="R121" s="91">
        <f>FEE_4_Out!$H118</f>
        <v>19526.590967605734</v>
      </c>
      <c r="S121" s="122">
        <f t="shared" si="43"/>
        <v>0</v>
      </c>
      <c r="T121" s="120">
        <f t="shared" si="44"/>
        <v>0</v>
      </c>
      <c r="U121" s="120">
        <f t="shared" si="45"/>
        <v>0</v>
      </c>
      <c r="V121" s="120">
        <f t="shared" si="46"/>
        <v>0</v>
      </c>
      <c r="W121" s="120">
        <f t="shared" si="47"/>
        <v>0</v>
      </c>
      <c r="X121" s="120">
        <f t="shared" si="48"/>
        <v>0</v>
      </c>
      <c r="Y121" s="120">
        <f t="shared" si="49"/>
        <v>0</v>
      </c>
      <c r="Z121" s="120">
        <f t="shared" si="50"/>
        <v>0</v>
      </c>
    </row>
    <row r="122" spans="2:26" x14ac:dyDescent="0.25">
      <c r="B122" s="51">
        <f>ITE_LUC_Rates!A110</f>
        <v>875</v>
      </c>
      <c r="C122" s="11" t="str">
        <f>ITE_LUC_Rates!B110</f>
        <v>Department Store (free standing)</v>
      </c>
      <c r="D122" s="52" t="str">
        <f>ITE_LUC_Rates!C110</f>
        <v>1000 GSF</v>
      </c>
      <c r="E122" s="112">
        <f>ITE_LUC_Rates!G110</f>
        <v>22.88</v>
      </c>
      <c r="F122" s="53" t="s">
        <v>73</v>
      </c>
      <c r="G122" s="91">
        <f>ITE_LUC_Rates!Q110</f>
        <v>9283</v>
      </c>
      <c r="H122" s="55">
        <f>+FEE_1_In!H119</f>
        <v>18145.338940247017</v>
      </c>
      <c r="I122" s="91">
        <f>FEE_1_Out!$H119</f>
        <v>17648.1836202704</v>
      </c>
      <c r="J122" s="91">
        <f>FEE_2_In!$H119</f>
        <v>21582.169097466416</v>
      </c>
      <c r="K122" s="55">
        <f>IF(F122="Prod",FEE_ByContextArea_ByMode!AC122*AreaModeSharesandPMT!$X$11+FEE_ByContextArea_ByMode!AD122+FEE_ByContextArea_ByMode!AE122*AreaModeSharesandPMT!$Z$11,FEE_ByContextArea_ByMode!AC122*AreaModeSharesandPMT!$X$19+FEE_ByContextArea_ByMode!AD122+FEE_ByContextArea_ByMode!AE122*AreaModeSharesandPMT!$Z$19)</f>
        <v>17627.706916026757</v>
      </c>
      <c r="L122" s="91">
        <f>FEE_2_Out!$H119</f>
        <v>19338.817402805533</v>
      </c>
      <c r="M122" s="91">
        <f>FEE_3_In!$H119</f>
        <v>21468.260831972711</v>
      </c>
      <c r="N122" s="55">
        <f>IF(I122="Prod",FEE_ByContextArea_ByMode!AG122*AreaModeSharesandPMT!$X$12+FEE_ByContextArea_ByMode!AH122+FEE_ByContextArea_ByMode!AI122*AreaModeSharesandPMT!$Z$12,FEE_ByContextArea_ByMode!AG122*AreaModeSharesandPMT!$X$20+FEE_ByContextArea_ByMode!AH122+FEE_ByContextArea_ByMode!AI122*AreaModeSharesandPMT!$Z$20)</f>
        <v>18923.254388756697</v>
      </c>
      <c r="O122" s="91">
        <f>FEE_3_Out!$H119</f>
        <v>20819.368107122325</v>
      </c>
      <c r="P122" s="91">
        <f>FEE_4_In!$H119</f>
        <v>20152.289335520756</v>
      </c>
      <c r="Q122" s="55">
        <f>IF(L122="Prod",FEE_ByContextArea_ByMode!AK122*AreaModeSharesandPMT!$X$13+FEE_ByContextArea_ByMode!AL122+FEE_ByContextArea_ByMode!AM122*AreaModeSharesandPMT!$Z$13,FEE_ByContextArea_ByMode!AK122*AreaModeSharesandPMT!$X$21+FEE_ByContextArea_ByMode!AL122+FEE_ByContextArea_ByMode!AM122*AreaModeSharesandPMT!$Z$21)</f>
        <v>20299.095326847339</v>
      </c>
      <c r="R122" s="91">
        <f>FEE_4_Out!$H119</f>
        <v>22338.420066940958</v>
      </c>
      <c r="S122" s="122">
        <f t="shared" si="43"/>
        <v>0.95468479373553983</v>
      </c>
      <c r="T122" s="120">
        <f t="shared" si="44"/>
        <v>0.90112933537330608</v>
      </c>
      <c r="U122" s="120">
        <f t="shared" si="45"/>
        <v>1.0832508243892636</v>
      </c>
      <c r="V122" s="120">
        <f t="shared" si="46"/>
        <v>1.3249131851197258</v>
      </c>
      <c r="W122" s="120">
        <f t="shared" si="47"/>
        <v>1.2427413667049794</v>
      </c>
      <c r="X122" s="120">
        <f t="shared" si="48"/>
        <v>1.3126425543437157</v>
      </c>
      <c r="Y122" s="120">
        <f t="shared" si="49"/>
        <v>1.4063794104213034</v>
      </c>
      <c r="Z122" s="120">
        <f t="shared" si="50"/>
        <v>1.1708811090725795</v>
      </c>
    </row>
    <row r="123" spans="2:26" x14ac:dyDescent="0.25">
      <c r="B123" s="51">
        <f>ITE_LUC_Rates!A111</f>
        <v>876</v>
      </c>
      <c r="C123" s="11" t="str">
        <f>ITE_LUC_Rates!B111</f>
        <v>Apparel Store</v>
      </c>
      <c r="D123" s="52" t="str">
        <f>ITE_LUC_Rates!C111</f>
        <v>1000 GSF</v>
      </c>
      <c r="E123" s="112">
        <f>ITE_LUC_Rates!G111</f>
        <v>66.400000000000006</v>
      </c>
      <c r="F123" s="53" t="s">
        <v>73</v>
      </c>
      <c r="G123" s="91">
        <f>ITE_LUC_Rates!Q111</f>
        <v>0</v>
      </c>
      <c r="H123" s="55">
        <f>+FEE_1_In!H120</f>
        <v>52659.550071346253</v>
      </c>
      <c r="I123" s="91">
        <f>FEE_1_Out!$H120</f>
        <v>51216.756660225285</v>
      </c>
      <c r="J123" s="91">
        <f>FEE_2_In!$H120</f>
        <v>62633.567660479457</v>
      </c>
      <c r="K123" s="55">
        <f>IF(F123="Prod",FEE_ByContextArea_ByMode!AC123*AreaModeSharesandPMT!$X$11+FEE_ByContextArea_ByMode!AD123+FEE_ByContextArea_ByMode!AE123*AreaModeSharesandPMT!$Z$11,FEE_ByContextArea_ByMode!AC123*AreaModeSharesandPMT!$X$19+FEE_ByContextArea_ByMode!AD123+FEE_ByContextArea_ByMode!AE123*AreaModeSharesandPMT!$Z$19)</f>
        <v>51157.331259797931</v>
      </c>
      <c r="L123" s="91">
        <f>FEE_2_Out!$H120</f>
        <v>56123.141413736346</v>
      </c>
      <c r="M123" s="91">
        <f>FEE_3_In!$H120</f>
        <v>62302.994722158583</v>
      </c>
      <c r="N123" s="55">
        <f>IF(I123="Prod",FEE_ByContextArea_ByMode!AG123*AreaModeSharesandPMT!$X$12+FEE_ByContextArea_ByMode!AH123+FEE_ByContextArea_ByMode!AI123*AreaModeSharesandPMT!$Z$12,FEE_ByContextArea_ByMode!AG123*AreaModeSharesandPMT!$X$20+FEE_ByContextArea_ByMode!AH123+FEE_ByContextArea_ByMode!AI123*AreaModeSharesandPMT!$Z$20)</f>
        <v>54917.136862475738</v>
      </c>
      <c r="O123" s="91">
        <f>FEE_3_Out!$H120</f>
        <v>60419.844506683672</v>
      </c>
      <c r="P123" s="91">
        <f>FEE_4_In!$H120</f>
        <v>58483.916603084719</v>
      </c>
      <c r="Q123" s="55">
        <f>IF(L123="Prod",FEE_ByContextArea_ByMode!AK123*AreaModeSharesandPMT!$X$13+FEE_ByContextArea_ByMode!AL123+FEE_ByContextArea_ByMode!AM123*AreaModeSharesandPMT!$Z$13,FEE_ByContextArea_ByMode!AK123*AreaModeSharesandPMT!$X$21+FEE_ByContextArea_ByMode!AL123+FEE_ByContextArea_ByMode!AM123*AreaModeSharesandPMT!$Z$21)</f>
        <v>58909.961962528985</v>
      </c>
      <c r="R123" s="91">
        <f>FEE_4_Out!$H120</f>
        <v>64828.282012451033</v>
      </c>
      <c r="S123" s="122">
        <f t="shared" si="43"/>
        <v>0</v>
      </c>
      <c r="T123" s="120">
        <f t="shared" si="44"/>
        <v>0</v>
      </c>
      <c r="U123" s="120">
        <f t="shared" si="45"/>
        <v>0</v>
      </c>
      <c r="V123" s="120">
        <f t="shared" si="46"/>
        <v>0</v>
      </c>
      <c r="W123" s="120">
        <f t="shared" si="47"/>
        <v>0</v>
      </c>
      <c r="X123" s="120">
        <f t="shared" si="48"/>
        <v>0</v>
      </c>
      <c r="Y123" s="120">
        <f t="shared" si="49"/>
        <v>0</v>
      </c>
      <c r="Z123" s="120">
        <f t="shared" si="50"/>
        <v>0</v>
      </c>
    </row>
    <row r="124" spans="2:26" x14ac:dyDescent="0.25">
      <c r="B124" s="51">
        <f>ITE_LUC_Rates!A112</f>
        <v>879</v>
      </c>
      <c r="C124" s="11" t="str">
        <f>ITE_LUC_Rates!B112</f>
        <v>Arts &amp; Crafts Store</v>
      </c>
      <c r="D124" s="52" t="str">
        <f>ITE_LUC_Rates!C112</f>
        <v>1000 GSF</v>
      </c>
      <c r="E124" s="112">
        <f>ITE_LUC_Rates!G112</f>
        <v>56.55</v>
      </c>
      <c r="F124" s="53" t="s">
        <v>73</v>
      </c>
      <c r="G124" s="91">
        <f>ITE_LUC_Rates!Q112</f>
        <v>0</v>
      </c>
      <c r="H124" s="55">
        <f>+FEE_1_In!H121</f>
        <v>44847.854767087796</v>
      </c>
      <c r="I124" s="91">
        <f>FEE_1_Out!$H121</f>
        <v>43619.090197827412</v>
      </c>
      <c r="J124" s="91">
        <f>FEE_2_In!$H121</f>
        <v>53342.292939760751</v>
      </c>
      <c r="K124" s="55">
        <f>IF(F124="Prod",FEE_ByContextArea_ByMode!AC124*AreaModeSharesandPMT!$X$11+FEE_ByContextArea_ByMode!AD124+FEE_ByContextArea_ByMode!AE124*AreaModeSharesandPMT!$Z$11,FEE_ByContextArea_ByMode!AC124*AreaModeSharesandPMT!$X$19+FEE_ByContextArea_ByMode!AD124+FEE_ByContextArea_ByMode!AE124*AreaModeSharesandPMT!$Z$19)</f>
        <v>43568.480161770669</v>
      </c>
      <c r="L124" s="91">
        <f>FEE_2_Out!$H121</f>
        <v>47797.645285343213</v>
      </c>
      <c r="M124" s="91">
        <f>FEE_3_In!$H121</f>
        <v>53060.758306296193</v>
      </c>
      <c r="N124" s="55">
        <f>IF(I124="Prod",FEE_ByContextArea_ByMode!AG124*AreaModeSharesandPMT!$X$12+FEE_ByContextArea_ByMode!AH124+FEE_ByContextArea_ByMode!AI124*AreaModeSharesandPMT!$Z$12,FEE_ByContextArea_ByMode!AG124*AreaModeSharesandPMT!$X$20+FEE_ByContextArea_ByMode!AH124+FEE_ByContextArea_ByMode!AI124*AreaModeSharesandPMT!$Z$20)</f>
        <v>46770.543517665712</v>
      </c>
      <c r="O124" s="91">
        <f>FEE_3_Out!$H121</f>
        <v>51456.960946580744</v>
      </c>
      <c r="P124" s="91">
        <f>FEE_4_In!$H121</f>
        <v>49808.215119042783</v>
      </c>
      <c r="Q124" s="55">
        <f>IF(L124="Prod",FEE_ByContextArea_ByMode!AK124*AreaModeSharesandPMT!$X$13+FEE_ByContextArea_ByMode!AL124+FEE_ByContextArea_ByMode!AM124*AreaModeSharesandPMT!$Z$13,FEE_ByContextArea_ByMode!AK124*AreaModeSharesandPMT!$X$21+FEE_ByContextArea_ByMode!AL124+FEE_ByContextArea_ByMode!AM124*AreaModeSharesandPMT!$Z$21)</f>
        <v>50171.05947260563</v>
      </c>
      <c r="R124" s="91">
        <f>FEE_4_Out!$H121</f>
        <v>55211.435960905212</v>
      </c>
      <c r="S124" s="122">
        <f t="shared" si="43"/>
        <v>0</v>
      </c>
      <c r="T124" s="120">
        <f t="shared" si="44"/>
        <v>0</v>
      </c>
      <c r="U124" s="120">
        <f t="shared" si="45"/>
        <v>0</v>
      </c>
      <c r="V124" s="120">
        <f t="shared" si="46"/>
        <v>0</v>
      </c>
      <c r="W124" s="120">
        <f t="shared" si="47"/>
        <v>0</v>
      </c>
      <c r="X124" s="120">
        <f t="shared" si="48"/>
        <v>0</v>
      </c>
      <c r="Y124" s="120">
        <f t="shared" si="49"/>
        <v>0</v>
      </c>
      <c r="Z124" s="120">
        <f t="shared" si="50"/>
        <v>0</v>
      </c>
    </row>
    <row r="125" spans="2:26" x14ac:dyDescent="0.25">
      <c r="B125" s="51">
        <f>ITE_LUC_Rates!A113</f>
        <v>880</v>
      </c>
      <c r="C125" s="11" t="str">
        <f>ITE_LUC_Rates!B113</f>
        <v>Pharmacy/Drugstore w/o Drive-Thru</v>
      </c>
      <c r="D125" s="52" t="str">
        <f>ITE_LUC_Rates!C113</f>
        <v>1000 GSF</v>
      </c>
      <c r="E125" s="112">
        <f>ITE_LUC_Rates!G113</f>
        <v>90.08</v>
      </c>
      <c r="F125" s="53" t="s">
        <v>73</v>
      </c>
      <c r="G125" s="91">
        <f>ITE_LUC_Rates!Q113</f>
        <v>11136.5</v>
      </c>
      <c r="H125" s="55">
        <f>+FEE_1_In!H122</f>
        <v>8461.7173161537103</v>
      </c>
      <c r="I125" s="91">
        <f>FEE_1_Out!$H122</f>
        <v>8229.8788372078398</v>
      </c>
      <c r="J125" s="91">
        <f>FEE_2_In!$H122</f>
        <v>10064.414590081111</v>
      </c>
      <c r="K125" s="55">
        <f>IF(F125="Prod",FEE_ByContextArea_ByMode!AC125*AreaModeSharesandPMT!$X$11+FEE_ByContextArea_ByMode!AD125+FEE_ByContextArea_ByMode!AE125*AreaModeSharesandPMT!$Z$11,FEE_ByContextArea_ByMode!AC125*AreaModeSharesandPMT!$X$19+FEE_ByContextArea_ByMode!AD125+FEE_ByContextArea_ByMode!AE125*AreaModeSharesandPMT!$Z$19)</f>
        <v>8220.329934128833</v>
      </c>
      <c r="L125" s="91">
        <f>FEE_2_Out!$H122</f>
        <v>9018.2722202171572</v>
      </c>
      <c r="M125" s="91">
        <f>FEE_3_In!$H122</f>
        <v>10011.295739793713</v>
      </c>
      <c r="N125" s="55">
        <f>IF(I125="Prod",FEE_ByContextArea_ByMode!AG125*AreaModeSharesandPMT!$X$12+FEE_ByContextArea_ByMode!AH125+FEE_ByContextArea_ByMode!AI125*AreaModeSharesandPMT!$Z$12,FEE_ByContextArea_ByMode!AG125*AreaModeSharesandPMT!$X$20+FEE_ByContextArea_ByMode!AH125+FEE_ByContextArea_ByMode!AI125*AreaModeSharesandPMT!$Z$20)</f>
        <v>8824.4826876264688</v>
      </c>
      <c r="O125" s="91">
        <f>FEE_3_Out!$H122</f>
        <v>9708.697545057652</v>
      </c>
      <c r="P125" s="91">
        <f>FEE_4_In!$H122</f>
        <v>9397.6186497288054</v>
      </c>
      <c r="Q125" s="55">
        <f>IF(L125="Prod",FEE_ByContextArea_ByMode!AK125*AreaModeSharesandPMT!$X$13+FEE_ByContextArea_ByMode!AL125+FEE_ByContextArea_ByMode!AM125*AreaModeSharesandPMT!$Z$13,FEE_ByContextArea_ByMode!AK125*AreaModeSharesandPMT!$X$21+FEE_ByContextArea_ByMode!AL125+FEE_ByContextArea_ByMode!AM125*AreaModeSharesandPMT!$Z$21)</f>
        <v>9466.0786990568431</v>
      </c>
      <c r="R125" s="91">
        <f>FEE_4_Out!$H122</f>
        <v>10417.077163364171</v>
      </c>
      <c r="S125" s="122">
        <f t="shared" si="43"/>
        <v>-0.24018162652954611</v>
      </c>
      <c r="T125" s="120">
        <f t="shared" si="44"/>
        <v>-0.26099952074638888</v>
      </c>
      <c r="U125" s="120">
        <f t="shared" si="45"/>
        <v>-0.19020587974523795</v>
      </c>
      <c r="V125" s="120">
        <f t="shared" si="46"/>
        <v>-9.626771516355126E-2</v>
      </c>
      <c r="W125" s="120">
        <f t="shared" si="47"/>
        <v>-0.12820926277936051</v>
      </c>
      <c r="X125" s="120">
        <f t="shared" si="48"/>
        <v>-0.10103751270204164</v>
      </c>
      <c r="Y125" s="120">
        <f t="shared" si="49"/>
        <v>-6.4600443284320019E-2</v>
      </c>
      <c r="Z125" s="120">
        <f t="shared" si="50"/>
        <v>-0.1561425358300359</v>
      </c>
    </row>
    <row r="126" spans="2:26" x14ac:dyDescent="0.25">
      <c r="B126" s="51">
        <f>ITE_LUC_Rates!A114</f>
        <v>881</v>
      </c>
      <c r="C126" s="11" t="str">
        <f>ITE_LUC_Rates!B114</f>
        <v>Pharmacy/Drugstore w/ Drive-Thru</v>
      </c>
      <c r="D126" s="52" t="str">
        <f>ITE_LUC_Rates!C114</f>
        <v>1000 GSF</v>
      </c>
      <c r="E126" s="112">
        <f>ITE_LUC_Rates!G114</f>
        <v>109.16</v>
      </c>
      <c r="F126" s="53" t="s">
        <v>73</v>
      </c>
      <c r="G126" s="91">
        <f>ITE_LUC_Rates!Q114</f>
        <v>11984.3</v>
      </c>
      <c r="H126" s="55">
        <f>+FEE_1_In!H123</f>
        <v>10254.008239690709</v>
      </c>
      <c r="I126" s="91">
        <f>FEE_1_Out!$H123</f>
        <v>9973.0636530817937</v>
      </c>
      <c r="J126" s="91">
        <f>FEE_2_In!$H123</f>
        <v>12196.175584516586</v>
      </c>
      <c r="K126" s="55">
        <f>IF(F126="Prod",FEE_ByContextArea_ByMode!AC126*AreaModeSharesandPMT!$X$11+FEE_ByContextArea_ByMode!AD126+FEE_ByContextArea_ByMode!AE126*AreaModeSharesandPMT!$Z$11,FEE_ByContextArea_ByMode!AC126*AreaModeSharesandPMT!$X$19+FEE_ByContextArea_ByMode!AD126+FEE_ByContextArea_ByMode!AE126*AreaModeSharesandPMT!$Z$19)</f>
        <v>9961.4921803896905</v>
      </c>
      <c r="L126" s="91">
        <f>FEE_2_Out!$H123</f>
        <v>10928.447996879491</v>
      </c>
      <c r="M126" s="91">
        <f>FEE_3_In!$H123</f>
        <v>12131.80553903066</v>
      </c>
      <c r="N126" s="55">
        <f>IF(I126="Prod",FEE_ByContextArea_ByMode!AG126*AreaModeSharesandPMT!$X$12+FEE_ByContextArea_ByMode!AH126+FEE_ByContextArea_ByMode!AI126*AreaModeSharesandPMT!$Z$12,FEE_ByContextArea_ByMode!AG126*AreaModeSharesandPMT!$X$20+FEE_ByContextArea_ByMode!AH126+FEE_ByContextArea_ByMode!AI126*AreaModeSharesandPMT!$Z$20)</f>
        <v>10693.611569508275</v>
      </c>
      <c r="O126" s="91">
        <f>FEE_3_Out!$H123</f>
        <v>11765.113499317198</v>
      </c>
      <c r="P126" s="91">
        <f>FEE_4_In!$H123</f>
        <v>11388.144447206889</v>
      </c>
      <c r="Q126" s="55">
        <f>IF(L126="Prod",FEE_ByContextArea_ByMode!AK126*AreaModeSharesandPMT!$X$13+FEE_ByContextArea_ByMode!AL126+FEE_ByContextArea_ByMode!AM126*AreaModeSharesandPMT!$Z$13,FEE_ByContextArea_ByMode!AK126*AreaModeSharesandPMT!$X$21+FEE_ByContextArea_ByMode!AL126+FEE_ByContextArea_ByMode!AM126*AreaModeSharesandPMT!$Z$21)</f>
        <v>11471.105137533801</v>
      </c>
      <c r="R126" s="91">
        <f>FEE_4_Out!$H123</f>
        <v>12623.536225053649</v>
      </c>
      <c r="S126" s="122">
        <f t="shared" si="43"/>
        <v>-0.14437987703155719</v>
      </c>
      <c r="T126" s="120">
        <f t="shared" si="44"/>
        <v>-0.16782259680734002</v>
      </c>
      <c r="U126" s="120">
        <f t="shared" si="45"/>
        <v>-8.8102934933246724E-2</v>
      </c>
      <c r="V126" s="120">
        <f t="shared" si="46"/>
        <v>1.7679429296378446E-2</v>
      </c>
      <c r="W126" s="120">
        <f t="shared" si="47"/>
        <v>-1.8289470447402145E-2</v>
      </c>
      <c r="X126" s="120">
        <f t="shared" si="48"/>
        <v>1.2308231522129898E-2</v>
      </c>
      <c r="Y126" s="120">
        <f t="shared" si="49"/>
        <v>5.3339471229329138E-2</v>
      </c>
      <c r="Z126" s="120">
        <f t="shared" si="50"/>
        <v>-4.9744712064376806E-2</v>
      </c>
    </row>
    <row r="127" spans="2:26" x14ac:dyDescent="0.25">
      <c r="B127" s="51">
        <f>ITE_LUC_Rates!A115</f>
        <v>882</v>
      </c>
      <c r="C127" s="11" t="str">
        <f>ITE_LUC_Rates!B115</f>
        <v>Marijuana Dispensary</v>
      </c>
      <c r="D127" s="52" t="str">
        <f>ITE_LUC_Rates!C115</f>
        <v>1000 GSF</v>
      </c>
      <c r="E127" s="112">
        <f>ITE_LUC_Rates!G115</f>
        <v>252.7</v>
      </c>
      <c r="F127" s="53" t="s">
        <v>73</v>
      </c>
      <c r="G127" s="91">
        <f>ITE_LUC_Rates!Q115</f>
        <v>0</v>
      </c>
      <c r="H127" s="55">
        <f>+FEE_1_In!H124</f>
        <v>200407.65516610234</v>
      </c>
      <c r="I127" s="91">
        <f>FEE_1_Out!$H124</f>
        <v>194916.78325359832</v>
      </c>
      <c r="J127" s="91">
        <f>FEE_2_In!$H124</f>
        <v>238366.00222595115</v>
      </c>
      <c r="K127" s="55">
        <f>IF(F127="Prod",FEE_ByContextArea_ByMode!AC127*AreaModeSharesandPMT!$X$11+FEE_ByContextArea_ByMode!AD127+FEE_ByContextArea_ByMode!AE127*AreaModeSharesandPMT!$Z$11,FEE_ByContextArea_ByMode!AC127*AreaModeSharesandPMT!$X$19+FEE_ByContextArea_ByMode!AD127+FEE_ByContextArea_ByMode!AE127*AreaModeSharesandPMT!$Z$19)</f>
        <v>194690.62664685139</v>
      </c>
      <c r="L127" s="91">
        <f>FEE_2_Out!$H124</f>
        <v>213589.12402486702</v>
      </c>
      <c r="M127" s="91">
        <f>FEE_3_In!$H124</f>
        <v>237107.93322725108</v>
      </c>
      <c r="N127" s="55">
        <f>IF(I127="Prod",FEE_ByContextArea_ByMode!AG127*AreaModeSharesandPMT!$X$12+FEE_ByContextArea_ByMode!AH127+FEE_ByContextArea_ByMode!AI127*AreaModeSharesandPMT!$Z$12,FEE_ByContextArea_ByMode!AG127*AreaModeSharesandPMT!$X$20+FEE_ByContextArea_ByMode!AH127+FEE_ByContextArea_ByMode!AI127*AreaModeSharesandPMT!$Z$20)</f>
        <v>208999.40489680151</v>
      </c>
      <c r="O127" s="91">
        <f>FEE_3_Out!$H124</f>
        <v>229941.1853439603</v>
      </c>
      <c r="P127" s="91">
        <f>FEE_4_In!$H124</f>
        <v>222573.58020481179</v>
      </c>
      <c r="Q127" s="55">
        <f>IF(L127="Prod",FEE_ByContextArea_ByMode!AK127*AreaModeSharesandPMT!$X$13+FEE_ByContextArea_ByMode!AL127+FEE_ByContextArea_ByMode!AM127*AreaModeSharesandPMT!$Z$13,FEE_ByContextArea_ByMode!AK127*AreaModeSharesandPMT!$X$21+FEE_ByContextArea_ByMode!AL127+FEE_ByContextArea_ByMode!AM127*AreaModeSharesandPMT!$Z$21)</f>
        <v>224194.99078209445</v>
      </c>
      <c r="R127" s="91">
        <f>FEE_4_Out!$H124</f>
        <v>246718.47687569843</v>
      </c>
      <c r="S127" s="122">
        <f t="shared" si="43"/>
        <v>0</v>
      </c>
      <c r="T127" s="120">
        <f t="shared" si="44"/>
        <v>0</v>
      </c>
      <c r="U127" s="120">
        <f t="shared" si="45"/>
        <v>0</v>
      </c>
      <c r="V127" s="120">
        <f t="shared" si="46"/>
        <v>0</v>
      </c>
      <c r="W127" s="120">
        <f t="shared" si="47"/>
        <v>0</v>
      </c>
      <c r="X127" s="120">
        <f t="shared" si="48"/>
        <v>0</v>
      </c>
      <c r="Y127" s="120">
        <f t="shared" si="49"/>
        <v>0</v>
      </c>
      <c r="Z127" s="120">
        <f t="shared" si="50"/>
        <v>0</v>
      </c>
    </row>
    <row r="128" spans="2:26" x14ac:dyDescent="0.25">
      <c r="B128" s="51">
        <f>ITE_LUC_Rates!A116</f>
        <v>890</v>
      </c>
      <c r="C128" s="11" t="str">
        <f>ITE_LUC_Rates!B116</f>
        <v>Furniture Store (free standing)</v>
      </c>
      <c r="D128" s="52" t="str">
        <f>ITE_LUC_Rates!C116</f>
        <v>1000 GSF</v>
      </c>
      <c r="E128" s="112">
        <f>ITE_LUC_Rates!G116</f>
        <v>6.3</v>
      </c>
      <c r="F128" s="53" t="s">
        <v>73</v>
      </c>
      <c r="G128" s="91">
        <f>ITE_LUC_Rates!Q116</f>
        <v>1656.8</v>
      </c>
      <c r="H128" s="55">
        <f>+FEE_1_In!H125</f>
        <v>2898.5374672254902</v>
      </c>
      <c r="I128" s="91">
        <f>FEE_1_Out!$H125</f>
        <v>2819.1218483314024</v>
      </c>
      <c r="J128" s="91">
        <f>FEE_2_In!$H125</f>
        <v>3447.5369106635676</v>
      </c>
      <c r="K128" s="55">
        <f>IF(F128="Prod",FEE_ByContextArea_ByMode!AC128*AreaModeSharesandPMT!$X$11+FEE_ByContextArea_ByMode!AD128+FEE_ByContextArea_ByMode!AE128*AreaModeSharesandPMT!$Z$11,FEE_ByContextArea_ByMode!AC128*AreaModeSharesandPMT!$X$19+FEE_ByContextArea_ByMode!AD128+FEE_ByContextArea_ByMode!AE128*AreaModeSharesandPMT!$Z$19)</f>
        <v>2815.8508984389287</v>
      </c>
      <c r="L128" s="91">
        <f>FEE_2_Out!$H125</f>
        <v>3089.1837842463083</v>
      </c>
      <c r="M128" s="91">
        <f>FEE_3_In!$H125</f>
        <v>3429.3411978996783</v>
      </c>
      <c r="N128" s="55">
        <f>IF(I128="Prod",FEE_ByContextArea_ByMode!AG128*AreaModeSharesandPMT!$X$12+FEE_ByContextArea_ByMode!AH128+FEE_ByContextArea_ByMode!AI128*AreaModeSharesandPMT!$Z$12,FEE_ByContextArea_ByMode!AG128*AreaModeSharesandPMT!$X$20+FEE_ByContextArea_ByMode!AH128+FEE_ByContextArea_ByMode!AI128*AreaModeSharesandPMT!$Z$20)</f>
        <v>3022.8017249097361</v>
      </c>
      <c r="O128" s="91">
        <f>FEE_3_Out!$H125</f>
        <v>3325.6870373804099</v>
      </c>
      <c r="P128" s="91">
        <f>FEE_4_In!$H125</f>
        <v>3219.1278367258983</v>
      </c>
      <c r="Q128" s="55">
        <f>IF(L128="Prod",FEE_ByContextArea_ByMode!AK128*AreaModeSharesandPMT!$X$13+FEE_ByContextArea_ByMode!AL128+FEE_ByContextArea_ByMode!AM128*AreaModeSharesandPMT!$Z$13,FEE_ByContextArea_ByMode!AK128*AreaModeSharesandPMT!$X$21+FEE_ByContextArea_ByMode!AL128+FEE_ByContextArea_ByMode!AM128*AreaModeSharesandPMT!$Z$21)</f>
        <v>3242.5786340725076</v>
      </c>
      <c r="R128" s="91">
        <f>FEE_4_Out!$H125</f>
        <v>3568.3404832430574</v>
      </c>
      <c r="S128" s="122">
        <f t="shared" si="43"/>
        <v>0.74947939837366628</v>
      </c>
      <c r="T128" s="120">
        <f t="shared" si="44"/>
        <v>0.70154626287506172</v>
      </c>
      <c r="U128" s="120">
        <f t="shared" si="45"/>
        <v>0.8645483970583705</v>
      </c>
      <c r="V128" s="120">
        <f t="shared" si="46"/>
        <v>1.080840723481149</v>
      </c>
      <c r="W128" s="120">
        <f t="shared" si="47"/>
        <v>1.0072954112629224</v>
      </c>
      <c r="X128" s="120">
        <f t="shared" si="48"/>
        <v>1.0698582797559624</v>
      </c>
      <c r="Y128" s="120">
        <f t="shared" si="49"/>
        <v>1.1537545166846073</v>
      </c>
      <c r="Z128" s="120">
        <f t="shared" si="50"/>
        <v>0.94297913853567028</v>
      </c>
    </row>
    <row r="129" spans="1:26" x14ac:dyDescent="0.25">
      <c r="B129" s="51">
        <f>ITE_LUC_Rates!A117</f>
        <v>899</v>
      </c>
      <c r="C129" s="11" t="str">
        <f>ITE_LUC_Rates!B117</f>
        <v>Liquor Store</v>
      </c>
      <c r="D129" s="52" t="str">
        <f>ITE_LUC_Rates!C117</f>
        <v>1000 GSF</v>
      </c>
      <c r="E129" s="112">
        <f>ITE_LUC_Rates!G117</f>
        <v>101.49</v>
      </c>
      <c r="F129" s="53" t="s">
        <v>73</v>
      </c>
      <c r="G129" s="91">
        <f>ITE_LUC_Rates!Q117</f>
        <v>0</v>
      </c>
      <c r="H129" s="55">
        <f>+FEE_1_In!H126</f>
        <v>57357.264251924214</v>
      </c>
      <c r="I129" s="91">
        <f>FEE_1_Out!$H126</f>
        <v>55785.760453838615</v>
      </c>
      <c r="J129" s="91">
        <f>FEE_2_In!$H126</f>
        <v>68221.055563057016</v>
      </c>
      <c r="K129" s="55">
        <f>IF(F129="Prod",FEE_ByContextArea_ByMode!AC129*AreaModeSharesandPMT!$X$11+FEE_ByContextArea_ByMode!AD129+FEE_ByContextArea_ByMode!AE129*AreaModeSharesandPMT!$Z$11,FEE_ByContextArea_ByMode!AC129*AreaModeSharesandPMT!$X$19+FEE_ByContextArea_ByMode!AD129+FEE_ByContextArea_ByMode!AE129*AreaModeSharesandPMT!$Z$19)</f>
        <v>55721.033763409818</v>
      </c>
      <c r="L129" s="91">
        <f>FEE_2_Out!$H126</f>
        <v>61129.839665443469</v>
      </c>
      <c r="M129" s="91">
        <f>FEE_3_In!$H126</f>
        <v>67860.992490886521</v>
      </c>
      <c r="N129" s="55">
        <f>IF(I129="Prod",FEE_ByContextArea_ByMode!AG129*AreaModeSharesandPMT!$X$12+FEE_ByContextArea_ByMode!AH129+FEE_ByContextArea_ByMode!AI129*AreaModeSharesandPMT!$Z$12,FEE_ByContextArea_ByMode!AG129*AreaModeSharesandPMT!$X$20+FEE_ByContextArea_ByMode!AH129+FEE_ByContextArea_ByMode!AI129*AreaModeSharesandPMT!$Z$20)</f>
        <v>59816.248462291172</v>
      </c>
      <c r="O129" s="91">
        <f>FEE_3_Out!$H126</f>
        <v>65809.84802822549</v>
      </c>
      <c r="P129" s="91">
        <f>FEE_4_In!$H126</f>
        <v>63701.217624263518</v>
      </c>
      <c r="Q129" s="55">
        <f>IF(L129="Prod",FEE_ByContextArea_ByMode!AK129*AreaModeSharesandPMT!$X$13+FEE_ByContextArea_ByMode!AL129+FEE_ByContextArea_ByMode!AM129*AreaModeSharesandPMT!$Z$13,FEE_ByContextArea_ByMode!AK129*AreaModeSharesandPMT!$X$21+FEE_ByContextArea_ByMode!AL129+FEE_ByContextArea_ByMode!AM129*AreaModeSharesandPMT!$Z$21)</f>
        <v>64165.27013196332</v>
      </c>
      <c r="R129" s="91">
        <f>FEE_4_Out!$H126</f>
        <v>70611.558536838071</v>
      </c>
      <c r="S129" s="122">
        <f t="shared" si="43"/>
        <v>0</v>
      </c>
      <c r="T129" s="120">
        <f t="shared" si="44"/>
        <v>0</v>
      </c>
      <c r="U129" s="120">
        <f t="shared" si="45"/>
        <v>0</v>
      </c>
      <c r="V129" s="120">
        <f t="shared" si="46"/>
        <v>0</v>
      </c>
      <c r="W129" s="120">
        <f t="shared" si="47"/>
        <v>0</v>
      </c>
      <c r="X129" s="120">
        <f t="shared" si="48"/>
        <v>0</v>
      </c>
      <c r="Y129" s="120">
        <f t="shared" si="49"/>
        <v>0</v>
      </c>
      <c r="Z129" s="120">
        <f t="shared" si="50"/>
        <v>0</v>
      </c>
    </row>
    <row r="130" spans="1:26" x14ac:dyDescent="0.25">
      <c r="B130" s="92" t="str">
        <f>ITE_LUC_Rates!A118</f>
        <v>Services</v>
      </c>
      <c r="C130" s="93"/>
      <c r="D130" s="94"/>
      <c r="E130" s="113"/>
      <c r="F130" s="95"/>
      <c r="G130" s="96"/>
      <c r="H130" s="99"/>
      <c r="I130" s="99"/>
      <c r="J130" s="99"/>
      <c r="K130" s="99"/>
      <c r="L130" s="99"/>
      <c r="M130" s="99"/>
      <c r="N130" s="99"/>
      <c r="O130" s="99"/>
      <c r="P130" s="99"/>
      <c r="Q130" s="99"/>
      <c r="R130" s="99"/>
      <c r="S130" s="96"/>
      <c r="T130" s="98"/>
      <c r="U130" s="98"/>
      <c r="V130" s="98"/>
      <c r="W130" s="98"/>
      <c r="X130" s="98"/>
      <c r="Y130" s="98"/>
      <c r="Z130" s="98"/>
    </row>
    <row r="131" spans="1:26" x14ac:dyDescent="0.25">
      <c r="B131" s="51">
        <f>ITE_LUC_Rates!A119</f>
        <v>911</v>
      </c>
      <c r="C131" s="11" t="str">
        <f>ITE_LUC_Rates!B119</f>
        <v>Bank (Walk-in)</v>
      </c>
      <c r="D131" s="52" t="str">
        <f>ITE_LUC_Rates!C119</f>
        <v>1000 GSF</v>
      </c>
      <c r="E131" s="112">
        <f>ITE_LUC_Rates!G119</f>
        <v>156.47999999999999</v>
      </c>
      <c r="F131" s="53" t="s">
        <v>73</v>
      </c>
      <c r="G131" s="91">
        <f>ITE_LUC_Rates!Q119</f>
        <v>16014.3</v>
      </c>
      <c r="H131" s="55">
        <f>+FEE_1_In!H128</f>
        <v>24788.925942961552</v>
      </c>
      <c r="I131" s="91">
        <f>FEE_1_Out!$H128</f>
        <v>24109.746212583803</v>
      </c>
      <c r="J131" s="91">
        <f>FEE_2_In!$H128</f>
        <v>29484.089176142177</v>
      </c>
      <c r="K131" s="55">
        <f>IF(F131="Prod",FEE_ByContextArea_ByMode!AC131*AreaModeSharesandPMT!$X$11+FEE_ByContextArea_ByMode!AD131+FEE_ByContextArea_ByMode!AE131*AreaModeSharesandPMT!$Z$11,FEE_ByContextArea_ByMode!AC131*AreaModeSharesandPMT!$X$19+FEE_ByContextArea_ByMode!AD131+FEE_ByContextArea_ByMode!AE131*AreaModeSharesandPMT!$Z$19)</f>
        <v>24081.772334183232</v>
      </c>
      <c r="L131" s="91">
        <f>FEE_2_Out!$H128</f>
        <v>26419.374915025768</v>
      </c>
      <c r="M131" s="91">
        <f>FEE_3_In!$H128</f>
        <v>29328.475463611761</v>
      </c>
      <c r="N131" s="55">
        <f>IF(I131="Prod",FEE_ByContextArea_ByMode!AG131*AreaModeSharesandPMT!$X$12+FEE_ByContextArea_ByMode!AH131+FEE_ByContextArea_ByMode!AI131*AreaModeSharesandPMT!$Z$12,FEE_ByContextArea_ByMode!AG131*AreaModeSharesandPMT!$X$20+FEE_ByContextArea_ByMode!AH131+FEE_ByContextArea_ByMode!AI131*AreaModeSharesandPMT!$Z$20)</f>
        <v>25851.661034683668</v>
      </c>
      <c r="O131" s="91">
        <f>FEE_3_Out!$H128</f>
        <v>28442.002427521769</v>
      </c>
      <c r="P131" s="91">
        <f>FEE_4_In!$H128</f>
        <v>27530.684853250652</v>
      </c>
      <c r="Q131" s="55">
        <f>IF(L131="Prod",FEE_ByContextArea_ByMode!AK131*AreaModeSharesandPMT!$X$13+FEE_ByContextArea_ByMode!AL131+FEE_ByContextArea_ByMode!AM131*AreaModeSharesandPMT!$Z$13,FEE_ByContextArea_ByMode!AK131*AreaModeSharesandPMT!$X$21+FEE_ByContextArea_ByMode!AL131+FEE_ByContextArea_ByMode!AM131*AreaModeSharesandPMT!$Z$21)</f>
        <v>27731.241197718042</v>
      </c>
      <c r="R131" s="91">
        <f>FEE_4_Out!$H128</f>
        <v>30517.227732458512</v>
      </c>
      <c r="S131" s="122">
        <f t="shared" ref="S131:S140" si="51">IFERROR(H131/$G131-1,0)</f>
        <v>0.5479244139900934</v>
      </c>
      <c r="T131" s="120">
        <f t="shared" ref="T131:T140" si="52">IFERROR(I131/$G131-1,0)</f>
        <v>0.50551358551942971</v>
      </c>
      <c r="U131" s="120">
        <f t="shared" ref="U131:U140" si="53">IFERROR(L131/$G131-1,0)</f>
        <v>0.64973648020992303</v>
      </c>
      <c r="V131" s="120">
        <f>IFERROR(J131/$G131-1,0)</f>
        <v>0.8411100813736585</v>
      </c>
      <c r="W131" s="120">
        <f t="shared" ref="W131:W140" si="54">IFERROR(O131/$G131-1,0)</f>
        <v>0.77603781792034443</v>
      </c>
      <c r="X131" s="120">
        <f t="shared" ref="X131:X140" si="55">IFERROR(M131/$G131-1,0)</f>
        <v>0.83139290906325991</v>
      </c>
      <c r="Y131" s="120">
        <f t="shared" ref="Y131:Y140" si="56">IFERROR(R131/$G131-1,0)</f>
        <v>0.90562358220206396</v>
      </c>
      <c r="Z131" s="120">
        <f t="shared" ref="Z131:Z140" si="57">IFERROR(P131/$G131-1,0)</f>
        <v>0.71913132970224436</v>
      </c>
    </row>
    <row r="132" spans="1:26" x14ac:dyDescent="0.25">
      <c r="B132" s="51">
        <f>ITE_LUC_Rates!A120</f>
        <v>912</v>
      </c>
      <c r="C132" s="11" t="str">
        <f>ITE_LUC_Rates!B120</f>
        <v>Bank (Drive-in)</v>
      </c>
      <c r="D132" s="52" t="str">
        <f>ITE_LUC_Rates!C120</f>
        <v>1000 GSF</v>
      </c>
      <c r="E132" s="112">
        <f>ITE_LUC_Rates!G120</f>
        <v>100.03</v>
      </c>
      <c r="F132" s="53" t="s">
        <v>73</v>
      </c>
      <c r="G132" s="91">
        <f>ITE_LUC_Rates!Q120</f>
        <v>25226.6</v>
      </c>
      <c r="H132" s="55">
        <f>+FEE_1_In!H129</f>
        <v>15846.346255588216</v>
      </c>
      <c r="I132" s="91">
        <f>FEE_1_Out!$H129</f>
        <v>15412.179918486443</v>
      </c>
      <c r="J132" s="91">
        <f>FEE_2_In!$H129</f>
        <v>18847.734153179335</v>
      </c>
      <c r="K132" s="55">
        <f>IF(F132="Prod",FEE_ByContextArea_ByMode!AC132*AreaModeSharesandPMT!$X$11+FEE_ByContextArea_ByMode!AD132+FEE_ByContextArea_ByMode!AE132*AreaModeSharesandPMT!$Z$11,FEE_ByContextArea_ByMode!AC132*AreaModeSharesandPMT!$X$19+FEE_ByContextArea_ByMode!AD132+FEE_ByContextArea_ByMode!AE132*AreaModeSharesandPMT!$Z$19)</f>
        <v>15394.297588115729</v>
      </c>
      <c r="L132" s="91">
        <f>FEE_2_Out!$H129</f>
        <v>16888.612428106007</v>
      </c>
      <c r="M132" s="91">
        <f>FEE_3_In!$H129</f>
        <v>18748.25792833004</v>
      </c>
      <c r="N132" s="55">
        <f>IF(I132="Prod",FEE_ByContextArea_ByMode!AG132*AreaModeSharesandPMT!$X$12+FEE_ByContextArea_ByMode!AH132+FEE_ByContextArea_ByMode!AI132*AreaModeSharesandPMT!$Z$12,FEE_ByContextArea_ByMode!AG132*AreaModeSharesandPMT!$X$20+FEE_ByContextArea_ByMode!AH132+FEE_ByContextArea_ByMode!AI132*AreaModeSharesandPMT!$Z$20)</f>
        <v>16525.700749612774</v>
      </c>
      <c r="O132" s="91">
        <f>FEE_3_Out!$H129</f>
        <v>18181.579133595362</v>
      </c>
      <c r="P132" s="91">
        <f>FEE_4_In!$H129</f>
        <v>17599.018442424993</v>
      </c>
      <c r="Q132" s="55">
        <f>IF(L132="Prod",FEE_ByContextArea_ByMode!AK132*AreaModeSharesandPMT!$X$13+FEE_ByContextArea_ByMode!AL132+FEE_ByContextArea_ByMode!AM132*AreaModeSharesandPMT!$Z$13,FEE_ByContextArea_ByMode!AK132*AreaModeSharesandPMT!$X$21+FEE_ByContextArea_ByMode!AL132+FEE_ByContextArea_ByMode!AM132*AreaModeSharesandPMT!$Z$21)</f>
        <v>17727.224290693612</v>
      </c>
      <c r="R132" s="91">
        <f>FEE_4_Out!$H129</f>
        <v>19508.169031683447</v>
      </c>
      <c r="S132" s="122">
        <f t="shared" si="51"/>
        <v>-0.37183979388470034</v>
      </c>
      <c r="T132" s="120">
        <f t="shared" si="52"/>
        <v>-0.3890504499819063</v>
      </c>
      <c r="U132" s="120">
        <f t="shared" si="53"/>
        <v>-0.3305236366333153</v>
      </c>
      <c r="V132" s="120">
        <f>IFERROR(J132/$G132-1,0)</f>
        <v>-0.25286268648254873</v>
      </c>
      <c r="W132" s="120">
        <f t="shared" si="54"/>
        <v>-0.27926953558563727</v>
      </c>
      <c r="X132" s="120">
        <f t="shared" si="55"/>
        <v>-0.25680599334313614</v>
      </c>
      <c r="Y132" s="120">
        <f t="shared" si="56"/>
        <v>-0.2266825877572306</v>
      </c>
      <c r="Z132" s="120">
        <f t="shared" si="57"/>
        <v>-0.30236264726816164</v>
      </c>
    </row>
    <row r="133" spans="1:26" x14ac:dyDescent="0.25">
      <c r="B133" s="51">
        <f>ITE_LUC_Rates!A121</f>
        <v>931</v>
      </c>
      <c r="C133" s="11" t="str">
        <f>ITE_LUC_Rates!B121</f>
        <v>Fine Dining Restaurant</v>
      </c>
      <c r="D133" s="52" t="str">
        <f>ITE_LUC_Rates!C121</f>
        <v>1000 GSF</v>
      </c>
      <c r="E133" s="112">
        <f>ITE_LUC_Rates!G121</f>
        <v>83.84</v>
      </c>
      <c r="F133" s="53" t="s">
        <v>73</v>
      </c>
      <c r="G133" s="91">
        <f>ITE_LUC_Rates!Q121</f>
        <v>68047</v>
      </c>
      <c r="H133" s="55">
        <f>+FEE_1_In!H130</f>
        <v>28144.793825073641</v>
      </c>
      <c r="I133" s="91">
        <f>FEE_1_Out!$H130</f>
        <v>27373.668302102844</v>
      </c>
      <c r="J133" s="91">
        <f>FEE_2_In!$H130</f>
        <v>33475.577477297811</v>
      </c>
      <c r="K133" s="55">
        <f>IF(F133="Prod",FEE_ByContextArea_ByMode!AC133*AreaModeSharesandPMT!$X$11+FEE_ByContextArea_ByMode!AD133+FEE_ByContextArea_ByMode!AE133*AreaModeSharesandPMT!$Z$11,FEE_ByContextArea_ByMode!AC133*AreaModeSharesandPMT!$X$19+FEE_ByContextArea_ByMode!AD133+FEE_ByContextArea_ByMode!AE133*AreaModeSharesandPMT!$Z$19)</f>
        <v>27341.907384268674</v>
      </c>
      <c r="L133" s="91">
        <f>FEE_2_Out!$H130</f>
        <v>29995.969235683973</v>
      </c>
      <c r="M133" s="91">
        <f>FEE_3_In!$H130</f>
        <v>33298.897137633219</v>
      </c>
      <c r="N133" s="55">
        <f>IF(I133="Prod",FEE_ByContextArea_ByMode!AG133*AreaModeSharesandPMT!$X$12+FEE_ByContextArea_ByMode!AH133+FEE_ByContextArea_ByMode!AI133*AreaModeSharesandPMT!$Z$12,FEE_ByContextArea_ByMode!AG133*AreaModeSharesandPMT!$X$20+FEE_ByContextArea_ByMode!AH133+FEE_ByContextArea_ByMode!AI133*AreaModeSharesandPMT!$Z$20)</f>
        <v>29351.399553615993</v>
      </c>
      <c r="O133" s="91">
        <f>FEE_3_Out!$H130</f>
        <v>32292.415417140433</v>
      </c>
      <c r="P133" s="91">
        <f>FEE_4_In!$H130</f>
        <v>31257.725761927311</v>
      </c>
      <c r="Q133" s="55">
        <f>IF(L133="Prod",FEE_ByContextArea_ByMode!AK133*AreaModeSharesandPMT!$X$13+FEE_ByContextArea_ByMode!AL133+FEE_ByContextArea_ByMode!AM133*AreaModeSharesandPMT!$Z$13,FEE_ByContextArea_ByMode!AK133*AreaModeSharesandPMT!$X$21+FEE_ByContextArea_ByMode!AL133+FEE_ByContextArea_ByMode!AM133*AreaModeSharesandPMT!$Z$21)</f>
        <v>31485.432963858249</v>
      </c>
      <c r="R133" s="91">
        <f>FEE_4_Out!$H130</f>
        <v>34648.579959420829</v>
      </c>
      <c r="S133" s="122">
        <f t="shared" si="51"/>
        <v>-0.58639184938243205</v>
      </c>
      <c r="T133" s="120">
        <f t="shared" si="52"/>
        <v>-0.59772409801897441</v>
      </c>
      <c r="U133" s="120">
        <f t="shared" si="53"/>
        <v>-0.55918748459617662</v>
      </c>
      <c r="V133" s="120">
        <f>IFERROR(J133/$G133-1,0)</f>
        <v>-0.50805211872238587</v>
      </c>
      <c r="W133" s="120">
        <f t="shared" si="54"/>
        <v>-0.52543954300497542</v>
      </c>
      <c r="X133" s="120">
        <f t="shared" si="55"/>
        <v>-0.51064856440940498</v>
      </c>
      <c r="Y133" s="120">
        <f t="shared" si="56"/>
        <v>-0.49081399680484328</v>
      </c>
      <c r="Z133" s="120">
        <f t="shared" si="57"/>
        <v>-0.54064505765239745</v>
      </c>
    </row>
    <row r="134" spans="1:26" x14ac:dyDescent="0.25">
      <c r="B134" s="51">
        <f>ITE_LUC_Rates!A122</f>
        <v>931</v>
      </c>
      <c r="C134" s="11" t="str">
        <f>ITE_LUC_Rates!B122</f>
        <v>Quality Restaurant / Seats</v>
      </c>
      <c r="D134" s="52" t="str">
        <f>ITE_LUC_Rates!C122</f>
        <v>Seat</v>
      </c>
      <c r="E134" s="112">
        <f>ITE_LUC_Rates!G122</f>
        <v>2.6</v>
      </c>
      <c r="F134" s="53" t="s">
        <v>73</v>
      </c>
      <c r="G134" s="91">
        <f>ITE_LUC_Rates!Q122</f>
        <v>2163.0520000000001</v>
      </c>
      <c r="H134" s="55">
        <f>+FEE_1_In!H131</f>
        <v>872.81087720886785</v>
      </c>
      <c r="I134" s="91">
        <f>FEE_1_Out!$H131</f>
        <v>848.8971563152121</v>
      </c>
      <c r="J134" s="91">
        <f>FEE_2_In!$H131</f>
        <v>1038.126209935285</v>
      </c>
      <c r="K134" s="55">
        <f>IF(F134="Prod",FEE_ByContextArea_ByMode!AC134*AreaModeSharesandPMT!$X$11+FEE_ByContextArea_ByMode!AD134+FEE_ByContextArea_ByMode!AE134*AreaModeSharesandPMT!$Z$11,FEE_ByContextArea_ByMode!AC134*AreaModeSharesandPMT!$X$19+FEE_ByContextArea_ByMode!AD134+FEE_ByContextArea_ByMode!AE134*AreaModeSharesandPMT!$Z$19)</f>
        <v>847.91220418772116</v>
      </c>
      <c r="L134" s="91">
        <f>FEE_2_Out!$H131</f>
        <v>930.21851160279482</v>
      </c>
      <c r="M134" s="91">
        <f>FEE_3_In!$H131</f>
        <v>1032.6470963483584</v>
      </c>
      <c r="N134" s="55">
        <f>IF(I134="Prod",FEE_ByContextArea_ByMode!AG134*AreaModeSharesandPMT!$X$12+FEE_ByContextArea_ByMode!AH134+FEE_ByContextArea_ByMode!AI134*AreaModeSharesandPMT!$Z$12,FEE_ByContextArea_ByMode!AG134*AreaModeSharesandPMT!$X$20+FEE_ByContextArea_ByMode!AH134+FEE_ByContextArea_ByMode!AI134*AreaModeSharesandPMT!$Z$20)</f>
        <v>910.22947088980925</v>
      </c>
      <c r="O134" s="91">
        <f>FEE_3_Out!$H131</f>
        <v>1001.4346384132293</v>
      </c>
      <c r="P134" s="91">
        <f>FEE_4_In!$H131</f>
        <v>969.34741151015032</v>
      </c>
      <c r="Q134" s="55">
        <f>IF(L134="Prod",FEE_ByContextArea_ByMode!AK134*AreaModeSharesandPMT!$X$13+FEE_ByContextArea_ByMode!AL134+FEE_ByContextArea_ByMode!AM134*AreaModeSharesandPMT!$Z$13,FEE_ByContextArea_ByMode!AK134*AreaModeSharesandPMT!$X$21+FEE_ByContextArea_ByMode!AL134+FEE_ByContextArea_ByMode!AM134*AreaModeSharesandPMT!$Z$21)</f>
        <v>976.40894210438285</v>
      </c>
      <c r="R134" s="91">
        <f>FEE_4_Out!$H131</f>
        <v>1074.5027182072297</v>
      </c>
      <c r="S134" s="122">
        <f t="shared" si="51"/>
        <v>-0.59649103340610043</v>
      </c>
      <c r="T134" s="120">
        <f t="shared" si="52"/>
        <v>-0.60754657940945844</v>
      </c>
      <c r="U134" s="120">
        <f t="shared" si="53"/>
        <v>-0.56995092508049061</v>
      </c>
      <c r="V134" s="120">
        <f>IFERROR(J134/$G134-1,0)</f>
        <v>-0.52006414550584779</v>
      </c>
      <c r="W134" s="120">
        <f t="shared" si="54"/>
        <v>-0.53702701626533744</v>
      </c>
      <c r="X134" s="120">
        <f t="shared" si="55"/>
        <v>-0.5225971930640787</v>
      </c>
      <c r="Y134" s="120">
        <f t="shared" si="56"/>
        <v>-0.50324693155447497</v>
      </c>
      <c r="Z134" s="120">
        <f t="shared" si="57"/>
        <v>-0.55186125367760441</v>
      </c>
    </row>
    <row r="135" spans="1:26" x14ac:dyDescent="0.25">
      <c r="B135" s="51">
        <f>ITE_LUC_Rates!A123</f>
        <v>932</v>
      </c>
      <c r="C135" s="11" t="str">
        <f>ITE_LUC_Rates!B123</f>
        <v>High-Turnover (Sit-Down) Restaurant</v>
      </c>
      <c r="D135" s="52" t="str">
        <f>ITE_LUC_Rates!C123</f>
        <v>1000 GSF</v>
      </c>
      <c r="E135" s="112">
        <f>ITE_LUC_Rates!G123</f>
        <v>112.18</v>
      </c>
      <c r="F135" s="53" t="s">
        <v>73</v>
      </c>
      <c r="G135" s="91">
        <f>ITE_LUC_Rates!Q123</f>
        <v>51864.5</v>
      </c>
      <c r="H135" s="55">
        <f>+FEE_1_In!H132</f>
        <v>35093.747378446293</v>
      </c>
      <c r="I135" s="91">
        <f>FEE_1_Out!$H132</f>
        <v>34132.230855411726</v>
      </c>
      <c r="J135" s="91">
        <f>FEE_2_In!$H132</f>
        <v>41740.702264065061</v>
      </c>
      <c r="K135" s="55">
        <f>IF(F135="Prod",FEE_ByContextArea_ByMode!AC135*AreaModeSharesandPMT!$X$11+FEE_ByContextArea_ByMode!AD135+FEE_ByContextArea_ByMode!AE135*AreaModeSharesandPMT!$Z$11,FEE_ByContextArea_ByMode!AC135*AreaModeSharesandPMT!$X$19+FEE_ByContextArea_ByMode!AD135+FEE_ByContextArea_ByMode!AE135*AreaModeSharesandPMT!$Z$19)</f>
        <v>34092.628162497793</v>
      </c>
      <c r="L135" s="91">
        <f>FEE_2_Out!$H132</f>
        <v>37401.97825826444</v>
      </c>
      <c r="M135" s="91">
        <f>FEE_3_In!$H132</f>
        <v>41520.399523690976</v>
      </c>
      <c r="N135" s="55">
        <f>IF(I135="Prod",FEE_ByContextArea_ByMode!AG135*AreaModeSharesandPMT!$X$12+FEE_ByContextArea_ByMode!AH135+FEE_ByContextArea_ByMode!AI135*AreaModeSharesandPMT!$Z$12,FEE_ByContextArea_ByMode!AG135*AreaModeSharesandPMT!$X$20+FEE_ByContextArea_ByMode!AH135+FEE_ByContextArea_ByMode!AI135*AreaModeSharesandPMT!$Z$20)</f>
        <v>36598.264231048983</v>
      </c>
      <c r="O135" s="91">
        <f>FEE_3_Out!$H132</f>
        <v>40265.417324868446</v>
      </c>
      <c r="P135" s="91">
        <f>FEE_4_In!$H132</f>
        <v>38975.262648276279</v>
      </c>
      <c r="Q135" s="55">
        <f>IF(L135="Prod",FEE_ByContextArea_ByMode!AK135*AreaModeSharesandPMT!$X$13+FEE_ByContextArea_ByMode!AL135+FEE_ByContextArea_ByMode!AM135*AreaModeSharesandPMT!$Z$13,FEE_ByContextArea_ByMode!AK135*AreaModeSharesandPMT!$X$21+FEE_ByContextArea_ByMode!AL135+FEE_ByContextArea_ByMode!AM135*AreaModeSharesandPMT!$Z$21)</f>
        <v>39259.190790386099</v>
      </c>
      <c r="R135" s="91">
        <f>FEE_4_Out!$H132</f>
        <v>43203.319223981889</v>
      </c>
      <c r="S135" s="122">
        <f t="shared" si="51"/>
        <v>-0.32335706738816927</v>
      </c>
      <c r="T135" s="120">
        <f t="shared" si="52"/>
        <v>-0.34189607813799949</v>
      </c>
      <c r="U135" s="120">
        <f t="shared" si="53"/>
        <v>-0.27885204218175363</v>
      </c>
      <c r="V135" s="120">
        <f t="shared" ref="V135:V140" si="58">IFERROR(J135/$G135-1,0)</f>
        <v>-0.19519705648246755</v>
      </c>
      <c r="W135" s="120">
        <f t="shared" si="54"/>
        <v>-0.22364204176520652</v>
      </c>
      <c r="X135" s="120">
        <f t="shared" si="55"/>
        <v>-0.19944471606414838</v>
      </c>
      <c r="Y135" s="120">
        <f t="shared" si="56"/>
        <v>-0.16699632264878883</v>
      </c>
      <c r="Z135" s="120">
        <f t="shared" si="57"/>
        <v>-0.24851752840042263</v>
      </c>
    </row>
    <row r="136" spans="1:26" x14ac:dyDescent="0.25">
      <c r="B136" s="51">
        <f>ITE_LUC_Rates!A124</f>
        <v>932</v>
      </c>
      <c r="C136" s="11" t="str">
        <f>ITE_LUC_Rates!B124</f>
        <v>High-Turnover (Sit-Down) Restaurant</v>
      </c>
      <c r="D136" s="52" t="str">
        <f>ITE_LUC_Rates!C124</f>
        <v>Seat</v>
      </c>
      <c r="E136" s="112">
        <f>ITE_LUC_Rates!G124</f>
        <v>4.37</v>
      </c>
      <c r="F136" s="53" t="s">
        <v>73</v>
      </c>
      <c r="G136" s="91">
        <f>ITE_LUC_Rates!Q124</f>
        <v>1581.08</v>
      </c>
      <c r="H136" s="55">
        <f>+FEE_1_In!H133</f>
        <v>1367.0857197701043</v>
      </c>
      <c r="I136" s="91">
        <f>FEE_1_Out!$H133</f>
        <v>1329.6296027647461</v>
      </c>
      <c r="J136" s="91">
        <f>FEE_2_In!$H133</f>
        <v>1626.0195123369967</v>
      </c>
      <c r="K136" s="55">
        <f>IF(F136="Prod",FEE_ByContextArea_ByMode!AC136*AreaModeSharesandPMT!$X$11+FEE_ByContextArea_ByMode!AD136+FEE_ByContextArea_ByMode!AE136*AreaModeSharesandPMT!$Z$11,FEE_ByContextArea_ByMode!AC136*AreaModeSharesandPMT!$X$19+FEE_ByContextArea_ByMode!AD136+FEE_ByContextArea_ByMode!AE136*AreaModeSharesandPMT!$Z$19)</f>
        <v>1328.0868699421947</v>
      </c>
      <c r="L136" s="91">
        <f>FEE_2_Out!$H133</f>
        <v>1457.003431882828</v>
      </c>
      <c r="M136" s="91">
        <f>FEE_3_In!$H133</f>
        <v>1617.4375639020286</v>
      </c>
      <c r="N136" s="55">
        <f>IF(I136="Prod",FEE_ByContextArea_ByMode!AG136*AreaModeSharesandPMT!$X$12+FEE_ByContextArea_ByMode!AH136+FEE_ByContextArea_ByMode!AI136*AreaModeSharesandPMT!$Z$12,FEE_ByContextArea_ByMode!AG136*AreaModeSharesandPMT!$X$20+FEE_ByContextArea_ByMode!AH136+FEE_ByContextArea_ByMode!AI136*AreaModeSharesandPMT!$Z$20)</f>
        <v>1425.6945506300951</v>
      </c>
      <c r="O136" s="91">
        <f>FEE_3_Out!$H133</f>
        <v>1568.5494179860505</v>
      </c>
      <c r="P136" s="91">
        <f>FEE_4_In!$H133</f>
        <v>1518.2911193881919</v>
      </c>
      <c r="Q136" s="55">
        <f>IF(L136="Prod",FEE_ByContextArea_ByMode!AK136*AreaModeSharesandPMT!$X$13+FEE_ByContextArea_ByMode!AL136+FEE_ByContextArea_ByMode!AM136*AreaModeSharesandPMT!$Z$13,FEE_ByContextArea_ByMode!AK136*AreaModeSharesandPMT!$X$21+FEE_ByContextArea_ByMode!AL136+FEE_ByContextArea_ByMode!AM136*AreaModeSharesandPMT!$Z$21)</f>
        <v>1529.3516112853206</v>
      </c>
      <c r="R136" s="91">
        <f>FEE_4_Out!$H133</f>
        <v>1682.9961223818941</v>
      </c>
      <c r="S136" s="122">
        <f t="shared" si="51"/>
        <v>-0.1353469022629441</v>
      </c>
      <c r="T136" s="120">
        <f t="shared" si="52"/>
        <v>-0.15903711212288674</v>
      </c>
      <c r="U136" s="120">
        <f t="shared" si="53"/>
        <v>-7.8475831784079242E-2</v>
      </c>
      <c r="V136" s="120">
        <f t="shared" si="58"/>
        <v>2.8423300741895918E-2</v>
      </c>
      <c r="W136" s="120">
        <f t="shared" si="54"/>
        <v>-7.9253307953737195E-3</v>
      </c>
      <c r="X136" s="120">
        <f t="shared" si="55"/>
        <v>2.299539802035877E-2</v>
      </c>
      <c r="Y136" s="120">
        <f t="shared" si="56"/>
        <v>6.4459813786711839E-2</v>
      </c>
      <c r="Z136" s="120">
        <f t="shared" si="57"/>
        <v>-3.9712652498170908E-2</v>
      </c>
    </row>
    <row r="137" spans="1:26" x14ac:dyDescent="0.25">
      <c r="B137" s="51">
        <f>ITE_LUC_Rates!A125</f>
        <v>933</v>
      </c>
      <c r="C137" s="11" t="str">
        <f>ITE_LUC_Rates!B125</f>
        <v>Fast-Food Restaurant without Drive-Through Window</v>
      </c>
      <c r="D137" s="52" t="str">
        <f>ITE_LUC_Rates!C125</f>
        <v>1000 GSF</v>
      </c>
      <c r="E137" s="112">
        <f>ITE_LUC_Rates!G125</f>
        <v>346.23</v>
      </c>
      <c r="F137" s="53" t="s">
        <v>73</v>
      </c>
      <c r="G137" s="91">
        <f>ITE_LUC_Rates!Q125</f>
        <v>73276.3</v>
      </c>
      <c r="H137" s="55">
        <f>+FEE_1_In!H134</f>
        <v>57282.097273737534</v>
      </c>
      <c r="I137" s="91">
        <f>FEE_1_Out!$H134</f>
        <v>55712.652939143634</v>
      </c>
      <c r="J137" s="91">
        <f>FEE_2_In!$H134</f>
        <v>68131.651532682445</v>
      </c>
      <c r="K137" s="55">
        <f>IF(F137="Prod",FEE_ByContextArea_ByMode!AC137*AreaModeSharesandPMT!$X$11+FEE_ByContextArea_ByMode!AD137+FEE_ByContextArea_ByMode!AE137*AreaModeSharesandPMT!$Z$11,FEE_ByContextArea_ByMode!AC137*AreaModeSharesandPMT!$X$19+FEE_ByContextArea_ByMode!AD137+FEE_ByContextArea_ByMode!AE137*AreaModeSharesandPMT!$Z$19)</f>
        <v>55648.011073362424</v>
      </c>
      <c r="L137" s="91">
        <f>FEE_2_Out!$H134</f>
        <v>61049.72870853822</v>
      </c>
      <c r="M137" s="91">
        <f>FEE_3_In!$H134</f>
        <v>67772.060324946986</v>
      </c>
      <c r="N137" s="55">
        <f>IF(I137="Prod",FEE_ByContextArea_ByMode!AG137*AreaModeSharesandPMT!$X$12+FEE_ByContextArea_ByMode!AH137+FEE_ByContextArea_ByMode!AI137*AreaModeSharesandPMT!$Z$12,FEE_ByContextArea_ByMode!AG137*AreaModeSharesandPMT!$X$20+FEE_ByContextArea_ByMode!AH137+FEE_ByContextArea_ByMode!AI137*AreaModeSharesandPMT!$Z$20)</f>
        <v>59737.858973147726</v>
      </c>
      <c r="O137" s="91">
        <f>FEE_3_Out!$H134</f>
        <v>65723.603897238369</v>
      </c>
      <c r="P137" s="91">
        <f>FEE_4_In!$H134</f>
        <v>63617.736863838843</v>
      </c>
      <c r="Q137" s="55">
        <f>IF(L137="Prod",FEE_ByContextArea_ByMode!AK137*AreaModeSharesandPMT!$X$13+FEE_ByContextArea_ByMode!AL137+FEE_ByContextArea_ByMode!AM137*AreaModeSharesandPMT!$Z$13,FEE_ByContextArea_ByMode!AK137*AreaModeSharesandPMT!$X$21+FEE_ByContextArea_ByMode!AL137+FEE_ByContextArea_ByMode!AM137*AreaModeSharesandPMT!$Z$21)</f>
        <v>64081.18122843458</v>
      </c>
      <c r="R137" s="91">
        <f>FEE_4_Out!$H134</f>
        <v>70519.021740505617</v>
      </c>
      <c r="S137" s="122">
        <f t="shared" si="51"/>
        <v>-0.21827252094145677</v>
      </c>
      <c r="T137" s="120">
        <f t="shared" si="52"/>
        <v>-0.23969069209084481</v>
      </c>
      <c r="U137" s="120">
        <f t="shared" si="53"/>
        <v>-0.16685574041622986</v>
      </c>
      <c r="V137" s="120">
        <f t="shared" si="58"/>
        <v>-7.0208900658433326E-2</v>
      </c>
      <c r="W137" s="120">
        <f t="shared" si="54"/>
        <v>-0.1030714719870085</v>
      </c>
      <c r="X137" s="120">
        <f t="shared" si="55"/>
        <v>-7.5116233694291545E-2</v>
      </c>
      <c r="Y137" s="120">
        <f t="shared" si="56"/>
        <v>-3.7628513714453193E-2</v>
      </c>
      <c r="Z137" s="120">
        <f t="shared" si="57"/>
        <v>-0.13181019151023121</v>
      </c>
    </row>
    <row r="138" spans="1:26" x14ac:dyDescent="0.25">
      <c r="B138" s="51">
        <f>ITE_LUC_Rates!A126</f>
        <v>934</v>
      </c>
      <c r="C138" s="11" t="str">
        <f>ITE_LUC_Rates!B126</f>
        <v>Fast Food Rest. w/ Drive-Thru</v>
      </c>
      <c r="D138" s="52" t="str">
        <f>ITE_LUC_Rates!C126</f>
        <v>1000 GSF</v>
      </c>
      <c r="E138" s="112">
        <f>ITE_LUC_Rates!G126</f>
        <v>470.95</v>
      </c>
      <c r="F138" s="53" t="s">
        <v>73</v>
      </c>
      <c r="G138" s="91">
        <f>ITE_LUC_Rates!Q126</f>
        <v>50772.9</v>
      </c>
      <c r="H138" s="55">
        <f>+FEE_1_In!H135</f>
        <v>77916.42466298904</v>
      </c>
      <c r="I138" s="91">
        <f>FEE_1_Out!$H135</f>
        <v>75781.630423965849</v>
      </c>
      <c r="J138" s="91">
        <f>FEE_2_In!$H135</f>
        <v>92674.237614639991</v>
      </c>
      <c r="K138" s="55">
        <f>IF(F138="Prod",FEE_ByContextArea_ByMode!AC138*AreaModeSharesandPMT!$X$11+FEE_ByContextArea_ByMode!AD138+FEE_ByContextArea_ByMode!AE138*AreaModeSharesandPMT!$Z$11,FEE_ByContextArea_ByMode!AC138*AreaModeSharesandPMT!$X$19+FEE_ByContextArea_ByMode!AD138+FEE_ByContextArea_ByMode!AE138*AreaModeSharesandPMT!$Z$19)</f>
        <v>75693.703073101773</v>
      </c>
      <c r="L138" s="91">
        <f>FEE_2_Out!$H135</f>
        <v>83041.243495035291</v>
      </c>
      <c r="M138" s="91">
        <f>FEE_3_In!$H135</f>
        <v>92185.113392928921</v>
      </c>
      <c r="N138" s="55">
        <f>IF(I138="Prod",FEE_ByContextArea_ByMode!AG138*AreaModeSharesandPMT!$X$12+FEE_ByContextArea_ByMode!AH138+FEE_ByContextArea_ByMode!AI138*AreaModeSharesandPMT!$Z$12,FEE_ByContextArea_ByMode!AG138*AreaModeSharesandPMT!$X$20+FEE_ByContextArea_ByMode!AH138+FEE_ByContextArea_ByMode!AI138*AreaModeSharesandPMT!$Z$20)</f>
        <v>81256.808143153175</v>
      </c>
      <c r="O138" s="91">
        <f>FEE_3_Out!$H135</f>
        <v>89398.755900425764</v>
      </c>
      <c r="P138" s="91">
        <f>FEE_4_In!$H135</f>
        <v>86534.307183158322</v>
      </c>
      <c r="Q138" s="55">
        <f>IF(L138="Prod",FEE_ByContextArea_ByMode!AK138*AreaModeSharesandPMT!$X$13+FEE_ByContextArea_ByMode!AL138+FEE_ByContextArea_ByMode!AM138*AreaModeSharesandPMT!$Z$13,FEE_ByContextArea_ByMode!AK138*AreaModeSharesandPMT!$X$21+FEE_ByContextArea_ByMode!AL138+FEE_ByContextArea_ByMode!AM138*AreaModeSharesandPMT!$Z$21)</f>
        <v>87164.694854666712</v>
      </c>
      <c r="R138" s="91">
        <f>FEE_4_Out!$H135</f>
        <v>95921.593416778182</v>
      </c>
      <c r="S138" s="122">
        <f t="shared" si="51"/>
        <v>0.53460654528279927</v>
      </c>
      <c r="T138" s="120">
        <f t="shared" si="52"/>
        <v>0.49256060662215173</v>
      </c>
      <c r="U138" s="120">
        <f t="shared" si="53"/>
        <v>0.63554265159239054</v>
      </c>
      <c r="V138" s="120">
        <f t="shared" si="58"/>
        <v>0.82526973276373794</v>
      </c>
      <c r="W138" s="120">
        <f t="shared" si="54"/>
        <v>0.76075733118308708</v>
      </c>
      <c r="X138" s="120">
        <f t="shared" si="55"/>
        <v>0.81563616403492656</v>
      </c>
      <c r="Y138" s="120">
        <f t="shared" si="56"/>
        <v>0.88922817914238061</v>
      </c>
      <c r="Z138" s="120">
        <f t="shared" si="57"/>
        <v>0.70434044900248605</v>
      </c>
    </row>
    <row r="139" spans="1:26" x14ac:dyDescent="0.25">
      <c r="B139" s="51">
        <f>ITE_LUC_Rates!A127</f>
        <v>937</v>
      </c>
      <c r="C139" s="11" t="str">
        <f>ITE_LUC_Rates!B127</f>
        <v>Coffee/Donut Shop with Drive Through</v>
      </c>
      <c r="D139" s="52" t="str">
        <f>ITE_LUC_Rates!C127</f>
        <v>1000 GSF</v>
      </c>
      <c r="E139" s="112">
        <f>ITE_LUC_Rates!G127</f>
        <v>820.38</v>
      </c>
      <c r="F139" s="53" t="s">
        <v>73</v>
      </c>
      <c r="G139" s="91">
        <f>ITE_LUC_Rates!Q127</f>
        <v>58641.2</v>
      </c>
      <c r="H139" s="55">
        <f>+FEE_1_In!H136</f>
        <v>135727.94662920252</v>
      </c>
      <c r="I139" s="91">
        <f>FEE_1_Out!$H136</f>
        <v>132009.2026058246</v>
      </c>
      <c r="J139" s="91">
        <f>FEE_2_In!$H136</f>
        <v>161435.58988066323</v>
      </c>
      <c r="K139" s="55">
        <f>IF(F139="Prod",FEE_ByContextArea_ByMode!AC139*AreaModeSharesandPMT!$X$11+FEE_ByContextArea_ByMode!AD139+FEE_ByContextArea_ByMode!AE139*AreaModeSharesandPMT!$Z$11,FEE_ByContextArea_ByMode!AC139*AreaModeSharesandPMT!$X$19+FEE_ByContextArea_ByMode!AD139+FEE_ByContextArea_ByMode!AE139*AreaModeSharesandPMT!$Z$19)</f>
        <v>131856.03594248061</v>
      </c>
      <c r="L139" s="91">
        <f>FEE_2_Out!$H136</f>
        <v>144655.21889469598</v>
      </c>
      <c r="M139" s="91">
        <f>FEE_3_In!$H136</f>
        <v>160583.5509614418</v>
      </c>
      <c r="N139" s="55">
        <f>IF(I139="Prod",FEE_ByContextArea_ByMode!AG139*AreaModeSharesandPMT!$X$12+FEE_ByContextArea_ByMode!AH139+FEE_ByContextArea_ByMode!AI139*AreaModeSharesandPMT!$Z$12,FEE_ByContextArea_ByMode!AG139*AreaModeSharesandPMT!$X$20+FEE_ByContextArea_ByMode!AH139+FEE_ByContextArea_ByMode!AI139*AreaModeSharesandPMT!$Z$20)</f>
        <v>141546.78896800079</v>
      </c>
      <c r="O139" s="91">
        <f>FEE_3_Out!$H136</f>
        <v>155729.80436477601</v>
      </c>
      <c r="P139" s="91">
        <f>FEE_4_In!$H136</f>
        <v>150740.02532523501</v>
      </c>
      <c r="Q139" s="55">
        <f>IF(L139="Prod",FEE_ByContextArea_ByMode!AK139*AreaModeSharesandPMT!$X$13+FEE_ByContextArea_ByMode!AL139+FEE_ByContextArea_ByMode!AM139*AreaModeSharesandPMT!$Z$13,FEE_ByContextArea_ByMode!AK139*AreaModeSharesandPMT!$X$21+FEE_ByContextArea_ByMode!AL139+FEE_ByContextArea_ByMode!AM139*AreaModeSharesandPMT!$Z$21)</f>
        <v>151838.14070468521</v>
      </c>
      <c r="R139" s="91">
        <f>FEE_4_Out!$H136</f>
        <v>167092.38094756662</v>
      </c>
      <c r="S139" s="122">
        <f t="shared" si="51"/>
        <v>1.314549269612534</v>
      </c>
      <c r="T139" s="120">
        <f t="shared" si="52"/>
        <v>1.2511340594296265</v>
      </c>
      <c r="U139" s="120">
        <f t="shared" si="53"/>
        <v>1.4667847672744756</v>
      </c>
      <c r="V139" s="120">
        <f t="shared" si="58"/>
        <v>1.7529380347036425</v>
      </c>
      <c r="W139" s="120">
        <f t="shared" si="54"/>
        <v>1.6556380900250338</v>
      </c>
      <c r="X139" s="120">
        <f t="shared" si="55"/>
        <v>1.7384083368253345</v>
      </c>
      <c r="Y139" s="120">
        <f t="shared" si="56"/>
        <v>1.8494024840481886</v>
      </c>
      <c r="Z139" s="120">
        <f t="shared" si="57"/>
        <v>1.5705481014241696</v>
      </c>
    </row>
    <row r="140" spans="1:26" x14ac:dyDescent="0.25">
      <c r="A140" s="90"/>
      <c r="B140" s="51">
        <f>ITE_LUC_Rates!A128</f>
        <v>944</v>
      </c>
      <c r="C140" s="11" t="str">
        <f>ITE_LUC_Rates!B128</f>
        <v>Gasoline/Service Station</v>
      </c>
      <c r="D140" s="52" t="str">
        <f>ITE_LUC_Rates!C128</f>
        <v>Pump</v>
      </c>
      <c r="E140" s="112">
        <f>ITE_LUC_Rates!G128</f>
        <v>172.01</v>
      </c>
      <c r="F140" s="53" t="s">
        <v>73</v>
      </c>
      <c r="G140" s="91">
        <f>ITE_LUC_Rates!Q128</f>
        <v>12075.078</v>
      </c>
      <c r="H140" s="55">
        <f>+FEE_1_In!H137</f>
        <v>35385.117988577535</v>
      </c>
      <c r="I140" s="91">
        <f>FEE_1_Out!$H137</f>
        <v>34415.618343850467</v>
      </c>
      <c r="J140" s="91">
        <f>FEE_2_In!$H137</f>
        <v>42087.260121076841</v>
      </c>
      <c r="K140" s="55">
        <f>IF(F140="Prod",FEE_ByContextArea_ByMode!AC140*AreaModeSharesandPMT!$X$11+FEE_ByContextArea_ByMode!AD140+FEE_ByContextArea_ByMode!AE140*AreaModeSharesandPMT!$Z$11,FEE_ByContextArea_ByMode!AC140*AreaModeSharesandPMT!$X$19+FEE_ByContextArea_ByMode!AD140+FEE_ByContextArea_ByMode!AE140*AreaModeSharesandPMT!$Z$19)</f>
        <v>34375.686844192911</v>
      </c>
      <c r="L140" s="91">
        <f>FEE_2_Out!$H137</f>
        <v>37712.513269179777</v>
      </c>
      <c r="M140" s="91">
        <f>FEE_3_In!$H137</f>
        <v>41865.128287241059</v>
      </c>
      <c r="N140" s="55">
        <f>IF(I140="Prod",FEE_ByContextArea_ByMode!AG140*AreaModeSharesandPMT!$X$12+FEE_ByContextArea_ByMode!AH140+FEE_ByContextArea_ByMode!AI140*AreaModeSharesandPMT!$Z$12,FEE_ByContextArea_ByMode!AG140*AreaModeSharesandPMT!$X$20+FEE_ByContextArea_ByMode!AH140+FEE_ByContextArea_ByMode!AI140*AreaModeSharesandPMT!$Z$20)</f>
        <v>36902.12629695348</v>
      </c>
      <c r="O140" s="91">
        <f>FEE_3_Out!$H137</f>
        <v>40599.726428043388</v>
      </c>
      <c r="P140" s="91">
        <f>FEE_4_In!$H137</f>
        <v>39298.860066796144</v>
      </c>
      <c r="Q140" s="55">
        <f>IF(L140="Prod",FEE_ByContextArea_ByMode!AK140*AreaModeSharesandPMT!$X$13+FEE_ByContextArea_ByMode!AL140+FEE_ByContextArea_ByMode!AM140*AreaModeSharesandPMT!$Z$13,FEE_ByContextArea_ByMode!AK140*AreaModeSharesandPMT!$X$21+FEE_ByContextArea_ByMode!AL140+FEE_ByContextArea_ByMode!AM140*AreaModeSharesandPMT!$Z$21)</f>
        <v>39585.145560918223</v>
      </c>
      <c r="R140" s="91">
        <f>FEE_4_Out!$H137</f>
        <v>43562.020657209796</v>
      </c>
      <c r="S140" s="122">
        <f t="shared" si="51"/>
        <v>1.9304256244620146</v>
      </c>
      <c r="T140" s="120">
        <f t="shared" si="52"/>
        <v>1.8501363174507417</v>
      </c>
      <c r="U140" s="120">
        <f t="shared" si="53"/>
        <v>2.1231693301840187</v>
      </c>
      <c r="V140" s="120">
        <f t="shared" si="58"/>
        <v>2.4854648658233796</v>
      </c>
      <c r="W140" s="120">
        <f t="shared" si="54"/>
        <v>2.3622744654770256</v>
      </c>
      <c r="X140" s="120">
        <f t="shared" si="55"/>
        <v>2.4670689735702793</v>
      </c>
      <c r="Y140" s="120">
        <f t="shared" si="56"/>
        <v>2.6075974546259491</v>
      </c>
      <c r="Z140" s="120">
        <f t="shared" si="57"/>
        <v>2.2545429575524185</v>
      </c>
    </row>
    <row r="141" spans="1:26" x14ac:dyDescent="0.25">
      <c r="A141" s="90"/>
      <c r="E141" s="104"/>
    </row>
    <row r="142" spans="1:26" x14ac:dyDescent="0.25">
      <c r="B142" s="11"/>
      <c r="C142" s="30"/>
      <c r="E142" s="60"/>
      <c r="F142" s="13"/>
      <c r="R142" s="11"/>
    </row>
    <row r="143" spans="1:26" x14ac:dyDescent="0.25">
      <c r="B143" s="11"/>
      <c r="C143" s="30"/>
      <c r="D143" s="30" cm="1">
        <f t="array" ref="D143:D245">_xlfn.UNIQUE(B15:B140)</f>
        <v>30</v>
      </c>
      <c r="E143" s="60"/>
      <c r="F143" s="13"/>
      <c r="R143" s="11"/>
    </row>
    <row r="144" spans="1:26" x14ac:dyDescent="0.25">
      <c r="B144" s="11"/>
      <c r="C144" s="30"/>
      <c r="D144" s="30" t="str">
        <v>Industrial</v>
      </c>
      <c r="E144" s="60"/>
      <c r="F144" s="13">
        <f>COUNT(_xlfn.ANCHORARRAY(D143))</f>
        <v>94</v>
      </c>
      <c r="R144" s="11"/>
    </row>
    <row r="145" spans="2:24" x14ac:dyDescent="0.25">
      <c r="B145" s="11"/>
      <c r="C145" s="30"/>
      <c r="D145" s="30">
        <v>110</v>
      </c>
      <c r="E145" s="60"/>
      <c r="F145" s="13"/>
    </row>
    <row r="146" spans="2:24" x14ac:dyDescent="0.25">
      <c r="B146" s="11"/>
      <c r="C146" s="30"/>
      <c r="D146" s="30">
        <v>130</v>
      </c>
      <c r="E146" s="60"/>
      <c r="F146" s="13"/>
    </row>
    <row r="147" spans="2:24" x14ac:dyDescent="0.25">
      <c r="B147" s="11"/>
      <c r="C147" s="30"/>
      <c r="D147" s="30">
        <v>140</v>
      </c>
      <c r="E147" s="60"/>
      <c r="F147" s="13"/>
    </row>
    <row r="148" spans="2:24" x14ac:dyDescent="0.25">
      <c r="B148" s="11"/>
      <c r="C148" s="30"/>
      <c r="D148" s="30">
        <v>150</v>
      </c>
      <c r="E148" s="60"/>
      <c r="F148" s="13"/>
    </row>
    <row r="149" spans="2:24" x14ac:dyDescent="0.25">
      <c r="B149" s="11"/>
      <c r="C149" s="30"/>
      <c r="D149" s="30">
        <v>151</v>
      </c>
      <c r="E149" s="60"/>
      <c r="F149" s="13"/>
    </row>
    <row r="150" spans="2:24" x14ac:dyDescent="0.25">
      <c r="B150" s="11"/>
      <c r="C150" s="30"/>
      <c r="D150" s="30">
        <v>160</v>
      </c>
      <c r="E150" s="60"/>
      <c r="F150" s="13"/>
      <c r="R150" s="30"/>
      <c r="S150" s="30"/>
      <c r="T150" s="30"/>
      <c r="U150" s="30"/>
      <c r="V150" s="30"/>
      <c r="W150" s="30"/>
      <c r="X150" s="30"/>
    </row>
    <row r="151" spans="2:24" x14ac:dyDescent="0.25">
      <c r="B151" s="11"/>
      <c r="C151" s="30"/>
      <c r="D151" s="30">
        <v>170</v>
      </c>
      <c r="E151" s="60"/>
      <c r="F151" s="13"/>
      <c r="R151" s="30"/>
      <c r="S151" s="30"/>
      <c r="T151" s="30"/>
      <c r="U151" s="30"/>
      <c r="V151" s="30"/>
      <c r="W151" s="30"/>
      <c r="X151" s="30"/>
    </row>
    <row r="152" spans="2:24" x14ac:dyDescent="0.25">
      <c r="B152" s="11"/>
      <c r="C152" s="30"/>
      <c r="D152" s="30" t="str">
        <v>Residential</v>
      </c>
      <c r="E152" s="60"/>
      <c r="F152" s="13"/>
    </row>
    <row r="153" spans="2:24" x14ac:dyDescent="0.25">
      <c r="B153" s="11"/>
      <c r="C153" s="30"/>
      <c r="D153" s="30">
        <v>210</v>
      </c>
      <c r="E153" s="60"/>
      <c r="F153" s="13"/>
    </row>
    <row r="154" spans="2:24" x14ac:dyDescent="0.25">
      <c r="B154" s="11"/>
      <c r="C154" s="30"/>
      <c r="D154" s="30">
        <v>220</v>
      </c>
      <c r="E154" s="60"/>
      <c r="F154" s="13"/>
    </row>
    <row r="155" spans="2:24" x14ac:dyDescent="0.25">
      <c r="B155" s="11"/>
      <c r="C155" s="30"/>
      <c r="D155" s="30">
        <v>221</v>
      </c>
      <c r="E155" s="60"/>
      <c r="F155" s="13"/>
    </row>
    <row r="156" spans="2:24" x14ac:dyDescent="0.25">
      <c r="B156" s="11"/>
      <c r="C156" s="30"/>
      <c r="D156" s="30">
        <v>222</v>
      </c>
      <c r="E156" s="60"/>
      <c r="F156" s="13"/>
    </row>
    <row r="157" spans="2:24" x14ac:dyDescent="0.25">
      <c r="D157" s="30">
        <v>230</v>
      </c>
    </row>
    <row r="158" spans="2:24" x14ac:dyDescent="0.25">
      <c r="D158" s="30">
        <v>231</v>
      </c>
    </row>
    <row r="159" spans="2:24" x14ac:dyDescent="0.25">
      <c r="D159" s="30">
        <v>240</v>
      </c>
    </row>
    <row r="160" spans="2:24" x14ac:dyDescent="0.25">
      <c r="D160" s="30">
        <v>251</v>
      </c>
    </row>
    <row r="161" spans="1:53" x14ac:dyDescent="0.25">
      <c r="D161" s="30">
        <v>252</v>
      </c>
    </row>
    <row r="162" spans="1:53" s="30" customFormat="1" x14ac:dyDescent="0.25">
      <c r="A162" s="11"/>
      <c r="B162" s="10"/>
      <c r="D162" s="30">
        <v>253</v>
      </c>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row>
    <row r="163" spans="1:53" s="30" customFormat="1" x14ac:dyDescent="0.25">
      <c r="A163" s="11"/>
      <c r="B163" s="10"/>
      <c r="D163" s="30">
        <v>254</v>
      </c>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row>
    <row r="164" spans="1:53" x14ac:dyDescent="0.25">
      <c r="D164" s="30">
        <v>255</v>
      </c>
    </row>
    <row r="165" spans="1:53" x14ac:dyDescent="0.25">
      <c r="D165" s="30">
        <v>265</v>
      </c>
    </row>
    <row r="166" spans="1:53" x14ac:dyDescent="0.25">
      <c r="D166" s="30">
        <v>270</v>
      </c>
    </row>
    <row r="167" spans="1:53" x14ac:dyDescent="0.25">
      <c r="D167" s="30" t="str">
        <v>Lodging</v>
      </c>
    </row>
    <row r="168" spans="1:53" x14ac:dyDescent="0.25">
      <c r="D168" s="30">
        <v>310</v>
      </c>
    </row>
    <row r="169" spans="1:53" x14ac:dyDescent="0.25">
      <c r="D169" s="30">
        <v>311</v>
      </c>
    </row>
    <row r="170" spans="1:53" x14ac:dyDescent="0.25">
      <c r="D170" s="30">
        <v>320</v>
      </c>
    </row>
    <row r="171" spans="1:53" x14ac:dyDescent="0.25">
      <c r="D171" s="30">
        <v>312</v>
      </c>
    </row>
    <row r="172" spans="1:53" x14ac:dyDescent="0.25">
      <c r="D172" s="30" t="str">
        <v>Recreational</v>
      </c>
    </row>
    <row r="173" spans="1:53" x14ac:dyDescent="0.25">
      <c r="D173" s="30">
        <v>420</v>
      </c>
    </row>
    <row r="174" spans="1:53" x14ac:dyDescent="0.25">
      <c r="D174" s="30">
        <v>430</v>
      </c>
    </row>
    <row r="175" spans="1:53" x14ac:dyDescent="0.25">
      <c r="D175" s="30">
        <v>444</v>
      </c>
    </row>
    <row r="176" spans="1:53" x14ac:dyDescent="0.25">
      <c r="D176" s="30">
        <v>480</v>
      </c>
    </row>
    <row r="177" spans="4:4" x14ac:dyDescent="0.25">
      <c r="D177" s="30">
        <v>490</v>
      </c>
    </row>
    <row r="178" spans="4:4" x14ac:dyDescent="0.25">
      <c r="D178" s="30">
        <v>491</v>
      </c>
    </row>
    <row r="179" spans="4:4" x14ac:dyDescent="0.25">
      <c r="D179" s="30">
        <v>492</v>
      </c>
    </row>
    <row r="180" spans="4:4" x14ac:dyDescent="0.25">
      <c r="D180" s="30">
        <v>495</v>
      </c>
    </row>
    <row r="181" spans="4:4" x14ac:dyDescent="0.25">
      <c r="D181" s="30" t="str">
        <v>Institutional</v>
      </c>
    </row>
    <row r="182" spans="4:4" x14ac:dyDescent="0.25">
      <c r="D182" s="30">
        <v>520</v>
      </c>
    </row>
    <row r="183" spans="4:4" x14ac:dyDescent="0.25">
      <c r="D183" s="30">
        <v>530</v>
      </c>
    </row>
    <row r="184" spans="4:4" x14ac:dyDescent="0.25">
      <c r="D184" s="30">
        <v>534</v>
      </c>
    </row>
    <row r="185" spans="4:4" x14ac:dyDescent="0.25">
      <c r="D185" s="30">
        <v>536</v>
      </c>
    </row>
    <row r="186" spans="4:4" x14ac:dyDescent="0.25">
      <c r="D186" s="30">
        <v>537</v>
      </c>
    </row>
    <row r="187" spans="4:4" x14ac:dyDescent="0.25">
      <c r="D187" s="30">
        <v>540</v>
      </c>
    </row>
    <row r="188" spans="4:4" x14ac:dyDescent="0.25">
      <c r="D188" s="30">
        <v>550</v>
      </c>
    </row>
    <row r="189" spans="4:4" x14ac:dyDescent="0.25">
      <c r="D189" s="30">
        <v>560</v>
      </c>
    </row>
    <row r="190" spans="4:4" x14ac:dyDescent="0.25">
      <c r="D190" s="30">
        <v>565</v>
      </c>
    </row>
    <row r="191" spans="4:4" x14ac:dyDescent="0.25">
      <c r="D191" s="30" t="str">
        <v>Medical</v>
      </c>
    </row>
    <row r="192" spans="4:4" x14ac:dyDescent="0.25">
      <c r="D192" s="30">
        <v>610</v>
      </c>
    </row>
    <row r="193" spans="4:4" x14ac:dyDescent="0.25">
      <c r="D193" s="30">
        <v>620</v>
      </c>
    </row>
    <row r="194" spans="4:4" x14ac:dyDescent="0.25">
      <c r="D194" s="30">
        <v>630</v>
      </c>
    </row>
    <row r="195" spans="4:4" x14ac:dyDescent="0.25">
      <c r="D195" s="30">
        <v>640</v>
      </c>
    </row>
    <row r="196" spans="4:4" x14ac:dyDescent="0.25">
      <c r="D196" s="30">
        <v>650</v>
      </c>
    </row>
    <row r="197" spans="4:4" x14ac:dyDescent="0.25">
      <c r="D197" s="30" t="str">
        <v>Office</v>
      </c>
    </row>
    <row r="198" spans="4:4" x14ac:dyDescent="0.25">
      <c r="D198" s="30">
        <v>710</v>
      </c>
    </row>
    <row r="199" spans="4:4" x14ac:dyDescent="0.25">
      <c r="D199" s="30">
        <v>712</v>
      </c>
    </row>
    <row r="200" spans="4:4" x14ac:dyDescent="0.25">
      <c r="D200" s="30">
        <v>714</v>
      </c>
    </row>
    <row r="201" spans="4:4" x14ac:dyDescent="0.25">
      <c r="D201" s="30">
        <v>715</v>
      </c>
    </row>
    <row r="202" spans="4:4" x14ac:dyDescent="0.25">
      <c r="D202" s="30">
        <v>720</v>
      </c>
    </row>
    <row r="203" spans="4:4" x14ac:dyDescent="0.25">
      <c r="D203" s="30">
        <v>730</v>
      </c>
    </row>
    <row r="204" spans="4:4" x14ac:dyDescent="0.25">
      <c r="D204" s="30">
        <v>731</v>
      </c>
    </row>
    <row r="205" spans="4:4" x14ac:dyDescent="0.25">
      <c r="D205" s="30">
        <v>733</v>
      </c>
    </row>
    <row r="206" spans="4:4" x14ac:dyDescent="0.25">
      <c r="D206" s="30">
        <v>750</v>
      </c>
    </row>
    <row r="207" spans="4:4" x14ac:dyDescent="0.25">
      <c r="D207" s="30">
        <v>760</v>
      </c>
    </row>
    <row r="208" spans="4:4" x14ac:dyDescent="0.25">
      <c r="D208" s="30">
        <v>770</v>
      </c>
    </row>
    <row r="209" spans="4:4" x14ac:dyDescent="0.25">
      <c r="D209" s="30" t="str">
        <v>Retail</v>
      </c>
    </row>
    <row r="210" spans="4:4" x14ac:dyDescent="0.25">
      <c r="D210" s="30">
        <v>812</v>
      </c>
    </row>
    <row r="211" spans="4:4" x14ac:dyDescent="0.25">
      <c r="D211" s="30">
        <v>813</v>
      </c>
    </row>
    <row r="212" spans="4:4" x14ac:dyDescent="0.25">
      <c r="D212" s="30">
        <v>816</v>
      </c>
    </row>
    <row r="213" spans="4:4" x14ac:dyDescent="0.25">
      <c r="D213" s="30">
        <v>817</v>
      </c>
    </row>
    <row r="214" spans="4:4" x14ac:dyDescent="0.25">
      <c r="D214" s="30">
        <v>0</v>
      </c>
    </row>
    <row r="215" spans="4:4" x14ac:dyDescent="0.25">
      <c r="D215" s="30">
        <v>820</v>
      </c>
    </row>
    <row r="216" spans="4:4" x14ac:dyDescent="0.25">
      <c r="D216" s="30">
        <v>823</v>
      </c>
    </row>
    <row r="217" spans="4:4" x14ac:dyDescent="0.25">
      <c r="D217" s="30">
        <v>840</v>
      </c>
    </row>
    <row r="218" spans="4:4" x14ac:dyDescent="0.25">
      <c r="D218" s="30">
        <v>843</v>
      </c>
    </row>
    <row r="219" spans="4:4" x14ac:dyDescent="0.25">
      <c r="D219" s="30">
        <v>848</v>
      </c>
    </row>
    <row r="220" spans="4:4" x14ac:dyDescent="0.25">
      <c r="D220" s="30">
        <v>850</v>
      </c>
    </row>
    <row r="221" spans="4:4" x14ac:dyDescent="0.25">
      <c r="D221" s="30">
        <v>851</v>
      </c>
    </row>
    <row r="222" spans="4:4" x14ac:dyDescent="0.25">
      <c r="D222" s="30">
        <v>853</v>
      </c>
    </row>
    <row r="223" spans="4:4" x14ac:dyDescent="0.25">
      <c r="D223" s="30">
        <v>857</v>
      </c>
    </row>
    <row r="224" spans="4:4" x14ac:dyDescent="0.25">
      <c r="D224" s="30">
        <v>861</v>
      </c>
    </row>
    <row r="225" spans="4:4" x14ac:dyDescent="0.25">
      <c r="D225" s="30">
        <v>862</v>
      </c>
    </row>
    <row r="226" spans="4:4" x14ac:dyDescent="0.25">
      <c r="D226" s="30">
        <v>863</v>
      </c>
    </row>
    <row r="227" spans="4:4" x14ac:dyDescent="0.25">
      <c r="D227" s="30">
        <v>868</v>
      </c>
    </row>
    <row r="228" spans="4:4" x14ac:dyDescent="0.25">
      <c r="D228" s="30">
        <v>869</v>
      </c>
    </row>
    <row r="229" spans="4:4" x14ac:dyDescent="0.25">
      <c r="D229" s="30">
        <v>875</v>
      </c>
    </row>
    <row r="230" spans="4:4" x14ac:dyDescent="0.25">
      <c r="D230" s="30">
        <v>876</v>
      </c>
    </row>
    <row r="231" spans="4:4" x14ac:dyDescent="0.25">
      <c r="D231" s="30">
        <v>879</v>
      </c>
    </row>
    <row r="232" spans="4:4" x14ac:dyDescent="0.25">
      <c r="D232" s="30">
        <v>880</v>
      </c>
    </row>
    <row r="233" spans="4:4" x14ac:dyDescent="0.25">
      <c r="D233" s="30">
        <v>881</v>
      </c>
    </row>
    <row r="234" spans="4:4" x14ac:dyDescent="0.25">
      <c r="D234" s="30">
        <v>882</v>
      </c>
    </row>
    <row r="235" spans="4:4" x14ac:dyDescent="0.25">
      <c r="D235" s="30">
        <v>890</v>
      </c>
    </row>
    <row r="236" spans="4:4" x14ac:dyDescent="0.25">
      <c r="D236" s="30">
        <v>899</v>
      </c>
    </row>
    <row r="237" spans="4:4" x14ac:dyDescent="0.25">
      <c r="D237" s="30" t="str">
        <v>Services</v>
      </c>
    </row>
    <row r="238" spans="4:4" x14ac:dyDescent="0.25">
      <c r="D238" s="30">
        <v>911</v>
      </c>
    </row>
    <row r="239" spans="4:4" x14ac:dyDescent="0.25">
      <c r="D239" s="30">
        <v>912</v>
      </c>
    </row>
    <row r="240" spans="4:4" x14ac:dyDescent="0.25">
      <c r="D240" s="30">
        <v>931</v>
      </c>
    </row>
    <row r="241" spans="4:4" x14ac:dyDescent="0.25">
      <c r="D241" s="30">
        <v>932</v>
      </c>
    </row>
    <row r="242" spans="4:4" x14ac:dyDescent="0.25">
      <c r="D242" s="30">
        <v>933</v>
      </c>
    </row>
    <row r="243" spans="4:4" x14ac:dyDescent="0.25">
      <c r="D243" s="30">
        <v>934</v>
      </c>
    </row>
    <row r="244" spans="4:4" x14ac:dyDescent="0.25">
      <c r="D244" s="30">
        <v>937</v>
      </c>
    </row>
    <row r="245" spans="4:4" x14ac:dyDescent="0.25">
      <c r="D245" s="30">
        <v>944</v>
      </c>
    </row>
  </sheetData>
  <mergeCells count="16">
    <mergeCell ref="Q12:R12"/>
    <mergeCell ref="H11:I13"/>
    <mergeCell ref="J12:J13"/>
    <mergeCell ref="M12:M13"/>
    <mergeCell ref="P12:P13"/>
    <mergeCell ref="K12:L12"/>
    <mergeCell ref="N12:O12"/>
    <mergeCell ref="S11:T11"/>
    <mergeCell ref="U11:V11"/>
    <mergeCell ref="W11:X11"/>
    <mergeCell ref="Y11:Z11"/>
    <mergeCell ref="H10:R10"/>
    <mergeCell ref="S10:Z10"/>
    <mergeCell ref="J11:L11"/>
    <mergeCell ref="M11:O11"/>
    <mergeCell ref="P11:R11"/>
  </mergeCells>
  <conditionalFormatting sqref="S15:Z140">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4"/>
  <sheetViews>
    <sheetView workbookViewId="0">
      <selection activeCell="S12" sqref="S12"/>
    </sheetView>
  </sheetViews>
  <sheetFormatPr defaultColWidth="4.42578125" defaultRowHeight="15.75" x14ac:dyDescent="0.25"/>
  <cols>
    <col min="1" max="1" width="4.42578125" style="11"/>
    <col min="2" max="2" width="13.42578125" style="10" customWidth="1"/>
    <col min="3" max="3" width="31.5703125" style="11" customWidth="1"/>
    <col min="4" max="4" width="12.140625" style="30" customWidth="1"/>
    <col min="5" max="5" width="12.85546875" style="30" hidden="1" customWidth="1"/>
    <col min="6" max="6" width="12.85546875" style="60" hidden="1" customWidth="1"/>
    <col min="7" max="39" width="12.85546875" style="13" customWidth="1"/>
    <col min="40" max="16384" width="4.42578125" style="11"/>
  </cols>
  <sheetData>
    <row r="1" spans="1:39" x14ac:dyDescent="0.25">
      <c r="A1" s="10" t="s">
        <v>54</v>
      </c>
      <c r="D1" s="60"/>
      <c r="E1" s="60"/>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101</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0"/>
      <c r="E9" s="60"/>
    </row>
    <row r="10" spans="1:39" x14ac:dyDescent="0.25">
      <c r="B10" s="25"/>
      <c r="C10" s="26"/>
      <c r="D10" s="27"/>
      <c r="E10" s="27"/>
      <c r="F10" s="27"/>
      <c r="G10" s="28"/>
      <c r="H10" s="935" t="s">
        <v>113</v>
      </c>
      <c r="I10" s="941"/>
      <c r="J10" s="941"/>
      <c r="K10" s="936"/>
      <c r="L10" s="935" t="s">
        <v>114</v>
      </c>
      <c r="M10" s="941"/>
      <c r="N10" s="941"/>
      <c r="O10" s="936"/>
      <c r="P10" s="935" t="s">
        <v>115</v>
      </c>
      <c r="Q10" s="941"/>
      <c r="R10" s="941"/>
      <c r="S10" s="941"/>
      <c r="T10" s="935" t="s">
        <v>116</v>
      </c>
      <c r="U10" s="941"/>
      <c r="V10" s="941"/>
      <c r="W10" s="941"/>
      <c r="X10" s="935" t="s">
        <v>117</v>
      </c>
      <c r="Y10" s="941"/>
      <c r="Z10" s="941"/>
      <c r="AA10" s="941"/>
      <c r="AB10" s="935" t="s">
        <v>118</v>
      </c>
      <c r="AC10" s="941"/>
      <c r="AD10" s="941"/>
      <c r="AE10" s="941"/>
      <c r="AF10" s="935" t="s">
        <v>119</v>
      </c>
      <c r="AG10" s="941"/>
      <c r="AH10" s="941"/>
      <c r="AI10" s="941"/>
      <c r="AJ10" s="935" t="s">
        <v>120</v>
      </c>
      <c r="AK10" s="941"/>
      <c r="AL10" s="941"/>
      <c r="AM10" s="941"/>
    </row>
    <row r="11" spans="1:39" x14ac:dyDescent="0.25">
      <c r="B11" s="116"/>
      <c r="C11" s="117"/>
      <c r="D11" s="118"/>
      <c r="E11" s="118"/>
      <c r="F11" s="118"/>
      <c r="G11" s="119"/>
      <c r="H11" s="939"/>
      <c r="I11" s="942"/>
      <c r="J11" s="942"/>
      <c r="K11" s="940"/>
      <c r="L11" s="939"/>
      <c r="M11" s="942"/>
      <c r="N11" s="942"/>
      <c r="O11" s="940"/>
      <c r="P11" s="939"/>
      <c r="Q11" s="942"/>
      <c r="R11" s="942"/>
      <c r="S11" s="942"/>
      <c r="T11" s="939"/>
      <c r="U11" s="942"/>
      <c r="V11" s="942"/>
      <c r="W11" s="942"/>
      <c r="X11" s="939"/>
      <c r="Y11" s="942"/>
      <c r="Z11" s="942"/>
      <c r="AA11" s="942"/>
      <c r="AB11" s="939"/>
      <c r="AC11" s="942"/>
      <c r="AD11" s="942"/>
      <c r="AE11" s="942"/>
      <c r="AF11" s="939"/>
      <c r="AG11" s="942"/>
      <c r="AH11" s="942"/>
      <c r="AI11" s="942"/>
      <c r="AJ11" s="939"/>
      <c r="AK11" s="942"/>
      <c r="AL11" s="942"/>
      <c r="AM11" s="942"/>
    </row>
    <row r="12" spans="1:39" s="9" customFormat="1" ht="55.5" customHeight="1" x14ac:dyDescent="0.25">
      <c r="B12" s="114" t="s">
        <v>78</v>
      </c>
      <c r="C12" s="115" t="s">
        <v>79</v>
      </c>
      <c r="D12" s="7" t="s">
        <v>80</v>
      </c>
      <c r="E12" s="7" t="s">
        <v>82</v>
      </c>
      <c r="F12" s="7" t="s">
        <v>83</v>
      </c>
      <c r="G12" s="8" t="s">
        <v>84</v>
      </c>
      <c r="H12" s="212" t="s">
        <v>100</v>
      </c>
      <c r="I12" s="7" t="s">
        <v>121</v>
      </c>
      <c r="J12" s="7" t="s">
        <v>63</v>
      </c>
      <c r="K12" s="7" t="s">
        <v>68</v>
      </c>
      <c r="L12" s="212" t="s">
        <v>100</v>
      </c>
      <c r="M12" s="7" t="s">
        <v>121</v>
      </c>
      <c r="N12" s="7" t="s">
        <v>63</v>
      </c>
      <c r="O12" s="7" t="s">
        <v>68</v>
      </c>
      <c r="P12" s="7" t="s">
        <v>100</v>
      </c>
      <c r="Q12" s="7" t="s">
        <v>121</v>
      </c>
      <c r="R12" s="7" t="s">
        <v>63</v>
      </c>
      <c r="S12" s="7" t="s">
        <v>68</v>
      </c>
      <c r="T12" s="7" t="s">
        <v>100</v>
      </c>
      <c r="U12" s="7" t="s">
        <v>121</v>
      </c>
      <c r="V12" s="7" t="s">
        <v>63</v>
      </c>
      <c r="W12" s="7" t="s">
        <v>68</v>
      </c>
      <c r="X12" s="7" t="s">
        <v>100</v>
      </c>
      <c r="Y12" s="7" t="s">
        <v>121</v>
      </c>
      <c r="Z12" s="7" t="s">
        <v>63</v>
      </c>
      <c r="AA12" s="7" t="s">
        <v>68</v>
      </c>
      <c r="AB12" s="7" t="s">
        <v>100</v>
      </c>
      <c r="AC12" s="7" t="s">
        <v>121</v>
      </c>
      <c r="AD12" s="7" t="s">
        <v>63</v>
      </c>
      <c r="AE12" s="7" t="s">
        <v>68</v>
      </c>
      <c r="AF12" s="7" t="s">
        <v>100</v>
      </c>
      <c r="AG12" s="7" t="s">
        <v>121</v>
      </c>
      <c r="AH12" s="7" t="s">
        <v>63</v>
      </c>
      <c r="AI12" s="7" t="s">
        <v>68</v>
      </c>
      <c r="AJ12" s="7" t="s">
        <v>100</v>
      </c>
      <c r="AK12" s="7" t="s">
        <v>121</v>
      </c>
      <c r="AL12" s="7" t="s">
        <v>63</v>
      </c>
      <c r="AM12" s="7" t="s">
        <v>68</v>
      </c>
    </row>
    <row r="13" spans="1:39" s="9" customFormat="1" ht="11.25" customHeight="1" x14ac:dyDescent="0.25">
      <c r="B13" s="853"/>
      <c r="C13" s="854"/>
      <c r="D13" s="855"/>
      <c r="E13" s="856"/>
      <c r="F13" s="855"/>
      <c r="G13" s="857"/>
      <c r="H13" s="858"/>
      <c r="I13" s="855"/>
      <c r="J13" s="855"/>
      <c r="K13" s="855"/>
      <c r="L13" s="858"/>
      <c r="M13" s="855"/>
      <c r="N13" s="855"/>
      <c r="O13" s="855"/>
      <c r="P13" s="855"/>
      <c r="Q13" s="855"/>
      <c r="R13" s="855"/>
      <c r="S13" s="855"/>
      <c r="T13" s="855"/>
      <c r="U13" s="855"/>
      <c r="V13" s="855"/>
      <c r="W13" s="855"/>
      <c r="X13" s="855"/>
      <c r="Y13" s="855"/>
      <c r="Z13" s="855"/>
      <c r="AA13" s="855"/>
      <c r="AB13" s="855"/>
      <c r="AC13" s="855"/>
      <c r="AD13" s="855"/>
      <c r="AE13" s="855"/>
      <c r="AF13" s="855"/>
      <c r="AG13" s="855"/>
      <c r="AH13" s="855"/>
      <c r="AI13" s="855"/>
      <c r="AJ13" s="855"/>
      <c r="AK13" s="855"/>
      <c r="AL13" s="855"/>
      <c r="AM13" s="855"/>
    </row>
    <row r="14" spans="1:39" x14ac:dyDescent="0.25">
      <c r="B14" s="92" t="str">
        <f>ITE_LUC_Rates!A2</f>
        <v>Port and Terminal</v>
      </c>
      <c r="C14" s="93"/>
      <c r="D14" s="94"/>
      <c r="E14" s="93"/>
      <c r="F14" s="95"/>
      <c r="G14" s="96"/>
      <c r="H14" s="96"/>
      <c r="I14" s="99"/>
      <c r="J14" s="99"/>
      <c r="K14" s="99"/>
      <c r="L14" s="96"/>
      <c r="M14" s="97"/>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row>
    <row r="15" spans="1:39" x14ac:dyDescent="0.25">
      <c r="B15" s="51">
        <v>30</v>
      </c>
      <c r="C15" s="11" t="str">
        <f>+CurrentFee_RIF!C5</f>
        <v>Truck Terminal</v>
      </c>
      <c r="D15" s="11" t="s">
        <v>112</v>
      </c>
      <c r="E15" s="123"/>
      <c r="F15" s="53" t="s">
        <v>73</v>
      </c>
      <c r="G15" s="91">
        <f>ITE_LUC_Rates!Q3</f>
        <v>10080.200000000001</v>
      </c>
      <c r="H15" s="91">
        <f>FEE_1_In!$H12</f>
        <v>9088.9980417987063</v>
      </c>
      <c r="I15" s="55">
        <f>+FEE_1_In!S12</f>
        <v>6676.0130968930844</v>
      </c>
      <c r="J15" s="55">
        <f>+FEE_1_In!V12</f>
        <v>2270.3452252147245</v>
      </c>
      <c r="K15" s="55">
        <f>+FEE_1_In!Y12</f>
        <v>142.639719690899</v>
      </c>
      <c r="L15" s="91">
        <f>+FEE_2_In!H12</f>
        <v>10810.505844536758</v>
      </c>
      <c r="M15" s="55">
        <f>+FEE_2_In!S12</f>
        <v>8965.0123915136646</v>
      </c>
      <c r="N15" s="55">
        <f>+FEE_2_In!V12</f>
        <v>1769.0546577841046</v>
      </c>
      <c r="O15" s="55">
        <f>+FEE_2_In!Y12</f>
        <v>76.438795238988604</v>
      </c>
      <c r="P15" s="55">
        <f>+FEE_3_In!H12</f>
        <v>10753.449208371063</v>
      </c>
      <c r="Q15" s="55">
        <f>+FEE_3_In!S12</f>
        <v>9671.7128910457868</v>
      </c>
      <c r="R15" s="55">
        <f>+FEE_3_In!V12</f>
        <v>1035.2577609498314</v>
      </c>
      <c r="S15" s="55">
        <f>+FEE_3_In!Y12</f>
        <v>46.47855637544474</v>
      </c>
      <c r="T15" s="55">
        <f>+FEE_4_In!H12</f>
        <v>10094.279247771145</v>
      </c>
      <c r="U15" s="55">
        <f>+FEE_4_In!S12</f>
        <v>8400.3064635506253</v>
      </c>
      <c r="V15" s="55">
        <f>+FEE_4_In!V12</f>
        <v>1649.4146867337358</v>
      </c>
      <c r="W15" s="55">
        <f>+FEE_4_In!Y12</f>
        <v>44.558097486783502</v>
      </c>
      <c r="X15" s="55">
        <f>FEE_1_In!$H12</f>
        <v>9088.9980417987063</v>
      </c>
      <c r="Y15" s="55">
        <f>+FEE_1_Out!S12</f>
        <v>8108.7262779250232</v>
      </c>
      <c r="Z15" s="55">
        <f>+FEE_1_Out!V12</f>
        <v>617.10244518199841</v>
      </c>
      <c r="AA15" s="55">
        <f>+FEE_1_Out!Y12</f>
        <v>114.14428010644464</v>
      </c>
      <c r="AB15" s="55">
        <f>+FEE_2_Out!H12</f>
        <v>9686.8112567981298</v>
      </c>
      <c r="AC15" s="55">
        <f>+FEE_2_Out!S12</f>
        <v>9161.8265972369263</v>
      </c>
      <c r="AD15" s="55">
        <f>+FEE_2_Out!V12</f>
        <v>451.4869475699806</v>
      </c>
      <c r="AE15" s="55">
        <f>+FEE_2_Out!Y12</f>
        <v>73.497711991224264</v>
      </c>
      <c r="AF15" s="55">
        <f>+FEE_3_Out!H12</f>
        <v>10428.418922360745</v>
      </c>
      <c r="AG15" s="55">
        <f>+FEE_3_Out!S12</f>
        <v>10191.427815147301</v>
      </c>
      <c r="AH15" s="55">
        <f>+FEE_3_Out!V12</f>
        <v>165.07912939450449</v>
      </c>
      <c r="AI15" s="55">
        <f>+FEE_3_Out!Y12</f>
        <v>71.911977818940457</v>
      </c>
      <c r="AJ15" s="55">
        <f>+FEE_4_Out!H12</f>
        <v>11189.31186206541</v>
      </c>
      <c r="AK15" s="55">
        <f>+FEE_4_Out!S12</f>
        <v>10496.784143427498</v>
      </c>
      <c r="AL15" s="55">
        <f>+FEE_4_Out!V12</f>
        <v>652.10164815732048</v>
      </c>
      <c r="AM15" s="55">
        <f>+FEE_4_Out!Y12</f>
        <v>40.426070480590717</v>
      </c>
    </row>
    <row r="16" spans="1:39" x14ac:dyDescent="0.25">
      <c r="B16" s="92" t="str">
        <f>ITE_LUC_Rates!A4</f>
        <v>Industrial</v>
      </c>
      <c r="C16" s="93"/>
      <c r="D16" s="94"/>
      <c r="E16" s="113"/>
      <c r="F16" s="95"/>
      <c r="G16" s="96"/>
      <c r="H16" s="96"/>
      <c r="I16" s="99"/>
      <c r="J16" s="99"/>
      <c r="K16" s="99"/>
      <c r="L16" s="96"/>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row>
    <row r="17" spans="2:39" x14ac:dyDescent="0.25">
      <c r="B17" s="51">
        <f>ITE_LUC_Rates!A5</f>
        <v>110</v>
      </c>
      <c r="C17" s="11" t="str">
        <f>ITE_LUC_Rates!B5</f>
        <v>General Light Industrial</v>
      </c>
      <c r="D17" s="52" t="str">
        <f>ITE_LUC_Rates!C5</f>
        <v>1000 GSF</v>
      </c>
      <c r="E17" s="112">
        <f>ITE_LUC_Rates!G5</f>
        <v>4.96</v>
      </c>
      <c r="F17" s="53" t="s">
        <v>73</v>
      </c>
      <c r="G17" s="91">
        <f>ITE_LUC_Rates!Q5</f>
        <v>0</v>
      </c>
      <c r="H17" s="91">
        <f>FEE_1_In!$H14</f>
        <v>4576.7949530275728</v>
      </c>
      <c r="I17" s="55">
        <f>+FEE_1_In!S14</f>
        <v>3361.7284223948932</v>
      </c>
      <c r="J17" s="55">
        <f>+FEE_1_In!V14</f>
        <v>1143.2398291436582</v>
      </c>
      <c r="K17" s="55">
        <f>+FEE_1_In!Y14</f>
        <v>71.826701489021218</v>
      </c>
      <c r="L17" s="91">
        <f>+FEE_2_In!H14</f>
        <v>5443.6658871982054</v>
      </c>
      <c r="M17" s="55">
        <f>+FEE_2_In!S14</f>
        <v>4514.3615697368305</v>
      </c>
      <c r="N17" s="55">
        <f>+FEE_2_In!V14</f>
        <v>890.81330990955928</v>
      </c>
      <c r="O17" s="55">
        <f>+FEE_2_In!Y14</f>
        <v>38.491007551815585</v>
      </c>
      <c r="P17" s="55">
        <f>+FEE_3_In!H14</f>
        <v>5414.9348297990318</v>
      </c>
      <c r="Q17" s="55">
        <f>+FEE_3_In!S14</f>
        <v>4870.2229380291465</v>
      </c>
      <c r="R17" s="55">
        <f>+FEE_3_In!V14</f>
        <v>521.30746135138725</v>
      </c>
      <c r="S17" s="55">
        <f>+FEE_3_In!Y14</f>
        <v>23.404430418498062</v>
      </c>
      <c r="T17" s="55">
        <f>+FEE_4_In!H14</f>
        <v>5083.0076212126769</v>
      </c>
      <c r="U17" s="55">
        <f>+FEE_4_In!S14</f>
        <v>4230.0020364681313</v>
      </c>
      <c r="V17" s="55">
        <f>+FEE_4_In!V14</f>
        <v>830.56820773597269</v>
      </c>
      <c r="W17" s="55">
        <f>+FEE_4_In!Y14</f>
        <v>22.437377008573215</v>
      </c>
      <c r="X17" s="55">
        <f>FEE_1_In!$H14</f>
        <v>4576.7949530275728</v>
      </c>
      <c r="Y17" s="55">
        <f>+FEE_1_Out!S14</f>
        <v>4083.1758719297586</v>
      </c>
      <c r="Z17" s="55">
        <f>+FEE_1_Out!V14</f>
        <v>310.74397239621447</v>
      </c>
      <c r="AA17" s="55">
        <f>+FEE_1_Out!Y14</f>
        <v>57.477728865783291</v>
      </c>
      <c r="AB17" s="55">
        <f>+FEE_2_Out!H14</f>
        <v>4877.8257699206824</v>
      </c>
      <c r="AC17" s="55">
        <f>+FEE_2_Out!S14</f>
        <v>4613.4680124157503</v>
      </c>
      <c r="AD17" s="55">
        <f>+FEE_2_Out!V14</f>
        <v>227.34774212660955</v>
      </c>
      <c r="AE17" s="55">
        <f>+FEE_2_Out!Y14</f>
        <v>37.010015378322066</v>
      </c>
      <c r="AF17" s="55">
        <f>+FEE_3_Out!H14</f>
        <v>5251.2647568435841</v>
      </c>
      <c r="AG17" s="55">
        <f>+FEE_3_Out!S14</f>
        <v>5131.9271028558996</v>
      </c>
      <c r="AH17" s="55">
        <f>+FEE_3_Out!V14</f>
        <v>83.126140283933225</v>
      </c>
      <c r="AI17" s="55">
        <f>+FEE_3_Out!Y14</f>
        <v>36.211513703750725</v>
      </c>
      <c r="AJ17" s="55">
        <f>+FEE_4_Out!H14</f>
        <v>5634.4149071923275</v>
      </c>
      <c r="AK17" s="55">
        <f>+FEE_4_Out!S14</f>
        <v>5285.6902894822733</v>
      </c>
      <c r="AL17" s="55">
        <f>+FEE_4_Out!V14</f>
        <v>328.36793653404169</v>
      </c>
      <c r="AM17" s="55">
        <f>+FEE_4_Out!Y14</f>
        <v>20.35668117601319</v>
      </c>
    </row>
    <row r="18" spans="2:39" x14ac:dyDescent="0.25">
      <c r="B18" s="51">
        <f>ITE_LUC_Rates!A6</f>
        <v>130</v>
      </c>
      <c r="C18" s="11" t="str">
        <f>ITE_LUC_Rates!B6</f>
        <v>Industrial Park</v>
      </c>
      <c r="D18" s="52" t="str">
        <f>ITE_LUC_Rates!C6</f>
        <v>1000 GSF</v>
      </c>
      <c r="E18" s="112">
        <f>ITE_LUC_Rates!G6</f>
        <v>3.37</v>
      </c>
      <c r="F18" s="53" t="s">
        <v>73</v>
      </c>
      <c r="G18" s="91">
        <f>ITE_LUC_Rates!Q6</f>
        <v>7020.7</v>
      </c>
      <c r="H18" s="91">
        <f>FEE_1_In!$H15</f>
        <v>3109.6368934884913</v>
      </c>
      <c r="I18" s="55">
        <f>+FEE_1_In!S15</f>
        <v>2284.0775773126588</v>
      </c>
      <c r="J18" s="55">
        <f>+FEE_1_In!V15</f>
        <v>776.75770649478375</v>
      </c>
      <c r="K18" s="55">
        <f>+FEE_1_In!Y15</f>
        <v>48.801609681048696</v>
      </c>
      <c r="L18" s="91">
        <f>+FEE_2_In!H15</f>
        <v>3698.6197661003939</v>
      </c>
      <c r="M18" s="55">
        <f>+FEE_2_In!S15</f>
        <v>3067.2174375026448</v>
      </c>
      <c r="N18" s="55">
        <f>+FEE_2_In!V15</f>
        <v>605.25017225709985</v>
      </c>
      <c r="O18" s="55">
        <f>+FEE_2_In!Y15</f>
        <v>26.152156340648894</v>
      </c>
      <c r="P18" s="55">
        <f>+FEE_3_In!H15</f>
        <v>3679.0988662142618</v>
      </c>
      <c r="Q18" s="55">
        <f>+FEE_3_In!S15</f>
        <v>3309.0022784593198</v>
      </c>
      <c r="R18" s="55">
        <f>+FEE_3_In!V15</f>
        <v>354.19478724882555</v>
      </c>
      <c r="S18" s="55">
        <f>+FEE_3_In!Y15</f>
        <v>15.901800506116624</v>
      </c>
      <c r="T18" s="55">
        <f>+FEE_4_In!H15</f>
        <v>3453.5757426384525</v>
      </c>
      <c r="U18" s="55">
        <f>+FEE_4_In!S15</f>
        <v>2874.0134804229042</v>
      </c>
      <c r="V18" s="55">
        <f>+FEE_4_In!V15</f>
        <v>564.31751211093297</v>
      </c>
      <c r="W18" s="55">
        <f>+FEE_4_In!Y15</f>
        <v>15.244750104615269</v>
      </c>
      <c r="X18" s="55">
        <f>FEE_1_In!$H15</f>
        <v>3109.6368934884913</v>
      </c>
      <c r="Y18" s="55">
        <f>+FEE_1_Out!S15</f>
        <v>2774.2545742748557</v>
      </c>
      <c r="Z18" s="55">
        <f>+FEE_1_Out!V15</f>
        <v>211.13048124500861</v>
      </c>
      <c r="AA18" s="55">
        <f>+FEE_1_Out!Y15</f>
        <v>39.052408523727749</v>
      </c>
      <c r="AB18" s="55">
        <f>+FEE_2_Out!H15</f>
        <v>3314.1679122243349</v>
      </c>
      <c r="AC18" s="55">
        <f>+FEE_2_Out!S15</f>
        <v>3134.5538713389278</v>
      </c>
      <c r="AD18" s="55">
        <f>+FEE_2_Out!V15</f>
        <v>154.46812317876493</v>
      </c>
      <c r="AE18" s="55">
        <f>+FEE_2_Out!Y15</f>
        <v>25.145917706642209</v>
      </c>
      <c r="AF18" s="55">
        <f>+FEE_3_Out!H15</f>
        <v>3567.8956110005797</v>
      </c>
      <c r="AG18" s="55">
        <f>+FEE_3_Out!S15</f>
        <v>3486.8133743194317</v>
      </c>
      <c r="AH18" s="55">
        <f>+FEE_3_Out!V15</f>
        <v>56.478849346140116</v>
      </c>
      <c r="AI18" s="55">
        <f>+FEE_3_Out!Y15</f>
        <v>24.603387335008055</v>
      </c>
      <c r="AJ18" s="55">
        <f>+FEE_4_Out!H15</f>
        <v>3828.221418798013</v>
      </c>
      <c r="AK18" s="55">
        <f>+FEE_4_Out!S15</f>
        <v>3591.2855394264634</v>
      </c>
      <c r="AL18" s="55">
        <f>+FEE_4_Out!V15</f>
        <v>223.1048278467178</v>
      </c>
      <c r="AM18" s="55">
        <f>+FEE_4_Out!Y15</f>
        <v>13.831051524831544</v>
      </c>
    </row>
    <row r="19" spans="2:39" x14ac:dyDescent="0.25">
      <c r="B19" s="51">
        <f>ITE_LUC_Rates!A7</f>
        <v>140</v>
      </c>
      <c r="C19" s="11" t="str">
        <f>ITE_LUC_Rates!B7</f>
        <v>Manufacturing</v>
      </c>
      <c r="D19" s="52" t="str">
        <f>ITE_LUC_Rates!C7</f>
        <v>1000 GSF</v>
      </c>
      <c r="E19" s="112">
        <f>ITE_LUC_Rates!G7</f>
        <v>3.93</v>
      </c>
      <c r="F19" s="53" t="s">
        <v>73</v>
      </c>
      <c r="G19" s="91">
        <f>ITE_LUC_Rates!Q7</f>
        <v>3853.5</v>
      </c>
      <c r="H19" s="91">
        <f>FEE_1_In!$H16</f>
        <v>3626.371807539992</v>
      </c>
      <c r="I19" s="55">
        <f>+FEE_1_In!S16</f>
        <v>2663.6275604862763</v>
      </c>
      <c r="J19" s="55">
        <f>+FEE_1_In!V16</f>
        <v>905.83317107551943</v>
      </c>
      <c r="K19" s="55">
        <f>+FEE_1_In!Y16</f>
        <v>56.911075978196251</v>
      </c>
      <c r="L19" s="91">
        <f>+FEE_2_In!H16</f>
        <v>4313.2272049776102</v>
      </c>
      <c r="M19" s="55">
        <f>+FEE_2_In!S16</f>
        <v>3576.9034211826097</v>
      </c>
      <c r="N19" s="55">
        <f>+FEE_2_In!V16</f>
        <v>705.82586853721136</v>
      </c>
      <c r="O19" s="55">
        <f>+FEE_2_In!Y16</f>
        <v>30.497915257789366</v>
      </c>
      <c r="P19" s="55">
        <f>+FEE_3_In!H16</f>
        <v>4290.4624760302813</v>
      </c>
      <c r="Q19" s="55">
        <f>+FEE_3_In!S16</f>
        <v>3858.8661585593845</v>
      </c>
      <c r="R19" s="55">
        <f>+FEE_3_In!V16</f>
        <v>413.05208127236932</v>
      </c>
      <c r="S19" s="55">
        <f>+FEE_3_In!Y16</f>
        <v>18.544236198527695</v>
      </c>
      <c r="T19" s="55">
        <f>+FEE_4_In!H16</f>
        <v>4027.4636998721417</v>
      </c>
      <c r="U19" s="55">
        <f>+FEE_4_In!S16</f>
        <v>3351.5943555080157</v>
      </c>
      <c r="V19" s="55">
        <f>+FEE_4_In!V16</f>
        <v>658.09134201660731</v>
      </c>
      <c r="W19" s="55">
        <f>+FEE_4_In!Y16</f>
        <v>17.778002347518697</v>
      </c>
      <c r="X19" s="55">
        <f>FEE_1_In!$H16</f>
        <v>3626.371807539992</v>
      </c>
      <c r="Y19" s="55">
        <f>+FEE_1_Out!S16</f>
        <v>3235.2583017507964</v>
      </c>
      <c r="Z19" s="55">
        <f>+FEE_1_Out!V16</f>
        <v>246.21447812845219</v>
      </c>
      <c r="AA19" s="55">
        <f>+FEE_1_Out!Y16</f>
        <v>45.541829524703282</v>
      </c>
      <c r="AB19" s="55">
        <f>+FEE_2_Out!H16</f>
        <v>3864.890176570218</v>
      </c>
      <c r="AC19" s="55">
        <f>+FEE_2_Out!S16</f>
        <v>3655.4292920955445</v>
      </c>
      <c r="AD19" s="55">
        <f>+FEE_2_Out!V16</f>
        <v>180.13641664467249</v>
      </c>
      <c r="AE19" s="55">
        <f>+FEE_2_Out!Y16</f>
        <v>29.324467830001147</v>
      </c>
      <c r="AF19" s="55">
        <f>+FEE_3_Out!H16</f>
        <v>4160.7803416119523</v>
      </c>
      <c r="AG19" s="55">
        <f>+FEE_3_Out!S16</f>
        <v>4066.2244988354205</v>
      </c>
      <c r="AH19" s="55">
        <f>+FEE_3_Out!V16</f>
        <v>65.864058733035804</v>
      </c>
      <c r="AI19" s="55">
        <f>+FEE_3_Out!Y16</f>
        <v>28.691784043496039</v>
      </c>
      <c r="AJ19" s="55">
        <f>+FEE_4_Out!H16</f>
        <v>4464.3650373519858</v>
      </c>
      <c r="AK19" s="55">
        <f>+FEE_4_Out!S16</f>
        <v>4188.0570237228494</v>
      </c>
      <c r="AL19" s="55">
        <f>+FEE_4_Out!V16</f>
        <v>260.17862713281926</v>
      </c>
      <c r="AM19" s="55">
        <f>+FEE_4_Out!Y16</f>
        <v>16.129386496316904</v>
      </c>
    </row>
    <row r="20" spans="2:39" x14ac:dyDescent="0.25">
      <c r="B20" s="51">
        <f>ITE_LUC_Rates!A8</f>
        <v>150</v>
      </c>
      <c r="C20" s="11" t="str">
        <f>ITE_LUC_Rates!B8</f>
        <v>Warehousing</v>
      </c>
      <c r="D20" s="52" t="str">
        <f>ITE_LUC_Rates!C8</f>
        <v>1000 GSF</v>
      </c>
      <c r="E20" s="112">
        <f>ITE_LUC_Rates!G8</f>
        <v>1.74</v>
      </c>
      <c r="F20" s="53" t="s">
        <v>73</v>
      </c>
      <c r="G20" s="91">
        <f>ITE_LUC_Rates!Q8</f>
        <v>5002.3</v>
      </c>
      <c r="H20" s="91">
        <f>FEE_1_In!$H17</f>
        <v>1605.5691972314467</v>
      </c>
      <c r="I20" s="55">
        <f>+FEE_1_In!S17</f>
        <v>1179.3160191465954</v>
      </c>
      <c r="J20" s="55">
        <f>+FEE_1_In!V17</f>
        <v>401.0559078044285</v>
      </c>
      <c r="K20" s="55">
        <f>+FEE_1_In!Y17</f>
        <v>25.197270280422764</v>
      </c>
      <c r="L20" s="91">
        <f>+FEE_2_In!H17</f>
        <v>1909.6731136542091</v>
      </c>
      <c r="M20" s="55">
        <f>+FEE_2_In!S17</f>
        <v>1583.6671635770333</v>
      </c>
      <c r="N20" s="55">
        <f>+FEE_2_In!V17</f>
        <v>312.50305629891795</v>
      </c>
      <c r="O20" s="55">
        <f>+FEE_2_In!Y17</f>
        <v>13.502893778257883</v>
      </c>
      <c r="P20" s="55">
        <f>+FEE_3_In!H17</f>
        <v>1899.5940733569182</v>
      </c>
      <c r="Q20" s="55">
        <f>+FEE_3_In!S17</f>
        <v>1708.5056274537731</v>
      </c>
      <c r="R20" s="55">
        <f>+FEE_3_In!V17</f>
        <v>182.87802071601081</v>
      </c>
      <c r="S20" s="55">
        <f>+FEE_3_In!Y17</f>
        <v>8.2104251871343994</v>
      </c>
      <c r="T20" s="55">
        <f>+FEE_4_In!H17</f>
        <v>1783.1518671189633</v>
      </c>
      <c r="U20" s="55">
        <f>+FEE_4_In!S17</f>
        <v>1483.9120047287395</v>
      </c>
      <c r="V20" s="55">
        <f>+FEE_4_In!V17</f>
        <v>291.3686857783452</v>
      </c>
      <c r="W20" s="55">
        <f>+FEE_4_In!Y17</f>
        <v>7.8711766118785063</v>
      </c>
      <c r="X20" s="55">
        <f>FEE_1_In!$H17</f>
        <v>1605.5691972314467</v>
      </c>
      <c r="Y20" s="55">
        <f>+FEE_1_Out!S17</f>
        <v>1432.4044389431003</v>
      </c>
      <c r="Z20" s="55">
        <f>+FEE_1_Out!V17</f>
        <v>109.01099031641394</v>
      </c>
      <c r="AA20" s="55">
        <f>+FEE_1_Out!Y17</f>
        <v>20.163558110173973</v>
      </c>
      <c r="AB20" s="55">
        <f>+FEE_2_Out!H17</f>
        <v>1711.1727499318524</v>
      </c>
      <c r="AC20" s="55">
        <f>+FEE_2_Out!S17</f>
        <v>1618.4343430652029</v>
      </c>
      <c r="AD20" s="55">
        <f>+FEE_2_Out!V17</f>
        <v>79.755054697641228</v>
      </c>
      <c r="AE20" s="55">
        <f>+FEE_2_Out!Y17</f>
        <v>12.983352169008144</v>
      </c>
      <c r="AF20" s="55">
        <f>+FEE_3_Out!H17</f>
        <v>1842.1775558281925</v>
      </c>
      <c r="AG20" s="55">
        <f>+FEE_3_Out!S17</f>
        <v>1800.3131368889647</v>
      </c>
      <c r="AH20" s="55">
        <f>+FEE_3_Out!V17</f>
        <v>29.161186309283028</v>
      </c>
      <c r="AI20" s="55">
        <f>+FEE_3_Out!Y17</f>
        <v>12.703232629944811</v>
      </c>
      <c r="AJ20" s="55">
        <f>+FEE_4_Out!H17</f>
        <v>1976.5891005069857</v>
      </c>
      <c r="AK20" s="55">
        <f>+FEE_4_Out!S17</f>
        <v>1854.2542547780552</v>
      </c>
      <c r="AL20" s="55">
        <f>+FEE_4_Out!V17</f>
        <v>115.19359063895814</v>
      </c>
      <c r="AM20" s="55">
        <f>+FEE_4_Out!Y17</f>
        <v>7.141255089972371</v>
      </c>
    </row>
    <row r="21" spans="2:39" x14ac:dyDescent="0.25">
      <c r="B21" s="51">
        <f>ITE_LUC_Rates!A9</f>
        <v>151</v>
      </c>
      <c r="C21" s="11" t="str">
        <f>ITE_LUC_Rates!B9</f>
        <v>Mini-Warehousing</v>
      </c>
      <c r="D21" s="52" t="str">
        <f>ITE_LUC_Rates!C9</f>
        <v>1000 GSF</v>
      </c>
      <c r="E21" s="112">
        <f>ITE_LUC_Rates!G9</f>
        <v>1.51</v>
      </c>
      <c r="F21" s="53" t="s">
        <v>73</v>
      </c>
      <c r="G21" s="91">
        <f>ITE_LUC_Rates!Q9</f>
        <v>2415.4</v>
      </c>
      <c r="H21" s="91">
        <f>FEE_1_In!$H18</f>
        <v>1393.3387861031524</v>
      </c>
      <c r="I21" s="55">
        <f>+FEE_1_In!S18</f>
        <v>1023.4294189145744</v>
      </c>
      <c r="J21" s="55">
        <f>+FEE_1_In!V18</f>
        <v>348.04277056591212</v>
      </c>
      <c r="K21" s="55">
        <f>+FEE_1_In!Y18</f>
        <v>21.866596622665732</v>
      </c>
      <c r="L21" s="91">
        <f>+FEE_2_In!H18</f>
        <v>1657.2450584010669</v>
      </c>
      <c r="M21" s="55">
        <f>+FEE_2_In!S18</f>
        <v>1374.3318488513337</v>
      </c>
      <c r="N21" s="55">
        <f>+FEE_2_In!V18</f>
        <v>271.19518104101508</v>
      </c>
      <c r="O21" s="55">
        <f>+FEE_2_In!Y18</f>
        <v>11.718028508718049</v>
      </c>
      <c r="P21" s="55">
        <f>+FEE_3_In!H18</f>
        <v>1648.4983050396245</v>
      </c>
      <c r="Q21" s="55">
        <f>+FEE_3_In!S18</f>
        <v>1482.6686766983892</v>
      </c>
      <c r="R21" s="55">
        <f>+FEE_3_In!V18</f>
        <v>158.70448924205539</v>
      </c>
      <c r="S21" s="55">
        <f>+FEE_3_In!Y18</f>
        <v>7.1251390991798536</v>
      </c>
      <c r="T21" s="55">
        <f>+FEE_4_In!H18</f>
        <v>1547.447884683698</v>
      </c>
      <c r="U21" s="55">
        <f>+FEE_4_In!S18</f>
        <v>1287.7627167473545</v>
      </c>
      <c r="V21" s="55">
        <f>+FEE_4_In!V18</f>
        <v>252.85443420994326</v>
      </c>
      <c r="W21" s="55">
        <f>+FEE_4_In!Y18</f>
        <v>6.8307337264003136</v>
      </c>
      <c r="X21" s="55">
        <f>FEE_1_In!$H18</f>
        <v>1393.3387861031524</v>
      </c>
      <c r="Y21" s="55">
        <f>+FEE_1_Out!S18</f>
        <v>1243.0636223011963</v>
      </c>
      <c r="Z21" s="55">
        <f>+FEE_1_Out!V18</f>
        <v>94.60149159642819</v>
      </c>
      <c r="AA21" s="55">
        <f>+FEE_1_Out!Y18</f>
        <v>17.498260199059022</v>
      </c>
      <c r="AB21" s="55">
        <f>+FEE_2_Out!H18</f>
        <v>1484.9832485040788</v>
      </c>
      <c r="AC21" s="55">
        <f>+FEE_2_Out!S18</f>
        <v>1404.5033666830209</v>
      </c>
      <c r="AD21" s="55">
        <f>+FEE_2_Out!V18</f>
        <v>69.212719881286375</v>
      </c>
      <c r="AE21" s="55">
        <f>+FEE_2_Out!Y18</f>
        <v>11.267161939771434</v>
      </c>
      <c r="AF21" s="55">
        <f>+FEE_3_Out!H18</f>
        <v>1598.6713271842364</v>
      </c>
      <c r="AG21" s="55">
        <f>+FEE_3_Out!S18</f>
        <v>1562.3407107484695</v>
      </c>
      <c r="AH21" s="55">
        <f>+FEE_3_Out!V18</f>
        <v>25.306546739665158</v>
      </c>
      <c r="AI21" s="55">
        <f>+FEE_3_Out!Y18</f>
        <v>11.024069696101533</v>
      </c>
      <c r="AJ21" s="55">
        <f>+FEE_4_Out!H18</f>
        <v>1715.3158286008902</v>
      </c>
      <c r="AK21" s="55">
        <f>+FEE_4_Out!S18</f>
        <v>1609.1516808706115</v>
      </c>
      <c r="AL21" s="55">
        <f>+FEE_4_Out!V18</f>
        <v>99.966851646452199</v>
      </c>
      <c r="AM21" s="55">
        <f>+FEE_4_Out!Y18</f>
        <v>6.1972960838265978</v>
      </c>
    </row>
    <row r="22" spans="2:39" x14ac:dyDescent="0.25">
      <c r="B22" s="51">
        <f>ITE_LUC_Rates!A10</f>
        <v>160</v>
      </c>
      <c r="C22" s="11" t="str">
        <f>ITE_LUC_Rates!B10</f>
        <v>Data Center</v>
      </c>
      <c r="D22" s="52" t="str">
        <f>ITE_LUC_Rates!C10</f>
        <v>1000 GSF</v>
      </c>
      <c r="E22" s="112">
        <f>ITE_LUC_Rates!G10</f>
        <v>0.99</v>
      </c>
      <c r="F22" s="53" t="s">
        <v>73</v>
      </c>
      <c r="G22" s="91">
        <f>ITE_LUC_Rates!Q10</f>
        <v>0</v>
      </c>
      <c r="H22" s="91">
        <f>FEE_1_In!$H19</f>
        <v>913.51350876961624</v>
      </c>
      <c r="I22" s="55">
        <f>+FEE_1_In!S19</f>
        <v>670.99014882478707</v>
      </c>
      <c r="J22" s="55">
        <f>+FEE_1_In!V19</f>
        <v>228.18698202665755</v>
      </c>
      <c r="K22" s="55">
        <f>+FEE_1_In!Y19</f>
        <v>14.336377918171575</v>
      </c>
      <c r="L22" s="91">
        <f>+FEE_2_In!H19</f>
        <v>1086.5381508722226</v>
      </c>
      <c r="M22" s="55">
        <f>+FEE_2_In!S19</f>
        <v>901.05200686279488</v>
      </c>
      <c r="N22" s="55">
        <f>+FEE_2_In!V19</f>
        <v>177.80346306662574</v>
      </c>
      <c r="O22" s="55">
        <f>+FEE_2_In!Y19</f>
        <v>7.6826809428019001</v>
      </c>
      <c r="P22" s="55">
        <f>+FEE_3_In!H19</f>
        <v>1080.8035244961777</v>
      </c>
      <c r="Q22" s="55">
        <f>+FEE_3_In!S19</f>
        <v>972.08078803404328</v>
      </c>
      <c r="R22" s="55">
        <f>+FEE_3_In!V19</f>
        <v>104.05128764876477</v>
      </c>
      <c r="S22" s="55">
        <f>+FEE_3_In!Y19</f>
        <v>4.6714488133695724</v>
      </c>
      <c r="T22" s="55">
        <f>+FEE_4_In!H19</f>
        <v>1014.5519243952723</v>
      </c>
      <c r="U22" s="55">
        <f>+FEE_4_In!S19</f>
        <v>844.29476131117951</v>
      </c>
      <c r="V22" s="55">
        <f>+FEE_4_In!V19</f>
        <v>165.7787350118171</v>
      </c>
      <c r="W22" s="55">
        <f>+FEE_4_In!Y19</f>
        <v>4.4784280722757019</v>
      </c>
      <c r="X22" s="55">
        <f>FEE_1_In!$H19</f>
        <v>913.51350876961624</v>
      </c>
      <c r="Y22" s="55">
        <f>+FEE_1_Out!S19</f>
        <v>814.98873250210886</v>
      </c>
      <c r="Z22" s="55">
        <f>+FEE_1_Out!V19</f>
        <v>62.023494490373459</v>
      </c>
      <c r="AA22" s="55">
        <f>+FEE_1_Out!Y19</f>
        <v>11.472369269581746</v>
      </c>
      <c r="AB22" s="55">
        <f>+FEE_2_Out!H19</f>
        <v>973.59828875432981</v>
      </c>
      <c r="AC22" s="55">
        <f>+FEE_2_Out!S19</f>
        <v>920.83333312330524</v>
      </c>
      <c r="AD22" s="55">
        <f>+FEE_2_Out!V19</f>
        <v>45.377875948657945</v>
      </c>
      <c r="AE22" s="55">
        <f>+FEE_2_Out!Y19</f>
        <v>7.3870796823667026</v>
      </c>
      <c r="AF22" s="55">
        <f>+FEE_3_Out!H19</f>
        <v>1048.1355059022474</v>
      </c>
      <c r="AG22" s="55">
        <f>+FEE_3_Out!S19</f>
        <v>1024.3160951264799</v>
      </c>
      <c r="AH22" s="55">
        <f>+FEE_3_Out!V19</f>
        <v>16.591709451833445</v>
      </c>
      <c r="AI22" s="55">
        <f>+FEE_3_Out!Y19</f>
        <v>7.2277013239341157</v>
      </c>
      <c r="AJ22" s="55">
        <f>+FEE_4_Out!H19</f>
        <v>1124.6110399436297</v>
      </c>
      <c r="AK22" s="55">
        <f>+FEE_4_Out!S19</f>
        <v>1055.0067311668245</v>
      </c>
      <c r="AL22" s="55">
        <f>+FEE_4_Out!V19</f>
        <v>65.541180880786527</v>
      </c>
      <c r="AM22" s="55">
        <f>+FEE_4_Out!Y19</f>
        <v>4.063127896018762</v>
      </c>
    </row>
    <row r="23" spans="2:39" x14ac:dyDescent="0.25">
      <c r="B23" s="51">
        <f>ITE_LUC_Rates!A11</f>
        <v>170</v>
      </c>
      <c r="C23" s="11" t="str">
        <f>ITE_LUC_Rates!B11</f>
        <v>Utility</v>
      </c>
      <c r="D23" s="52" t="str">
        <f>ITE_LUC_Rates!C11</f>
        <v>1000 GSF</v>
      </c>
      <c r="E23" s="112">
        <f>ITE_LUC_Rates!G11</f>
        <v>13.24</v>
      </c>
      <c r="F23" s="53" t="s">
        <v>73</v>
      </c>
      <c r="G23" s="91">
        <f>ITE_LUC_Rates!Q11</f>
        <v>0</v>
      </c>
      <c r="H23" s="91">
        <f>FEE_1_In!$H20</f>
        <v>12217.089753646182</v>
      </c>
      <c r="I23" s="55">
        <f>+FEE_1_In!S20</f>
        <v>8973.6460307476573</v>
      </c>
      <c r="J23" s="55">
        <f>+FEE_1_In!V20</f>
        <v>3051.712769730249</v>
      </c>
      <c r="K23" s="55">
        <f>+FEE_1_In!Y20</f>
        <v>191.7309531682744</v>
      </c>
      <c r="L23" s="91">
        <f>+FEE_2_In!H20</f>
        <v>14531.075876311341</v>
      </c>
      <c r="M23" s="55">
        <f>+FEE_2_In!S20</f>
        <v>12050.432899862026</v>
      </c>
      <c r="N23" s="55">
        <f>+FEE_2_In!V20</f>
        <v>2377.8968191940653</v>
      </c>
      <c r="O23" s="55">
        <f>+FEE_2_In!Y20</f>
        <v>102.74615725524966</v>
      </c>
      <c r="P23" s="55">
        <f>+FEE_3_In!H20</f>
        <v>14454.382489221607</v>
      </c>
      <c r="Q23" s="55">
        <f>+FEE_3_In!S20</f>
        <v>13000.353165222963</v>
      </c>
      <c r="R23" s="55">
        <f>+FEE_3_In!V20</f>
        <v>1391.5545944137837</v>
      </c>
      <c r="S23" s="55">
        <f>+FEE_3_In!Y20</f>
        <v>62.474729584861755</v>
      </c>
      <c r="T23" s="55">
        <f>+FEE_4_In!H20</f>
        <v>13568.35098888223</v>
      </c>
      <c r="U23" s="55">
        <f>+FEE_4_In!S20</f>
        <v>11291.376403797998</v>
      </c>
      <c r="V23" s="55">
        <f>+FEE_4_In!V20</f>
        <v>2217.081264198443</v>
      </c>
      <c r="W23" s="55">
        <f>+FEE_4_In!Y20</f>
        <v>59.893320885788185</v>
      </c>
      <c r="X23" s="55">
        <f>FEE_1_In!$H20</f>
        <v>12217.089753646182</v>
      </c>
      <c r="Y23" s="55">
        <f>+FEE_1_Out!S20</f>
        <v>10899.445271038308</v>
      </c>
      <c r="Z23" s="55">
        <f>+FEE_1_Out!V20</f>
        <v>829.48592631570148</v>
      </c>
      <c r="AA23" s="55">
        <f>+FEE_1_Out!Y20</f>
        <v>153.4284536659215</v>
      </c>
      <c r="AB23" s="55">
        <f>+FEE_2_Out!H20</f>
        <v>13020.647821320532</v>
      </c>
      <c r="AC23" s="55">
        <f>+FEE_2_Out!S20</f>
        <v>12314.983162174303</v>
      </c>
      <c r="AD23" s="55">
        <f>+FEE_2_Out!V20</f>
        <v>606.87179551538509</v>
      </c>
      <c r="AE23" s="55">
        <f>+FEE_2_Out!Y20</f>
        <v>98.79286363084357</v>
      </c>
      <c r="AF23" s="55">
        <f>+FEE_3_Out!H20</f>
        <v>14017.488988026018</v>
      </c>
      <c r="AG23" s="55">
        <f>+FEE_3_Out!S20</f>
        <v>13698.934443913731</v>
      </c>
      <c r="AH23" s="55">
        <f>+FEE_3_Out!V20</f>
        <v>221.89316479017657</v>
      </c>
      <c r="AI23" s="55">
        <f>+FEE_3_Out!Y20</f>
        <v>96.661379322108786</v>
      </c>
      <c r="AJ23" s="55">
        <f>+FEE_4_Out!H20</f>
        <v>15040.252695811776</v>
      </c>
      <c r="AK23" s="55">
        <f>+FEE_4_Out!S20</f>
        <v>14109.382950150259</v>
      </c>
      <c r="AL23" s="55">
        <f>+FEE_4_Out!V20</f>
        <v>876.53054026425627</v>
      </c>
      <c r="AM23" s="55">
        <f>+FEE_4_Out!Y20</f>
        <v>54.339205397261019</v>
      </c>
    </row>
    <row r="24" spans="2:39" x14ac:dyDescent="0.25">
      <c r="B24" s="92" t="str">
        <f>ITE_LUC_Rates!A12</f>
        <v>Residential</v>
      </c>
      <c r="C24" s="93"/>
      <c r="D24" s="94"/>
      <c r="E24" s="113"/>
      <c r="F24" s="95"/>
      <c r="G24" s="96"/>
      <c r="H24" s="96"/>
      <c r="I24" s="99"/>
      <c r="J24" s="99"/>
      <c r="K24" s="99"/>
      <c r="L24" s="96"/>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row>
    <row r="25" spans="2:39" x14ac:dyDescent="0.25">
      <c r="B25" s="51">
        <f>ITE_LUC_Rates!A13</f>
        <v>210</v>
      </c>
      <c r="C25" s="11" t="str">
        <f>ITE_LUC_Rates!B13</f>
        <v>Single Family Detached</v>
      </c>
      <c r="D25" s="52" t="str">
        <f>ITE_LUC_Rates!C13</f>
        <v>Dwelling unit</v>
      </c>
      <c r="E25" s="112">
        <f>ITE_LUC_Rates!G13</f>
        <v>9.44</v>
      </c>
      <c r="F25" s="53" t="s">
        <v>70</v>
      </c>
      <c r="G25" s="91">
        <f>ITE_LUC_Rates!Q13</f>
        <v>9543.67</v>
      </c>
      <c r="H25" s="91">
        <f>FEE_1_In!$H22</f>
        <v>9651.6577189196796</v>
      </c>
      <c r="I25" s="55">
        <f>+FEE_1_In!S22</f>
        <v>7843.4177405852297</v>
      </c>
      <c r="J25" s="55">
        <f>+FEE_1_In!V22</f>
        <v>1697.7333630332978</v>
      </c>
      <c r="K25" s="55">
        <f>+FEE_1_In!Y22</f>
        <v>110.50661530115225</v>
      </c>
      <c r="L25" s="91">
        <f>+FEE_2_In!H22</f>
        <v>10403.237169188493</v>
      </c>
      <c r="M25" s="55">
        <f>+FEE_2_In!S22</f>
        <v>8623.2698278700536</v>
      </c>
      <c r="N25" s="55">
        <f>+FEE_2_In!V22</f>
        <v>1706.5044396130345</v>
      </c>
      <c r="O25" s="55">
        <f>+FEE_2_In!Y22</f>
        <v>73.462901705404533</v>
      </c>
      <c r="P25" s="55">
        <f>+FEE_3_In!H22</f>
        <v>10238.879044885038</v>
      </c>
      <c r="Q25" s="55">
        <f>+FEE_3_In!S22</f>
        <v>9218.4896179009975</v>
      </c>
      <c r="R25" s="55">
        <f>+FEE_3_In!V22</f>
        <v>975.91493004221707</v>
      </c>
      <c r="S25" s="55">
        <f>+FEE_3_In!Y22</f>
        <v>44.474496941823112</v>
      </c>
      <c r="T25" s="55">
        <f>+FEE_4_In!H22</f>
        <v>9550.048853028884</v>
      </c>
      <c r="U25" s="55">
        <f>+FEE_4_In!S22</f>
        <v>7980.1108238479956</v>
      </c>
      <c r="V25" s="55">
        <f>+FEE_4_In!V22</f>
        <v>1527.5477625441074</v>
      </c>
      <c r="W25" s="55">
        <f>+FEE_4_In!Y22</f>
        <v>42.390266636781412</v>
      </c>
      <c r="X25" s="55">
        <f>FEE_1_In!$H22</f>
        <v>9651.6577189196796</v>
      </c>
      <c r="Y25" s="55">
        <f>+FEE_1_Out!S22</f>
        <v>6395.7794534932646</v>
      </c>
      <c r="Z25" s="55">
        <f>+FEE_1_Out!V22</f>
        <v>843.80543038227972</v>
      </c>
      <c r="AA25" s="55">
        <f>+FEE_1_Out!Y22</f>
        <v>136.53711208930599</v>
      </c>
      <c r="AB25" s="55">
        <f>+FEE_2_Out!H22</f>
        <v>9303.2013255702077</v>
      </c>
      <c r="AC25" s="55">
        <f>+FEE_2_Out!S22</f>
        <v>8799.187086988959</v>
      </c>
      <c r="AD25" s="55">
        <f>+FEE_2_Out!V22</f>
        <v>433.83739163209788</v>
      </c>
      <c r="AE25" s="55">
        <f>+FEE_2_Out!Y22</f>
        <v>70.17684694915144</v>
      </c>
      <c r="AF25" s="55">
        <f>+FEE_3_Out!H22</f>
        <v>9991.7903820213087</v>
      </c>
      <c r="AG25" s="55">
        <f>+FEE_3_Out!S22</f>
        <v>9765.153041384101</v>
      </c>
      <c r="AH25" s="55">
        <f>+FEE_3_Out!V22</f>
        <v>157.63010553404891</v>
      </c>
      <c r="AI25" s="55">
        <f>+FEE_3_Out!Y22</f>
        <v>69.007235103160085</v>
      </c>
      <c r="AJ25" s="55">
        <f>+FEE_4_Out!H22</f>
        <v>10719.564586841283</v>
      </c>
      <c r="AK25" s="55">
        <f>+FEE_4_Out!S22</f>
        <v>10073.363921374925</v>
      </c>
      <c r="AL25" s="55">
        <f>+FEE_4_Out!V22</f>
        <v>607.34970997571668</v>
      </c>
      <c r="AM25" s="55">
        <f>+FEE_4_Out!Y22</f>
        <v>38.850955490641837</v>
      </c>
    </row>
    <row r="26" spans="2:39" x14ac:dyDescent="0.25">
      <c r="B26" s="51">
        <f>ITE_LUC_Rates!A14</f>
        <v>220</v>
      </c>
      <c r="C26" s="11" t="str">
        <f>ITE_LUC_Rates!B14</f>
        <v>Multi-family Housing (Low-Rise)</v>
      </c>
      <c r="D26" s="52" t="str">
        <f>ITE_LUC_Rates!C14</f>
        <v>Dwelling unit</v>
      </c>
      <c r="E26" s="112">
        <f>ITE_LUC_Rates!G14</f>
        <v>7.32</v>
      </c>
      <c r="F26" s="53" t="s">
        <v>70</v>
      </c>
      <c r="G26" s="91">
        <f>ITE_LUC_Rates!Q14</f>
        <v>6701.09</v>
      </c>
      <c r="H26" s="91">
        <f>FEE_1_In!$H23</f>
        <v>7484.1244176368718</v>
      </c>
      <c r="I26" s="55">
        <f>+FEE_1_In!S23</f>
        <v>6081.9722310470224</v>
      </c>
      <c r="J26" s="55">
        <f>+FEE_1_In!V23</f>
        <v>1316.4627348944643</v>
      </c>
      <c r="K26" s="55">
        <f>+FEE_1_In!Y23</f>
        <v>85.689451695385017</v>
      </c>
      <c r="L26" s="91">
        <f>+FEE_2_In!H23</f>
        <v>8066.91695746396</v>
      </c>
      <c r="M26" s="55">
        <f>+FEE_2_In!S23</f>
        <v>6686.6880444924582</v>
      </c>
      <c r="N26" s="55">
        <f>+FEE_2_In!V23</f>
        <v>1323.2640358016329</v>
      </c>
      <c r="O26" s="55">
        <f>+FEE_2_In!Y23</f>
        <v>56.964877169868785</v>
      </c>
      <c r="P26" s="55">
        <f>+FEE_3_In!H23</f>
        <v>7939.4697678557714</v>
      </c>
      <c r="Q26" s="55">
        <f>+FEE_3_In!S23</f>
        <v>7148.2355935418755</v>
      </c>
      <c r="R26" s="55">
        <f>+FEE_3_In!V23</f>
        <v>756.74759405815985</v>
      </c>
      <c r="S26" s="55">
        <f>+FEE_3_In!Y23</f>
        <v>34.486580255735724</v>
      </c>
      <c r="T26" s="55">
        <f>+FEE_4_In!H23</f>
        <v>7405.3344919673145</v>
      </c>
      <c r="U26" s="55">
        <f>+FEE_4_In!S23</f>
        <v>6187.9672913736586</v>
      </c>
      <c r="V26" s="55">
        <f>+FEE_4_In!V23</f>
        <v>1184.4967819727617</v>
      </c>
      <c r="W26" s="55">
        <f>+FEE_4_In!Y23</f>
        <v>32.870418620894064</v>
      </c>
      <c r="X26" s="55">
        <f>FEE_1_In!$H23</f>
        <v>7484.1244176368718</v>
      </c>
      <c r="Y26" s="55">
        <f>+FEE_1_Out!S23</f>
        <v>4959.4391524968969</v>
      </c>
      <c r="Z26" s="55">
        <f>+FEE_1_Out!V23</f>
        <v>654.3067532201577</v>
      </c>
      <c r="AA26" s="55">
        <f>+FEE_1_Out!Y23</f>
        <v>105.87411657772459</v>
      </c>
      <c r="AB26" s="55">
        <f>+FEE_2_Out!H23</f>
        <v>7213.9230617769008</v>
      </c>
      <c r="AC26" s="55">
        <f>+FEE_2_Out!S23</f>
        <v>6823.0984615211009</v>
      </c>
      <c r="AD26" s="55">
        <f>+FEE_2_Out!V23</f>
        <v>336.40780791810988</v>
      </c>
      <c r="AE26" s="55">
        <f>+FEE_2_Out!Y23</f>
        <v>54.416792337689479</v>
      </c>
      <c r="AF26" s="55">
        <f>+FEE_3_Out!H23</f>
        <v>7747.8713555504237</v>
      </c>
      <c r="AG26" s="55">
        <f>+FEE_3_Out!S23</f>
        <v>7572.1313837851303</v>
      </c>
      <c r="AH26" s="55">
        <f>+FEE_3_Out!V23</f>
        <v>122.23012420648709</v>
      </c>
      <c r="AI26" s="55">
        <f>+FEE_3_Out!Y23</f>
        <v>53.509847558806342</v>
      </c>
      <c r="AJ26" s="55">
        <f>+FEE_4_Out!H23</f>
        <v>8312.2047431862502</v>
      </c>
      <c r="AK26" s="55">
        <f>+FEE_4_Out!S23</f>
        <v>7811.1254136085236</v>
      </c>
      <c r="AL26" s="55">
        <f>+FEE_4_Out!V23</f>
        <v>470.95337680320415</v>
      </c>
      <c r="AM26" s="55">
        <f>+FEE_4_Out!Y23</f>
        <v>30.125952774523125</v>
      </c>
    </row>
    <row r="27" spans="2:39" x14ac:dyDescent="0.25">
      <c r="B27" s="116">
        <f>ITE_LUC_Rates!A15</f>
        <v>221</v>
      </c>
      <c r="C27" s="117" t="str">
        <f>ITE_LUC_Rates!B15</f>
        <v>Multi-family Housing (Mid-Rise)</v>
      </c>
      <c r="D27" s="203" t="str">
        <f>ITE_LUC_Rates!C15</f>
        <v>Dwelling unit</v>
      </c>
      <c r="E27" s="204">
        <f>ITE_LUC_Rates!G15</f>
        <v>5.44</v>
      </c>
      <c r="F27" s="118" t="s">
        <v>70</v>
      </c>
      <c r="G27" s="119">
        <f>ITE_LUC_Rates!Q15</f>
        <v>0</v>
      </c>
      <c r="H27" s="91">
        <f>FEE_1_In!$H24</f>
        <v>5561.9722448011717</v>
      </c>
      <c r="I27" s="55">
        <f>+FEE_1_In!S24</f>
        <v>4519.9356471169122</v>
      </c>
      <c r="J27" s="55">
        <f>+FEE_1_In!V24</f>
        <v>978.354819375121</v>
      </c>
      <c r="K27" s="55">
        <f>+FEE_1_In!Y24</f>
        <v>63.681778309138593</v>
      </c>
      <c r="L27" s="91">
        <f>+FEE_2_In!H24</f>
        <v>5995.0858263120135</v>
      </c>
      <c r="M27" s="55">
        <f>+FEE_2_In!S24</f>
        <v>4969.3419347047775</v>
      </c>
      <c r="N27" s="55">
        <f>+FEE_2_In!V24</f>
        <v>983.40933808208786</v>
      </c>
      <c r="O27" s="55">
        <f>+FEE_2_In!Y24</f>
        <v>42.334553525148387</v>
      </c>
      <c r="P27" s="55">
        <f>+FEE_3_In!H24</f>
        <v>5900.3709750184962</v>
      </c>
      <c r="Q27" s="55">
        <f>+FEE_3_In!S24</f>
        <v>5312.3499492988803</v>
      </c>
      <c r="R27" s="55">
        <f>+FEE_3_In!V24</f>
        <v>562.39165460059974</v>
      </c>
      <c r="S27" s="55">
        <f>+FEE_3_In!Y24</f>
        <v>25.62937111901671</v>
      </c>
      <c r="T27" s="55">
        <f>+FEE_4_In!H24</f>
        <v>5503.4179831013917</v>
      </c>
      <c r="U27" s="55">
        <f>+FEE_4_In!S24</f>
        <v>4598.7079323869812</v>
      </c>
      <c r="V27" s="55">
        <f>+FEE_4_In!V24</f>
        <v>880.28176146609587</v>
      </c>
      <c r="W27" s="55">
        <f>+FEE_4_In!Y24</f>
        <v>24.428289248314712</v>
      </c>
      <c r="X27" s="55">
        <f>FEE_1_In!$H24</f>
        <v>5561.9722448011717</v>
      </c>
      <c r="Y27" s="55">
        <f>+FEE_1_Out!S24</f>
        <v>3685.7034138774752</v>
      </c>
      <c r="Z27" s="55">
        <f>+FEE_1_Out!V24</f>
        <v>486.26075649148333</v>
      </c>
      <c r="AA27" s="55">
        <f>+FEE_1_Out!Y24</f>
        <v>78.68240357688822</v>
      </c>
      <c r="AB27" s="55">
        <f>+FEE_2_Out!H24</f>
        <v>5361.1668655828316</v>
      </c>
      <c r="AC27" s="55">
        <f>+FEE_2_Out!S24</f>
        <v>5070.7179823326205</v>
      </c>
      <c r="AD27" s="55">
        <f>+FEE_2_Out!V24</f>
        <v>250.00798839815812</v>
      </c>
      <c r="AE27" s="55">
        <f>+FEE_2_Out!Y24</f>
        <v>40.440894852053376</v>
      </c>
      <c r="AF27" s="55">
        <f>+FEE_3_Out!H24</f>
        <v>5757.9808981139749</v>
      </c>
      <c r="AG27" s="55">
        <f>+FEE_3_Out!S24</f>
        <v>5627.376328933211</v>
      </c>
      <c r="AH27" s="55">
        <f>+FEE_3_Out!V24</f>
        <v>90.83768793487566</v>
      </c>
      <c r="AI27" s="55">
        <f>+FEE_3_Out!Y24</f>
        <v>39.766881245888868</v>
      </c>
      <c r="AJ27" s="55">
        <f>+FEE_4_Out!H24</f>
        <v>6177.3762025865035</v>
      </c>
      <c r="AK27" s="55">
        <f>+FEE_4_Out!S24</f>
        <v>5804.9893784194492</v>
      </c>
      <c r="AL27" s="55">
        <f>+FEE_4_Out!V24</f>
        <v>349.99813795210798</v>
      </c>
      <c r="AM27" s="55">
        <f>+FEE_4_Out!Y24</f>
        <v>22.388686214946141</v>
      </c>
    </row>
    <row r="28" spans="2:39" x14ac:dyDescent="0.25">
      <c r="B28" s="51">
        <f>ITE_LUC_Rates!A16</f>
        <v>222</v>
      </c>
      <c r="C28" s="11" t="str">
        <f>ITE_LUC_Rates!B16</f>
        <v>Multi-family Housing (High-Rise)</v>
      </c>
      <c r="D28" s="52" t="str">
        <f>ITE_LUC_Rates!C16</f>
        <v>Dwelling unit</v>
      </c>
      <c r="E28" s="112">
        <f>ITE_LUC_Rates!G16</f>
        <v>4.45</v>
      </c>
      <c r="F28" s="53" t="s">
        <v>70</v>
      </c>
      <c r="G28" s="91">
        <f>ITE_LUC_Rates!Q16</f>
        <v>4188.18</v>
      </c>
      <c r="H28" s="91">
        <f>FEE_1_In!$H25</f>
        <v>4549.7750899568409</v>
      </c>
      <c r="I28" s="55">
        <f>+FEE_1_In!S25</f>
        <v>3697.3738289835037</v>
      </c>
      <c r="J28" s="55">
        <f>+FEE_1_In!V25</f>
        <v>800.30862981972211</v>
      </c>
      <c r="K28" s="55">
        <f>+FEE_1_In!Y25</f>
        <v>52.092631153615216</v>
      </c>
      <c r="L28" s="91">
        <f>+FEE_2_In!H25</f>
        <v>4904.0683689500847</v>
      </c>
      <c r="M28" s="55">
        <f>+FEE_2_In!S25</f>
        <v>4064.9947811463717</v>
      </c>
      <c r="N28" s="55">
        <f>+FEE_2_In!V25</f>
        <v>804.44330045317849</v>
      </c>
      <c r="O28" s="55">
        <f>+FEE_2_In!Y25</f>
        <v>34.630287350534992</v>
      </c>
      <c r="P28" s="55">
        <f>+FEE_3_In!H25</f>
        <v>4826.5902277265286</v>
      </c>
      <c r="Q28" s="55">
        <f>+FEE_3_In!S25</f>
        <v>4345.5803813198563</v>
      </c>
      <c r="R28" s="55">
        <f>+FEE_3_In!V25</f>
        <v>460.04464392879942</v>
      </c>
      <c r="S28" s="55">
        <f>+FEE_3_In!Y25</f>
        <v>20.965202477872129</v>
      </c>
      <c r="T28" s="55">
        <f>+FEE_4_In!H25</f>
        <v>4501.8768427943369</v>
      </c>
      <c r="U28" s="55">
        <f>+FEE_4_In!S25</f>
        <v>3761.8107167503804</v>
      </c>
      <c r="V28" s="55">
        <f>+FEE_4_In!V25</f>
        <v>720.08342619928817</v>
      </c>
      <c r="W28" s="55">
        <f>+FEE_4_In!Y25</f>
        <v>19.982699844669213</v>
      </c>
      <c r="X28" s="55">
        <f>FEE_1_In!$H25</f>
        <v>4549.7750899568409</v>
      </c>
      <c r="Y28" s="55">
        <f>+FEE_1_Out!S25</f>
        <v>3014.9595940725671</v>
      </c>
      <c r="Z28" s="55">
        <f>+FEE_1_Out!V25</f>
        <v>397.76844970351118</v>
      </c>
      <c r="AA28" s="55">
        <f>+FEE_1_Out!Y25</f>
        <v>64.363363220064826</v>
      </c>
      <c r="AB28" s="55">
        <f>+FEE_2_Out!H25</f>
        <v>4385.5133367359567</v>
      </c>
      <c r="AC28" s="55">
        <f>+FEE_2_Out!S25</f>
        <v>4147.9218789301776</v>
      </c>
      <c r="AD28" s="55">
        <f>+FEE_2_Out!V25</f>
        <v>204.51021109775806</v>
      </c>
      <c r="AE28" s="55">
        <f>+FEE_2_Out!Y25</f>
        <v>33.081246708021609</v>
      </c>
      <c r="AF28" s="55">
        <f>+FEE_3_Out!H25</f>
        <v>4710.1130508469114</v>
      </c>
      <c r="AG28" s="55">
        <f>+FEE_3_Out!S25</f>
        <v>4603.2765926016173</v>
      </c>
      <c r="AH28" s="55">
        <f>+FEE_3_Out!V25</f>
        <v>74.306564579080273</v>
      </c>
      <c r="AI28" s="55">
        <f>+FEE_3_Out!Y25</f>
        <v>32.529893666214242</v>
      </c>
      <c r="AJ28" s="55">
        <f>+FEE_4_Out!H25</f>
        <v>5053.1845774834446</v>
      </c>
      <c r="AK28" s="55">
        <f>+FEE_4_Out!S25</f>
        <v>4748.5666790379682</v>
      </c>
      <c r="AL28" s="55">
        <f>+FEE_4_Out!V25</f>
        <v>286.30362387626479</v>
      </c>
      <c r="AM28" s="55">
        <f>+FEE_4_Out!Y25</f>
        <v>18.314274569211459</v>
      </c>
    </row>
    <row r="29" spans="2:39" x14ac:dyDescent="0.25">
      <c r="B29" s="51">
        <f>ITE_LUC_Rates!A17</f>
        <v>230</v>
      </c>
      <c r="C29" s="11" t="str">
        <f>ITE_LUC_Rates!B17</f>
        <v>Low Rise Residential w/ 1st Commercial (up to 25ksf)</v>
      </c>
      <c r="D29" s="52" t="str">
        <f>ITE_LUC_Rates!C17</f>
        <v>Dwelling unit</v>
      </c>
      <c r="E29" s="112">
        <f>ITE_LUC_Rates!G17</f>
        <v>5.86</v>
      </c>
      <c r="F29" s="53" t="s">
        <v>70</v>
      </c>
      <c r="G29" s="91">
        <f>ITE_LUC_Rates!Q17</f>
        <v>5843.27</v>
      </c>
      <c r="H29" s="91">
        <f>FEE_1_In!$H26</f>
        <v>5991.3892195836161</v>
      </c>
      <c r="I29" s="55">
        <f>+FEE_1_In!S26</f>
        <v>4868.901266931086</v>
      </c>
      <c r="J29" s="55">
        <f>+FEE_1_In!V26</f>
        <v>1053.8895664592296</v>
      </c>
      <c r="K29" s="55">
        <f>+FEE_1_In!Y26</f>
        <v>68.598386193300044</v>
      </c>
      <c r="L29" s="91">
        <f>+FEE_2_In!H26</f>
        <v>6457.9417173140455</v>
      </c>
      <c r="M29" s="55">
        <f>+FEE_2_In!S26</f>
        <v>5353.0043634871327</v>
      </c>
      <c r="N29" s="55">
        <f>+FEE_2_In!V26</f>
        <v>1059.3343237428371</v>
      </c>
      <c r="O29" s="55">
        <f>+FEE_2_In!Y26</f>
        <v>45.603030084075286</v>
      </c>
      <c r="P29" s="55">
        <f>+FEE_3_In!H26</f>
        <v>6355.9143223544843</v>
      </c>
      <c r="Q29" s="55">
        <f>+FEE_3_In!S26</f>
        <v>5722.494614502104</v>
      </c>
      <c r="R29" s="55">
        <f>+FEE_3_In!V26</f>
        <v>605.81159852196959</v>
      </c>
      <c r="S29" s="55">
        <f>+FEE_3_In!Y26</f>
        <v>27.608109330411388</v>
      </c>
      <c r="T29" s="55">
        <f>+FEE_4_In!H26</f>
        <v>5928.3142244437795</v>
      </c>
      <c r="U29" s="55">
        <f>+FEE_4_In!S26</f>
        <v>4953.7552359903884</v>
      </c>
      <c r="V29" s="55">
        <f>+FEE_4_In!V26</f>
        <v>948.24469157928729</v>
      </c>
      <c r="W29" s="55">
        <f>+FEE_4_In!Y26</f>
        <v>26.314296874103722</v>
      </c>
      <c r="X29" s="55">
        <f>FEE_1_In!$H26</f>
        <v>5991.3892195836161</v>
      </c>
      <c r="Y29" s="55">
        <f>+FEE_1_Out!S26</f>
        <v>3970.2613980371334</v>
      </c>
      <c r="Z29" s="55">
        <f>+FEE_1_Out!V26</f>
        <v>523.80294725001704</v>
      </c>
      <c r="AA29" s="55">
        <f>+FEE_1_Out!Y26</f>
        <v>84.757147970692088</v>
      </c>
      <c r="AB29" s="55">
        <f>+FEE_2_Out!H26</f>
        <v>5775.0804838815075</v>
      </c>
      <c r="AC29" s="55">
        <f>+FEE_2_Out!S26</f>
        <v>5462.2072383215373</v>
      </c>
      <c r="AD29" s="55">
        <f>+FEE_2_Out!V26</f>
        <v>269.31007573772183</v>
      </c>
      <c r="AE29" s="55">
        <f>+FEE_2_Out!Y26</f>
        <v>43.563169822248682</v>
      </c>
      <c r="AF29" s="55">
        <f>+FEE_3_Out!H26</f>
        <v>6202.5308939242459</v>
      </c>
      <c r="AG29" s="55">
        <f>+FEE_3_Out!S26</f>
        <v>6061.8428837405554</v>
      </c>
      <c r="AH29" s="55">
        <f>+FEE_3_Out!V26</f>
        <v>97.85089178278885</v>
      </c>
      <c r="AI29" s="55">
        <f>+FEE_3_Out!Y26</f>
        <v>42.837118400902341</v>
      </c>
      <c r="AJ29" s="55">
        <f>+FEE_4_Out!H26</f>
        <v>6654.3059829332542</v>
      </c>
      <c r="AK29" s="55">
        <f>+FEE_4_Out!S26</f>
        <v>6253.1687054297736</v>
      </c>
      <c r="AL29" s="55">
        <f>+FEE_4_Out!V26</f>
        <v>377.02005301458695</v>
      </c>
      <c r="AM29" s="55">
        <f>+FEE_4_Out!Y26</f>
        <v>24.117224488894195</v>
      </c>
    </row>
    <row r="30" spans="2:39" x14ac:dyDescent="0.25">
      <c r="B30" s="116">
        <f>ITE_LUC_Rates!A18</f>
        <v>231</v>
      </c>
      <c r="C30" s="117" t="str">
        <f>ITE_LUC_Rates!B18</f>
        <v>Mid Rise Residential w/ 1st Commercial</v>
      </c>
      <c r="D30" s="203" t="str">
        <f>ITE_LUC_Rates!C18</f>
        <v>Dwelling unit</v>
      </c>
      <c r="E30" s="204">
        <f>ITE_LUC_Rates!G18</f>
        <v>3.44</v>
      </c>
      <c r="F30" s="118" t="s">
        <v>70</v>
      </c>
      <c r="G30" s="119">
        <f>ITE_LUC_Rates!Q18</f>
        <v>0</v>
      </c>
      <c r="H30" s="91">
        <f>FEE_1_In!$H27</f>
        <v>3517.1295077419172</v>
      </c>
      <c r="I30" s="55">
        <f>+FEE_1_In!S27</f>
        <v>2858.1946003827534</v>
      </c>
      <c r="J30" s="55">
        <f>+FEE_1_In!V27</f>
        <v>618.66554754603226</v>
      </c>
      <c r="K30" s="55">
        <f>+FEE_1_In!Y27</f>
        <v>40.269359813131757</v>
      </c>
      <c r="L30" s="91">
        <f>+FEE_2_In!H27</f>
        <v>3791.0101548737725</v>
      </c>
      <c r="M30" s="55">
        <f>+FEE_2_In!S27</f>
        <v>3142.377988122138</v>
      </c>
      <c r="N30" s="55">
        <f>+FEE_2_In!V27</f>
        <v>621.86178731661425</v>
      </c>
      <c r="O30" s="55">
        <f>+FEE_2_In!Y27</f>
        <v>26.770379435020303</v>
      </c>
      <c r="P30" s="55">
        <f>+FEE_3_In!H27</f>
        <v>3731.1169400852264</v>
      </c>
      <c r="Q30" s="55">
        <f>+FEE_3_In!S27</f>
        <v>3359.2801149978218</v>
      </c>
      <c r="R30" s="55">
        <f>+FEE_3_In!V27</f>
        <v>355.63001687979096</v>
      </c>
      <c r="S30" s="55">
        <f>+FEE_3_In!Y27</f>
        <v>16.206808207613509</v>
      </c>
      <c r="T30" s="55">
        <f>+FEE_4_In!H27</f>
        <v>3480.1025481376446</v>
      </c>
      <c r="U30" s="55">
        <f>+FEE_4_In!S27</f>
        <v>2908.006486656473</v>
      </c>
      <c r="V30" s="55">
        <f>+FEE_4_In!V27</f>
        <v>556.64876092709005</v>
      </c>
      <c r="W30" s="55">
        <f>+FEE_4_In!Y27</f>
        <v>15.447300554081362</v>
      </c>
      <c r="X30" s="55">
        <f>FEE_1_In!$H27</f>
        <v>3517.1295077419172</v>
      </c>
      <c r="Y30" s="55">
        <f>+FEE_1_Out!S27</f>
        <v>2330.6653940695796</v>
      </c>
      <c r="Z30" s="55">
        <f>+FEE_1_Out!V27</f>
        <v>307.48841954608503</v>
      </c>
      <c r="AA30" s="55">
        <f>+FEE_1_Out!Y27</f>
        <v>49.755049320679319</v>
      </c>
      <c r="AB30" s="55">
        <f>+FEE_2_Out!H27</f>
        <v>3390.1496355891445</v>
      </c>
      <c r="AC30" s="55">
        <f>+FEE_2_Out!S27</f>
        <v>3206.4834300044517</v>
      </c>
      <c r="AD30" s="55">
        <f>+FEE_2_Out!V27</f>
        <v>158.09328678118825</v>
      </c>
      <c r="AE30" s="55">
        <f>+FEE_2_Out!Y27</f>
        <v>25.572918803504344</v>
      </c>
      <c r="AF30" s="55">
        <f>+FEE_3_Out!H27</f>
        <v>3641.076156160309</v>
      </c>
      <c r="AG30" s="55">
        <f>+FEE_3_Out!S27</f>
        <v>3558.4879727077664</v>
      </c>
      <c r="AH30" s="55">
        <f>+FEE_3_Out!V27</f>
        <v>57.441479135289022</v>
      </c>
      <c r="AI30" s="55">
        <f>+FEE_3_Out!Y27</f>
        <v>25.146704317253253</v>
      </c>
      <c r="AJ30" s="55">
        <f>+FEE_4_Out!H27</f>
        <v>3906.2820104591119</v>
      </c>
      <c r="AK30" s="55">
        <f>+FEE_4_Out!S27</f>
        <v>3670.80210694171</v>
      </c>
      <c r="AL30" s="55">
        <f>+FEE_4_Out!V27</f>
        <v>221.32235194030358</v>
      </c>
      <c r="AM30" s="55">
        <f>+FEE_4_Out!Y27</f>
        <v>14.157551577098296</v>
      </c>
    </row>
    <row r="31" spans="2:39" x14ac:dyDescent="0.25">
      <c r="B31" s="51">
        <f>ITE_LUC_Rates!A19</f>
        <v>240</v>
      </c>
      <c r="C31" s="11" t="str">
        <f>ITE_LUC_Rates!B19</f>
        <v>Mobile Home Park</v>
      </c>
      <c r="D31" s="52" t="str">
        <f>ITE_LUC_Rates!C19</f>
        <v>Dwelling unit</v>
      </c>
      <c r="E31" s="112">
        <f>ITE_LUC_Rates!G19</f>
        <v>5</v>
      </c>
      <c r="F31" s="53" t="s">
        <v>70</v>
      </c>
      <c r="G31" s="91">
        <f>ITE_LUC_Rates!Q19</f>
        <v>4975.3599999999997</v>
      </c>
      <c r="H31" s="91">
        <f>FEE_1_In!$H28</f>
        <v>5112.1068426481361</v>
      </c>
      <c r="I31" s="55">
        <f>+FEE_1_In!S28</f>
        <v>4154.3526168353974</v>
      </c>
      <c r="J31" s="55">
        <f>+FEE_1_In!V28</f>
        <v>899.22317957272139</v>
      </c>
      <c r="K31" s="55">
        <f>+FEE_1_In!Y28</f>
        <v>58.531046240017091</v>
      </c>
      <c r="L31" s="91">
        <f>+FEE_2_In!H28</f>
        <v>5510.1891785956004</v>
      </c>
      <c r="M31" s="55">
        <f>+FEE_2_In!S28</f>
        <v>4567.4098664565972</v>
      </c>
      <c r="N31" s="55">
        <f>+FEE_2_In!V28</f>
        <v>903.86887691368372</v>
      </c>
      <c r="O31" s="55">
        <f>+FEE_2_In!Y28</f>
        <v>38.910435225320214</v>
      </c>
      <c r="P31" s="55">
        <f>+FEE_3_In!H28</f>
        <v>5423.1350873331785</v>
      </c>
      <c r="Q31" s="55">
        <f>+FEE_3_In!S28</f>
        <v>4882.6745857526485</v>
      </c>
      <c r="R31" s="55">
        <f>+FEE_3_In!V28</f>
        <v>516.9040943020218</v>
      </c>
      <c r="S31" s="55">
        <f>+FEE_3_In!Y28</f>
        <v>23.556407278508004</v>
      </c>
      <c r="T31" s="55">
        <f>+FEE_4_In!H28</f>
        <v>5058.2885874093681</v>
      </c>
      <c r="U31" s="55">
        <f>+FEE_4_In!S28</f>
        <v>4226.7536143262696</v>
      </c>
      <c r="V31" s="55">
        <f>+FEE_4_In!V28</f>
        <v>809.08250134751472</v>
      </c>
      <c r="W31" s="55">
        <f>+FEE_4_In!Y28</f>
        <v>22.452471735583376</v>
      </c>
      <c r="X31" s="55">
        <f>FEE_1_In!$H28</f>
        <v>5112.1068426481361</v>
      </c>
      <c r="Y31" s="55">
        <f>+FEE_1_Out!S28</f>
        <v>3387.5950495197385</v>
      </c>
      <c r="Z31" s="55">
        <f>+FEE_1_Out!V28</f>
        <v>446.93084236349574</v>
      </c>
      <c r="AA31" s="55">
        <f>+FEE_1_Out!Y28</f>
        <v>72.318385640522266</v>
      </c>
      <c r="AB31" s="55">
        <f>+FEE_2_Out!H28</f>
        <v>4927.5430749842217</v>
      </c>
      <c r="AC31" s="55">
        <f>+FEE_2_Out!S28</f>
        <v>4660.586380820424</v>
      </c>
      <c r="AD31" s="55">
        <f>+FEE_2_Out!V28</f>
        <v>229.78675404242477</v>
      </c>
      <c r="AE31" s="55">
        <f>+FEE_2_Out!Y28</f>
        <v>37.169940121372591</v>
      </c>
      <c r="AF31" s="55">
        <f>+FEE_3_Out!H28</f>
        <v>5292.2618548841701</v>
      </c>
      <c r="AG31" s="55">
        <f>+FEE_3_Out!S28</f>
        <v>5172.2208905636144</v>
      </c>
      <c r="AH31" s="55">
        <f>+FEE_3_Out!V28</f>
        <v>83.490521998966585</v>
      </c>
      <c r="AI31" s="55">
        <f>+FEE_3_Out!Y28</f>
        <v>36.550442321589031</v>
      </c>
      <c r="AJ31" s="55">
        <f>+FEE_4_Out!H28</f>
        <v>5677.7354803184762</v>
      </c>
      <c r="AK31" s="55">
        <f>+FEE_4_Out!S28</f>
        <v>5335.4681786943456</v>
      </c>
      <c r="AL31" s="55">
        <f>+FEE_4_Out!V28</f>
        <v>321.68946502951104</v>
      </c>
      <c r="AM31" s="55">
        <f>+FEE_4_Out!Y28</f>
        <v>20.577836594619615</v>
      </c>
    </row>
    <row r="32" spans="2:39" x14ac:dyDescent="0.25">
      <c r="B32" s="51">
        <f>ITE_LUC_Rates!A20</f>
        <v>251</v>
      </c>
      <c r="C32" s="11" t="str">
        <f>ITE_LUC_Rates!B20</f>
        <v>Senior Adult Housing - Single-Family</v>
      </c>
      <c r="D32" s="52" t="str">
        <f>ITE_LUC_Rates!C20</f>
        <v>Dwelling unit</v>
      </c>
      <c r="E32" s="112">
        <f>ITE_LUC_Rates!G20</f>
        <v>4.2699999999999996</v>
      </c>
      <c r="F32" s="53" t="s">
        <v>70</v>
      </c>
      <c r="G32" s="91">
        <f>ITE_LUC_Rates!Q20</f>
        <v>3670.12</v>
      </c>
      <c r="H32" s="91">
        <f>FEE_1_In!$H29</f>
        <v>4365.7392436215077</v>
      </c>
      <c r="I32" s="55">
        <f>+FEE_1_In!S29</f>
        <v>3547.8171347774291</v>
      </c>
      <c r="J32" s="55">
        <f>+FEE_1_In!V29</f>
        <v>767.93659535510403</v>
      </c>
      <c r="K32" s="55">
        <f>+FEE_1_In!Y29</f>
        <v>49.985513488974597</v>
      </c>
      <c r="L32" s="91">
        <f>+FEE_2_In!H29</f>
        <v>4705.7015585206427</v>
      </c>
      <c r="M32" s="55">
        <f>+FEE_2_In!S29</f>
        <v>3900.5680259539336</v>
      </c>
      <c r="N32" s="55">
        <f>+FEE_2_In!V29</f>
        <v>771.90402088428573</v>
      </c>
      <c r="O32" s="55">
        <f>+FEE_2_In!Y29</f>
        <v>33.22951168242345</v>
      </c>
      <c r="P32" s="55">
        <f>+FEE_3_In!H29</f>
        <v>4631.3573645825327</v>
      </c>
      <c r="Q32" s="55">
        <f>+FEE_3_In!S29</f>
        <v>4169.8040962327605</v>
      </c>
      <c r="R32" s="55">
        <f>+FEE_3_In!V29</f>
        <v>441.43609653392656</v>
      </c>
      <c r="S32" s="55">
        <f>+FEE_3_In!Y29</f>
        <v>20.117171815845836</v>
      </c>
      <c r="T32" s="55">
        <f>+FEE_4_In!H29</f>
        <v>4319.7784536475992</v>
      </c>
      <c r="U32" s="55">
        <f>+FEE_4_In!S29</f>
        <v>3609.6475866346336</v>
      </c>
      <c r="V32" s="55">
        <f>+FEE_4_In!V29</f>
        <v>690.95645615077751</v>
      </c>
      <c r="W32" s="55">
        <f>+FEE_4_In!Y29</f>
        <v>19.174410862188203</v>
      </c>
      <c r="X32" s="55">
        <f>FEE_1_In!$H29</f>
        <v>4365.7392436215077</v>
      </c>
      <c r="Y32" s="55">
        <f>+FEE_1_Out!S29</f>
        <v>2893.0061722898563</v>
      </c>
      <c r="Z32" s="55">
        <f>+FEE_1_Out!V29</f>
        <v>381.67893937842535</v>
      </c>
      <c r="AA32" s="55">
        <f>+FEE_1_Out!Y29</f>
        <v>61.759901337006006</v>
      </c>
      <c r="AB32" s="55">
        <f>+FEE_2_Out!H29</f>
        <v>4208.121786036525</v>
      </c>
      <c r="AC32" s="55">
        <f>+FEE_2_Out!S29</f>
        <v>3980.1407692206417</v>
      </c>
      <c r="AD32" s="55">
        <f>+FEE_2_Out!V29</f>
        <v>196.23788795223078</v>
      </c>
      <c r="AE32" s="55">
        <f>+FEE_2_Out!Y29</f>
        <v>31.743128863652192</v>
      </c>
      <c r="AF32" s="55">
        <f>+FEE_3_Out!H29</f>
        <v>4519.5916240710794</v>
      </c>
      <c r="AG32" s="55">
        <f>+FEE_3_Out!S29</f>
        <v>4417.0766405413251</v>
      </c>
      <c r="AH32" s="55">
        <f>+FEE_3_Out!V29</f>
        <v>71.300905787117458</v>
      </c>
      <c r="AI32" s="55">
        <f>+FEE_3_Out!Y29</f>
        <v>31.214077742637027</v>
      </c>
      <c r="AJ32" s="55">
        <f>+FEE_4_Out!H29</f>
        <v>4848.7861001919791</v>
      </c>
      <c r="AK32" s="55">
        <f>+FEE_4_Out!S29</f>
        <v>4556.4898246049715</v>
      </c>
      <c r="AL32" s="55">
        <f>+FEE_4_Out!V29</f>
        <v>274.72280313520235</v>
      </c>
      <c r="AM32" s="55">
        <f>+FEE_4_Out!Y29</f>
        <v>17.573472451805152</v>
      </c>
    </row>
    <row r="33" spans="2:39" x14ac:dyDescent="0.25">
      <c r="B33" s="51">
        <f>ITE_LUC_Rates!A21</f>
        <v>252</v>
      </c>
      <c r="C33" s="11" t="str">
        <f>ITE_LUC_Rates!B21</f>
        <v>Senior Adult Housing - Multifamily</v>
      </c>
      <c r="D33" s="52" t="str">
        <f>ITE_LUC_Rates!C21</f>
        <v>Dwelling unit</v>
      </c>
      <c r="E33" s="112">
        <f>ITE_LUC_Rates!G21</f>
        <v>3.7</v>
      </c>
      <c r="F33" s="53" t="s">
        <v>70</v>
      </c>
      <c r="G33" s="91">
        <f>ITE_LUC_Rates!Q21</f>
        <v>3429.6</v>
      </c>
      <c r="H33" s="91">
        <f>FEE_1_In!$H30</f>
        <v>3782.9590635596205</v>
      </c>
      <c r="I33" s="55">
        <f>+FEE_1_In!S30</f>
        <v>3074.220936458194</v>
      </c>
      <c r="J33" s="55">
        <f>+FEE_1_In!V30</f>
        <v>665.42515288381389</v>
      </c>
      <c r="K33" s="55">
        <f>+FEE_1_In!Y30</f>
        <v>43.312974217612648</v>
      </c>
      <c r="L33" s="91">
        <f>+FEE_2_In!H30</f>
        <v>4077.5399921607445</v>
      </c>
      <c r="M33" s="55">
        <f>+FEE_2_In!S30</f>
        <v>3379.883301177882</v>
      </c>
      <c r="N33" s="55">
        <f>+FEE_2_In!V30</f>
        <v>668.86296891612585</v>
      </c>
      <c r="O33" s="55">
        <f>+FEE_2_In!Y30</f>
        <v>28.793722066736951</v>
      </c>
      <c r="P33" s="55">
        <f>+FEE_3_In!H30</f>
        <v>4013.1199646265518</v>
      </c>
      <c r="Q33" s="55">
        <f>+FEE_3_In!S30</f>
        <v>3613.1791934569596</v>
      </c>
      <c r="R33" s="55">
        <f>+FEE_3_In!V30</f>
        <v>382.50902978349615</v>
      </c>
      <c r="S33" s="55">
        <f>+FEE_3_In!Y30</f>
        <v>17.431741386095926</v>
      </c>
      <c r="T33" s="55">
        <f>+FEE_4_In!H30</f>
        <v>3743.1335546829323</v>
      </c>
      <c r="U33" s="55">
        <f>+FEE_4_In!S30</f>
        <v>3127.7976746014397</v>
      </c>
      <c r="V33" s="55">
        <f>+FEE_4_In!V30</f>
        <v>598.72105099716089</v>
      </c>
      <c r="W33" s="55">
        <f>+FEE_4_In!Y30</f>
        <v>16.614829084331699</v>
      </c>
      <c r="X33" s="55">
        <f>FEE_1_In!$H30</f>
        <v>3782.9590635596205</v>
      </c>
      <c r="Y33" s="55">
        <f>+FEE_1_Out!S30</f>
        <v>2506.8203366446064</v>
      </c>
      <c r="Z33" s="55">
        <f>+FEE_1_Out!V30</f>
        <v>330.72882334898679</v>
      </c>
      <c r="AA33" s="55">
        <f>+FEE_1_Out!Y30</f>
        <v>53.515605373986475</v>
      </c>
      <c r="AB33" s="55">
        <f>+FEE_2_Out!H30</f>
        <v>3646.3818754883237</v>
      </c>
      <c r="AC33" s="55">
        <f>+FEE_2_Out!S30</f>
        <v>3448.8339218071133</v>
      </c>
      <c r="AD33" s="55">
        <f>+FEE_2_Out!V30</f>
        <v>170.04219799139432</v>
      </c>
      <c r="AE33" s="55">
        <f>+FEE_2_Out!Y30</f>
        <v>27.505755689815718</v>
      </c>
      <c r="AF33" s="55">
        <f>+FEE_3_Out!H30</f>
        <v>3916.2737726142859</v>
      </c>
      <c r="AG33" s="55">
        <f>+FEE_3_Out!S30</f>
        <v>3827.4434590170745</v>
      </c>
      <c r="AH33" s="55">
        <f>+FEE_3_Out!V30</f>
        <v>61.782986279235281</v>
      </c>
      <c r="AI33" s="55">
        <f>+FEE_3_Out!Y30</f>
        <v>27.047327317975881</v>
      </c>
      <c r="AJ33" s="55">
        <f>+FEE_4_Out!H30</f>
        <v>4201.5242554356728</v>
      </c>
      <c r="AK33" s="55">
        <f>+FEE_4_Out!S30</f>
        <v>3948.2464522338164</v>
      </c>
      <c r="AL33" s="55">
        <f>+FEE_4_Out!V30</f>
        <v>238.05020412183814</v>
      </c>
      <c r="AM33" s="55">
        <f>+FEE_4_Out!Y30</f>
        <v>15.227599080018516</v>
      </c>
    </row>
    <row r="34" spans="2:39" x14ac:dyDescent="0.25">
      <c r="B34" s="51">
        <f>ITE_LUC_Rates!A22</f>
        <v>253</v>
      </c>
      <c r="C34" s="11" t="str">
        <f>ITE_LUC_Rates!B22</f>
        <v>Congregate Care Facility</v>
      </c>
      <c r="D34" s="52" t="str">
        <f>ITE_LUC_Rates!C22</f>
        <v>Dwelling unit</v>
      </c>
      <c r="E34" s="112">
        <f>ITE_LUC_Rates!G22</f>
        <v>2.02</v>
      </c>
      <c r="F34" s="53" t="s">
        <v>70</v>
      </c>
      <c r="G34" s="91">
        <f>ITE_LUC_Rates!Q22</f>
        <v>2050.3000000000002</v>
      </c>
      <c r="H34" s="91">
        <f>FEE_1_In!$H31</f>
        <v>687.99777931931317</v>
      </c>
      <c r="I34" s="55">
        <f>+FEE_1_In!S31</f>
        <v>559.10125959174104</v>
      </c>
      <c r="J34" s="55">
        <f>+FEE_1_In!V31</f>
        <v>121.0192919868648</v>
      </c>
      <c r="K34" s="55">
        <f>+FEE_1_In!Y31</f>
        <v>7.8772277407073563</v>
      </c>
      <c r="L34" s="91">
        <f>+FEE_2_In!H31</f>
        <v>741.57251309311414</v>
      </c>
      <c r="M34" s="55">
        <f>+FEE_2_In!S31</f>
        <v>614.69134783096058</v>
      </c>
      <c r="N34" s="55">
        <f>+FEE_2_In!V31</f>
        <v>121.64451942290091</v>
      </c>
      <c r="O34" s="55">
        <f>+FEE_2_In!Y31</f>
        <v>5.2366458392526338</v>
      </c>
      <c r="P34" s="55">
        <f>+FEE_3_In!H31</f>
        <v>729.8565957007886</v>
      </c>
      <c r="Q34" s="55">
        <f>+FEE_3_In!S31</f>
        <v>657.12031761772118</v>
      </c>
      <c r="R34" s="55">
        <f>+FEE_3_In!V31</f>
        <v>69.566008682367737</v>
      </c>
      <c r="S34" s="55">
        <f>+FEE_3_In!Y31</f>
        <v>3.1702694006996754</v>
      </c>
      <c r="T34" s="55">
        <f>+FEE_4_In!H31</f>
        <v>680.75480861646827</v>
      </c>
      <c r="U34" s="55">
        <f>+FEE_4_In!S31</f>
        <v>568.8451336983353</v>
      </c>
      <c r="V34" s="55">
        <f>+FEE_4_In!V31</f>
        <v>108.88797541736336</v>
      </c>
      <c r="W34" s="55">
        <f>+FEE_4_In!Y31</f>
        <v>3.0216995007696545</v>
      </c>
      <c r="X34" s="55">
        <f>FEE_1_In!$H31</f>
        <v>687.99777931931317</v>
      </c>
      <c r="Y34" s="55">
        <f>+FEE_1_Out!S31</f>
        <v>455.90946023643124</v>
      </c>
      <c r="Z34" s="55">
        <f>+FEE_1_Out!V31</f>
        <v>60.148865530383297</v>
      </c>
      <c r="AA34" s="55">
        <f>+FEE_1_Out!Y31</f>
        <v>9.7327560350564504</v>
      </c>
      <c r="AB34" s="55">
        <f>+FEE_2_Out!H31</f>
        <v>663.15881053324551</v>
      </c>
      <c r="AC34" s="55">
        <f>+FEE_2_Out!S31</f>
        <v>627.23123342807366</v>
      </c>
      <c r="AD34" s="55">
        <f>+FEE_2_Out!V31</f>
        <v>30.925170651614824</v>
      </c>
      <c r="AE34" s="55">
        <f>+FEE_2_Out!Y31</f>
        <v>5.0024064535570485</v>
      </c>
      <c r="AF34" s="55">
        <f>+FEE_3_Out!H31</f>
        <v>712.2434087959125</v>
      </c>
      <c r="AG34" s="55">
        <f>+FEE_3_Out!S31</f>
        <v>696.08805065846207</v>
      </c>
      <c r="AH34" s="55">
        <f>+FEE_3_Out!V31</f>
        <v>11.236324962986094</v>
      </c>
      <c r="AI34" s="55">
        <f>+FEE_3_Out!Y31</f>
        <v>4.9190331744642535</v>
      </c>
      <c r="AJ34" s="55">
        <f>+FEE_4_Out!H31</f>
        <v>764.12123655813286</v>
      </c>
      <c r="AK34" s="55">
        <f>+FEE_4_Out!S31</f>
        <v>718.0582040943915</v>
      </c>
      <c r="AL34" s="55">
        <f>+FEE_4_Out!V31</f>
        <v>43.293625188802594</v>
      </c>
      <c r="AM34" s="55">
        <f>+FEE_4_Out!Y31</f>
        <v>2.7694072749387657</v>
      </c>
    </row>
    <row r="35" spans="2:39" x14ac:dyDescent="0.25">
      <c r="B35" s="51">
        <f>ITE_LUC_Rates!A23</f>
        <v>254</v>
      </c>
      <c r="C35" s="11" t="str">
        <f>ITE_LUC_Rates!B23</f>
        <v>Assisted Living Facility</v>
      </c>
      <c r="D35" s="52" t="str">
        <f>ITE_LUC_Rates!C23</f>
        <v>Bed</v>
      </c>
      <c r="E35" s="112">
        <f>ITE_LUC_Rates!G23</f>
        <v>2.6</v>
      </c>
      <c r="F35" s="53" t="s">
        <v>70</v>
      </c>
      <c r="G35" s="91">
        <f>ITE_LUC_Rates!Q23</f>
        <v>2701.29</v>
      </c>
      <c r="H35" s="91">
        <f>FEE_1_In!$H32</f>
        <v>885.54169615357137</v>
      </c>
      <c r="I35" s="55">
        <f>+FEE_1_In!S32</f>
        <v>719.63528462303293</v>
      </c>
      <c r="J35" s="55">
        <f>+FEE_1_In!V32</f>
        <v>155.76740552764772</v>
      </c>
      <c r="K35" s="55">
        <f>+FEE_1_In!Y32</f>
        <v>10.139006002890657</v>
      </c>
      <c r="L35" s="91">
        <f>+FEE_2_In!H32</f>
        <v>954.49927427826583</v>
      </c>
      <c r="M35" s="55">
        <f>+FEE_2_In!S32</f>
        <v>791.18688334678109</v>
      </c>
      <c r="N35" s="55">
        <f>+FEE_2_In!V32</f>
        <v>156.57215371264473</v>
      </c>
      <c r="O35" s="55">
        <f>+FEE_2_In!Y32</f>
        <v>6.7402372188400239</v>
      </c>
      <c r="P35" s="55">
        <f>+FEE_3_In!H32</f>
        <v>939.41938060497523</v>
      </c>
      <c r="Q35" s="55">
        <f>+FEE_3_In!S32</f>
        <v>845.79842861686859</v>
      </c>
      <c r="R35" s="55">
        <f>+FEE_3_In!V32</f>
        <v>89.540407214928777</v>
      </c>
      <c r="S35" s="55">
        <f>+FEE_3_In!Y32</f>
        <v>4.0805447731777997</v>
      </c>
      <c r="T35" s="55">
        <f>+FEE_4_In!H32</f>
        <v>876.21906059545427</v>
      </c>
      <c r="U35" s="55">
        <f>+FEE_4_In!S32</f>
        <v>732.17690476023358</v>
      </c>
      <c r="V35" s="55">
        <f>+FEE_4_In!V32</f>
        <v>140.15283964611123</v>
      </c>
      <c r="W35" s="55">
        <f>+FEE_4_In!Y32</f>
        <v>3.889316189109457</v>
      </c>
      <c r="X35" s="55">
        <f>FEE_1_In!$H32</f>
        <v>885.54169615357137</v>
      </c>
      <c r="Y35" s="55">
        <f>+FEE_1_Out!S32</f>
        <v>586.81415673996116</v>
      </c>
      <c r="Z35" s="55">
        <f>+FEE_1_Out!V32</f>
        <v>77.419331870790373</v>
      </c>
      <c r="AA35" s="55">
        <f>+FEE_1_Out!Y32</f>
        <v>12.52730974809246</v>
      </c>
      <c r="AB35" s="55">
        <f>+FEE_2_Out!H32</f>
        <v>853.57074623091023</v>
      </c>
      <c r="AC35" s="55">
        <f>+FEE_2_Out!S32</f>
        <v>807.32733015494648</v>
      </c>
      <c r="AD35" s="55">
        <f>+FEE_2_Out!V32</f>
        <v>39.804675096137892</v>
      </c>
      <c r="AE35" s="55">
        <f>+FEE_2_Out!Y32</f>
        <v>6.4387409798259041</v>
      </c>
      <c r="AF35" s="55">
        <f>+FEE_3_Out!H32</f>
        <v>916.74894201454072</v>
      </c>
      <c r="AG35" s="55">
        <f>+FEE_3_Out!S32</f>
        <v>895.95491668910961</v>
      </c>
      <c r="AH35" s="55">
        <f>+FEE_3_Out!V32</f>
        <v>14.462596487011803</v>
      </c>
      <c r="AI35" s="55">
        <f>+FEE_3_Out!Y32</f>
        <v>6.3314288384193356</v>
      </c>
      <c r="AJ35" s="55">
        <f>+FEE_4_Out!H32</f>
        <v>983.52238368868564</v>
      </c>
      <c r="AK35" s="55">
        <f>+FEE_4_Out!S32</f>
        <v>924.233332002682</v>
      </c>
      <c r="AL35" s="55">
        <f>+FEE_4_Out!V32</f>
        <v>55.72446806479541</v>
      </c>
      <c r="AM35" s="55">
        <f>+FEE_4_Out!Y32</f>
        <v>3.5645836212083126</v>
      </c>
    </row>
    <row r="36" spans="2:39" x14ac:dyDescent="0.25">
      <c r="B36" s="51">
        <f>ITE_LUC_Rates!A24</f>
        <v>255</v>
      </c>
      <c r="C36" s="11" t="str">
        <f>ITE_LUC_Rates!B24</f>
        <v>Continuing Care Retirement Community</v>
      </c>
      <c r="D36" s="52" t="str">
        <f>ITE_LUC_Rates!C24</f>
        <v>Dwelling unit</v>
      </c>
      <c r="E36" s="112">
        <f>ITE_LUC_Rates!G24</f>
        <v>2.4</v>
      </c>
      <c r="F36" s="53" t="s">
        <v>70</v>
      </c>
      <c r="G36" s="91">
        <f>ITE_LUC_Rates!Q24</f>
        <v>2437.2199999999998</v>
      </c>
      <c r="H36" s="91">
        <f>FEE_1_In!$H33</f>
        <v>817.4231041417579</v>
      </c>
      <c r="I36" s="55">
        <f>+FEE_1_In!S33</f>
        <v>664.27872426741476</v>
      </c>
      <c r="J36" s="55">
        <f>+FEE_1_In!V33</f>
        <v>143.78529741013637</v>
      </c>
      <c r="K36" s="55">
        <f>+FEE_1_In!Y33</f>
        <v>9.3590824642067574</v>
      </c>
      <c r="L36" s="91">
        <f>+FEE_2_In!H33</f>
        <v>881.07625317993757</v>
      </c>
      <c r="M36" s="55">
        <f>+FEE_2_In!S33</f>
        <v>730.32635385856702</v>
      </c>
      <c r="N36" s="55">
        <f>+FEE_2_In!V33</f>
        <v>144.52814188859512</v>
      </c>
      <c r="O36" s="55">
        <f>+FEE_2_In!Y33</f>
        <v>6.2217574327754051</v>
      </c>
      <c r="P36" s="55">
        <f>+FEE_3_In!H33</f>
        <v>867.15635132766931</v>
      </c>
      <c r="Q36" s="55">
        <f>+FEE_3_In!S33</f>
        <v>780.73701103095561</v>
      </c>
      <c r="R36" s="55">
        <f>+FEE_3_In!V33</f>
        <v>82.652683583011168</v>
      </c>
      <c r="S36" s="55">
        <f>+FEE_3_In!Y33</f>
        <v>3.766656713702583</v>
      </c>
      <c r="T36" s="55">
        <f>+FEE_4_In!H33</f>
        <v>808.81759439580378</v>
      </c>
      <c r="U36" s="55">
        <f>+FEE_4_In!S33</f>
        <v>675.85560439406163</v>
      </c>
      <c r="V36" s="55">
        <f>+FEE_4_In!V33</f>
        <v>129.37185198102574</v>
      </c>
      <c r="W36" s="55">
        <f>+FEE_4_In!Y33</f>
        <v>3.5901380207164211</v>
      </c>
      <c r="X36" s="55">
        <f>FEE_1_In!$H33</f>
        <v>817.4231041417579</v>
      </c>
      <c r="Y36" s="55">
        <f>+FEE_1_Out!S33</f>
        <v>541.67460622150236</v>
      </c>
      <c r="Z36" s="55">
        <f>+FEE_1_Out!V33</f>
        <v>71.463998649960345</v>
      </c>
      <c r="AA36" s="55">
        <f>+FEE_1_Out!Y33</f>
        <v>11.56367053670073</v>
      </c>
      <c r="AB36" s="55">
        <f>+FEE_2_Out!H33</f>
        <v>787.91145805930159</v>
      </c>
      <c r="AC36" s="55">
        <f>+FEE_2_Out!S33</f>
        <v>745.22522783533498</v>
      </c>
      <c r="AD36" s="55">
        <f>+FEE_2_Out!V33</f>
        <v>36.742777011819577</v>
      </c>
      <c r="AE36" s="55">
        <f>+FEE_2_Out!Y33</f>
        <v>5.9434532121469879</v>
      </c>
      <c r="AF36" s="55">
        <f>+FEE_3_Out!H33</f>
        <v>846.22979262880665</v>
      </c>
      <c r="AG36" s="55">
        <f>+FEE_3_Out!S33</f>
        <v>827.03530771302405</v>
      </c>
      <c r="AH36" s="55">
        <f>+FEE_3_Out!V33</f>
        <v>13.35008906493397</v>
      </c>
      <c r="AI36" s="55">
        <f>+FEE_3_Out!Y33</f>
        <v>5.8443958508486169</v>
      </c>
      <c r="AJ36" s="55">
        <f>+FEE_4_Out!H33</f>
        <v>907.86681571263284</v>
      </c>
      <c r="AK36" s="55">
        <f>+FEE_4_Out!S33</f>
        <v>853.13846031016783</v>
      </c>
      <c r="AL36" s="55">
        <f>+FEE_4_Out!V33</f>
        <v>51.437970521349591</v>
      </c>
      <c r="AM36" s="55">
        <f>+FEE_4_Out!Y33</f>
        <v>3.2903848811153651</v>
      </c>
    </row>
    <row r="37" spans="2:39" x14ac:dyDescent="0.25">
      <c r="B37" s="116">
        <f>ITE_LUC_Rates!A25</f>
        <v>265</v>
      </c>
      <c r="C37" s="117" t="str">
        <f>ITE_LUC_Rates!B25</f>
        <v xml:space="preserve">Timeshare </v>
      </c>
      <c r="D37" s="203" t="str">
        <f>ITE_LUC_Rates!C25</f>
        <v>Dwelling unit</v>
      </c>
      <c r="E37" s="204">
        <f>ITE_LUC_Rates!G25</f>
        <v>8.6300000000000008</v>
      </c>
      <c r="F37" s="118" t="s">
        <v>70</v>
      </c>
      <c r="G37" s="119">
        <f>ITE_LUC_Rates!Q25</f>
        <v>0</v>
      </c>
      <c r="H37" s="91">
        <f>FEE_1_In!$H34</f>
        <v>8823.4964104106839</v>
      </c>
      <c r="I37" s="55">
        <f>+FEE_1_In!S34</f>
        <v>7170.4126166578963</v>
      </c>
      <c r="J37" s="55">
        <f>+FEE_1_In!V34</f>
        <v>1552.0592079425171</v>
      </c>
      <c r="K37" s="55">
        <f>+FEE_1_In!Y34</f>
        <v>101.0245858102695</v>
      </c>
      <c r="L37" s="91">
        <f>+FEE_2_In!H34</f>
        <v>9510.5865222560078</v>
      </c>
      <c r="M37" s="55">
        <f>+FEE_2_In!S34</f>
        <v>7883.3494295040864</v>
      </c>
      <c r="N37" s="55">
        <f>+FEE_2_In!V34</f>
        <v>1560.077681553018</v>
      </c>
      <c r="O37" s="55">
        <f>+FEE_2_In!Y34</f>
        <v>67.159411198902674</v>
      </c>
      <c r="P37" s="55">
        <f>+FEE_3_In!H34</f>
        <v>9360.3311607370651</v>
      </c>
      <c r="Q37" s="55">
        <f>+FEE_3_In!S34</f>
        <v>8427.4963350090711</v>
      </c>
      <c r="R37" s="55">
        <f>+FEE_3_In!V34</f>
        <v>892.17646676528966</v>
      </c>
      <c r="S37" s="55">
        <f>+FEE_3_In!Y34</f>
        <v>40.658358962704831</v>
      </c>
      <c r="T37" s="55">
        <f>+FEE_4_In!H34</f>
        <v>8730.6061018685705</v>
      </c>
      <c r="U37" s="55">
        <f>+FEE_4_In!S34</f>
        <v>7295.3767383271424</v>
      </c>
      <c r="V37" s="55">
        <f>+FEE_4_In!V34</f>
        <v>1396.4763973258105</v>
      </c>
      <c r="W37" s="55">
        <f>+FEE_4_In!Y34</f>
        <v>38.752966215616908</v>
      </c>
      <c r="X37" s="55">
        <f>FEE_1_In!$H34</f>
        <v>8823.4964104106839</v>
      </c>
      <c r="Y37" s="55">
        <f>+FEE_1_Out!S34</f>
        <v>5846.9890554710682</v>
      </c>
      <c r="Z37" s="55">
        <f>+FEE_1_Out!V34</f>
        <v>771.40263391939368</v>
      </c>
      <c r="AA37" s="55">
        <f>+FEE_1_Out!Y34</f>
        <v>124.82153361554144</v>
      </c>
      <c r="AB37" s="55">
        <f>+FEE_2_Out!H34</f>
        <v>8504.9393474227654</v>
      </c>
      <c r="AC37" s="55">
        <f>+FEE_2_Out!S34</f>
        <v>8044.1720932960525</v>
      </c>
      <c r="AD37" s="55">
        <f>+FEE_2_Out!V34</f>
        <v>396.61193747722518</v>
      </c>
      <c r="AE37" s="55">
        <f>+FEE_2_Out!Y34</f>
        <v>64.155316649489109</v>
      </c>
      <c r="AF37" s="55">
        <f>+FEE_3_Out!H34</f>
        <v>9134.4439615300762</v>
      </c>
      <c r="AG37" s="55">
        <f>+FEE_3_Out!S34</f>
        <v>8927.2532571127977</v>
      </c>
      <c r="AH37" s="55">
        <f>+FEE_3_Out!V34</f>
        <v>144.10464097021634</v>
      </c>
      <c r="AI37" s="55">
        <f>+FEE_3_Out!Y34</f>
        <v>63.086063447062656</v>
      </c>
      <c r="AJ37" s="55">
        <f>+FEE_4_Out!H34</f>
        <v>9799.7714390296896</v>
      </c>
      <c r="AK37" s="55">
        <f>+FEE_4_Out!S34</f>
        <v>9209.0180764264405</v>
      </c>
      <c r="AL37" s="55">
        <f>+FEE_4_Out!V34</f>
        <v>555.23601664093599</v>
      </c>
      <c r="AM37" s="55">
        <f>+FEE_4_Out!Y34</f>
        <v>35.517345962313463</v>
      </c>
    </row>
    <row r="38" spans="2:39" x14ac:dyDescent="0.25">
      <c r="B38" s="116">
        <f>ITE_LUC_Rates!A26</f>
        <v>270</v>
      </c>
      <c r="C38" s="117" t="str">
        <f>ITE_LUC_Rates!B26</f>
        <v>Residential PUD</v>
      </c>
      <c r="D38" s="203" t="str">
        <f>ITE_LUC_Rates!C26</f>
        <v>Dwelling unit</v>
      </c>
      <c r="E38" s="204">
        <f>ITE_LUC_Rates!G26</f>
        <v>7.83</v>
      </c>
      <c r="F38" s="118" t="s">
        <v>70</v>
      </c>
      <c r="G38" s="119">
        <f>ITE_LUC_Rates!Q26</f>
        <v>0</v>
      </c>
      <c r="H38" s="91">
        <f>FEE_1_In!$H35</f>
        <v>8005.559315586981</v>
      </c>
      <c r="I38" s="55">
        <f>+FEE_1_In!S35</f>
        <v>6505.7161979642324</v>
      </c>
      <c r="J38" s="55">
        <f>+FEE_1_In!V35</f>
        <v>1408.1834992108818</v>
      </c>
      <c r="K38" s="55">
        <f>+FEE_1_In!Y35</f>
        <v>91.659618411866759</v>
      </c>
      <c r="L38" s="91">
        <f>+FEE_2_In!H35</f>
        <v>8628.9562536807098</v>
      </c>
      <c r="M38" s="55">
        <f>+FEE_2_In!S35</f>
        <v>7152.5638508710308</v>
      </c>
      <c r="N38" s="55">
        <f>+FEE_2_In!V35</f>
        <v>1415.4586612468283</v>
      </c>
      <c r="O38" s="55">
        <f>+FEE_2_In!Y35</f>
        <v>60.933741562851445</v>
      </c>
      <c r="P38" s="55">
        <f>+FEE_3_In!H35</f>
        <v>8492.6295467637574</v>
      </c>
      <c r="Q38" s="55">
        <f>+FEE_3_In!S35</f>
        <v>7646.2684012886466</v>
      </c>
      <c r="R38" s="55">
        <f>+FEE_3_In!V35</f>
        <v>809.47181167696601</v>
      </c>
      <c r="S38" s="55">
        <f>+FEE_3_In!Y35</f>
        <v>36.889333798143539</v>
      </c>
      <c r="T38" s="55">
        <f>+FEE_4_In!H35</f>
        <v>7921.2799278830698</v>
      </c>
      <c r="U38" s="55">
        <f>+FEE_4_In!S35</f>
        <v>6619.0961600349374</v>
      </c>
      <c r="V38" s="55">
        <f>+FEE_4_In!V35</f>
        <v>1267.023197110208</v>
      </c>
      <c r="W38" s="55">
        <f>+FEE_4_In!Y35</f>
        <v>35.160570737923571</v>
      </c>
      <c r="X38" s="55">
        <f>FEE_1_In!$H35</f>
        <v>8005.559315586981</v>
      </c>
      <c r="Y38" s="55">
        <f>+FEE_1_Out!S35</f>
        <v>5304.9738475479098</v>
      </c>
      <c r="Z38" s="55">
        <f>+FEE_1_Out!V35</f>
        <v>699.89369914123426</v>
      </c>
      <c r="AA38" s="55">
        <f>+FEE_1_Out!Y35</f>
        <v>113.25059191305786</v>
      </c>
      <c r="AB38" s="55">
        <f>+FEE_2_Out!H35</f>
        <v>7716.5324554252911</v>
      </c>
      <c r="AC38" s="55">
        <f>+FEE_2_Out!S35</f>
        <v>7298.4782723647841</v>
      </c>
      <c r="AD38" s="55">
        <f>+FEE_2_Out!V35</f>
        <v>359.84605683043719</v>
      </c>
      <c r="AE38" s="55">
        <f>+FEE_2_Out!Y35</f>
        <v>58.208126230069475</v>
      </c>
      <c r="AF38" s="55">
        <f>+FEE_3_Out!H35</f>
        <v>8287.6820647486074</v>
      </c>
      <c r="AG38" s="55">
        <f>+FEE_3_Out!S35</f>
        <v>8099.6979146226176</v>
      </c>
      <c r="AH38" s="55">
        <f>+FEE_3_Out!V35</f>
        <v>130.74615745038167</v>
      </c>
      <c r="AI38" s="55">
        <f>+FEE_3_Out!Y35</f>
        <v>57.237992675608425</v>
      </c>
      <c r="AJ38" s="55">
        <f>+FEE_4_Out!H35</f>
        <v>8891.3337621787341</v>
      </c>
      <c r="AK38" s="55">
        <f>+FEE_4_Out!S35</f>
        <v>8355.3431678353445</v>
      </c>
      <c r="AL38" s="55">
        <f>+FEE_4_Out!V35</f>
        <v>503.76570223621417</v>
      </c>
      <c r="AM38" s="55">
        <f>+FEE_4_Out!Y35</f>
        <v>32.22489210717432</v>
      </c>
    </row>
    <row r="39" spans="2:39" x14ac:dyDescent="0.25">
      <c r="B39" s="92" t="str">
        <f>ITE_LUC_Rates!A27</f>
        <v>Lodging</v>
      </c>
      <c r="C39" s="93"/>
      <c r="D39" s="94"/>
      <c r="E39" s="113"/>
      <c r="F39" s="95"/>
      <c r="G39" s="96"/>
      <c r="H39" s="96"/>
      <c r="I39" s="99"/>
      <c r="J39" s="99"/>
      <c r="K39" s="99"/>
      <c r="L39" s="96"/>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row>
    <row r="40" spans="2:39" x14ac:dyDescent="0.25">
      <c r="B40" s="51">
        <f>ITE_LUC_Rates!A28</f>
        <v>310</v>
      </c>
      <c r="C40" s="11" t="str">
        <f>ITE_LUC_Rates!B28</f>
        <v>Hotel</v>
      </c>
      <c r="D40" s="52" t="str">
        <f>ITE_LUC_Rates!C28</f>
        <v>Hotel room</v>
      </c>
      <c r="E40" s="112">
        <f>ITE_LUC_Rates!G28</f>
        <v>8.36</v>
      </c>
      <c r="F40" s="53" t="s">
        <v>70</v>
      </c>
      <c r="G40" s="91">
        <f>ITE_LUC_Rates!Q28</f>
        <v>8894.4159999999993</v>
      </c>
      <c r="H40" s="91">
        <f>FEE_1_In!$H37</f>
        <v>5350.2213660515417</v>
      </c>
      <c r="I40" s="55">
        <f>+FEE_1_In!S37</f>
        <v>4347.8563372887493</v>
      </c>
      <c r="J40" s="55">
        <f>+FEE_1_In!V37</f>
        <v>941.10769126777393</v>
      </c>
      <c r="K40" s="55">
        <f>+FEE_1_In!Y37</f>
        <v>61.257337495018483</v>
      </c>
      <c r="L40" s="91">
        <f>+FEE_2_In!H37</f>
        <v>5766.8457999279199</v>
      </c>
      <c r="M40" s="55">
        <f>+FEE_2_In!S37</f>
        <v>4780.1531946018977</v>
      </c>
      <c r="N40" s="55">
        <f>+FEE_2_In!V37</f>
        <v>945.96977845391541</v>
      </c>
      <c r="O40" s="55">
        <f>+FEE_2_In!Y37</f>
        <v>40.722826872106836</v>
      </c>
      <c r="P40" s="55">
        <f>+FEE_3_In!H37</f>
        <v>5675.7368553360748</v>
      </c>
      <c r="Q40" s="55">
        <f>+FEE_3_In!S37</f>
        <v>5110.1024873412925</v>
      </c>
      <c r="R40" s="55">
        <f>+FEE_3_In!V37</f>
        <v>540.98073742559097</v>
      </c>
      <c r="S40" s="55">
        <f>+FEE_3_In!Y37</f>
        <v>24.653630569191986</v>
      </c>
      <c r="T40" s="55">
        <f>+FEE_4_In!H37</f>
        <v>5293.8963345283528</v>
      </c>
      <c r="U40" s="55">
        <f>+FEE_4_In!S37</f>
        <v>4423.6296682503644</v>
      </c>
      <c r="V40" s="55">
        <f>+FEE_4_In!V37</f>
        <v>846.76839096843707</v>
      </c>
      <c r="W40" s="55">
        <f>+FEE_4_In!Y37</f>
        <v>23.498275309551222</v>
      </c>
      <c r="X40" s="55">
        <f>FEE_1_In!$H37</f>
        <v>5350.2213660515417</v>
      </c>
      <c r="Y40" s="55">
        <f>+FEE_1_Out!S37</f>
        <v>3545.3843144018247</v>
      </c>
      <c r="Z40" s="55">
        <f>+FEE_1_Out!V37</f>
        <v>467.74823288355367</v>
      </c>
      <c r="AA40" s="55">
        <f>+FEE_1_Out!Y37</f>
        <v>75.686871171074387</v>
      </c>
      <c r="AB40" s="55">
        <f>+FEE_2_Out!H37</f>
        <v>5157.0608857351863</v>
      </c>
      <c r="AC40" s="55">
        <f>+FEE_2_Out!S37</f>
        <v>4877.6697358847714</v>
      </c>
      <c r="AD40" s="55">
        <f>+FEE_2_Out!V37</f>
        <v>240.48988782021661</v>
      </c>
      <c r="AE40" s="55">
        <f>+FEE_2_Out!Y37</f>
        <v>38.901262030198161</v>
      </c>
      <c r="AF40" s="55">
        <f>+FEE_3_Out!H37</f>
        <v>5538.7677375055482</v>
      </c>
      <c r="AG40" s="55">
        <f>+FEE_3_Out!S37</f>
        <v>5413.1354391444729</v>
      </c>
      <c r="AH40" s="55">
        <f>+FEE_3_Out!V37</f>
        <v>87.3793894398097</v>
      </c>
      <c r="AI40" s="55">
        <f>+FEE_3_Out!Y37</f>
        <v>38.252908921266062</v>
      </c>
      <c r="AJ40" s="55">
        <f>+FEE_4_Out!H37</f>
        <v>5942.1961654176002</v>
      </c>
      <c r="AK40" s="55">
        <f>+FEE_4_Out!S37</f>
        <v>5583.9865492231074</v>
      </c>
      <c r="AL40" s="55">
        <f>+FEE_4_Out!V37</f>
        <v>336.67329381226773</v>
      </c>
      <c r="AM40" s="55">
        <f>+FEE_4_Out!Y37</f>
        <v>21.536322382225503</v>
      </c>
    </row>
    <row r="41" spans="2:39" x14ac:dyDescent="0.25">
      <c r="B41" s="51">
        <f>ITE_LUC_Rates!A29</f>
        <v>311</v>
      </c>
      <c r="C41" s="11" t="str">
        <f>ITE_LUC_Rates!B29</f>
        <v>All Suites Hotel</v>
      </c>
      <c r="D41" s="52" t="str">
        <f>ITE_LUC_Rates!C29</f>
        <v>Hotel room</v>
      </c>
      <c r="E41" s="112">
        <f>ITE_LUC_Rates!G29</f>
        <v>4.46</v>
      </c>
      <c r="F41" s="53" t="s">
        <v>70</v>
      </c>
      <c r="G41" s="91">
        <f>ITE_LUC_Rates!Q29</f>
        <v>6221.7179999999998</v>
      </c>
      <c r="H41" s="91">
        <f>FEE_1_In!$H38</f>
        <v>2854.3047000705601</v>
      </c>
      <c r="I41" s="55">
        <f>+FEE_1_In!S38</f>
        <v>2319.5501512329938</v>
      </c>
      <c r="J41" s="55">
        <f>+FEE_1_In!V38</f>
        <v>502.07419892993687</v>
      </c>
      <c r="K41" s="55">
        <f>+FEE_1_In!Y38</f>
        <v>32.680349907629484</v>
      </c>
      <c r="L41" s="91">
        <f>+FEE_2_In!H38</f>
        <v>3076.5708454160913</v>
      </c>
      <c r="M41" s="55">
        <f>+FEE_2_In!S38</f>
        <v>2550.1774220005341</v>
      </c>
      <c r="N41" s="55">
        <f>+FEE_2_In!V38</f>
        <v>504.6680875483807</v>
      </c>
      <c r="O41" s="55">
        <f>+FEE_2_In!Y38</f>
        <v>21.725335867176611</v>
      </c>
      <c r="P41" s="55">
        <f>+FEE_3_In!H38</f>
        <v>3027.9648773682889</v>
      </c>
      <c r="Q41" s="55">
        <f>+FEE_3_In!S38</f>
        <v>2726.203001619876</v>
      </c>
      <c r="R41" s="55">
        <f>+FEE_3_In!V38</f>
        <v>288.6093407796813</v>
      </c>
      <c r="S41" s="55">
        <f>+FEE_3_In!Y38</f>
        <v>13.15253496873161</v>
      </c>
      <c r="T41" s="55">
        <f>+FEE_4_In!H38</f>
        <v>2824.255699999575</v>
      </c>
      <c r="U41" s="55">
        <f>+FEE_4_In!S38</f>
        <v>2359.97467947328</v>
      </c>
      <c r="V41" s="55">
        <f>+FEE_4_In!V38</f>
        <v>451.74485929655856</v>
      </c>
      <c r="W41" s="55">
        <f>+FEE_4_In!Y38</f>
        <v>12.536161229736658</v>
      </c>
      <c r="X41" s="55">
        <f>FEE_1_In!$H38</f>
        <v>2854.3047000705601</v>
      </c>
      <c r="Y41" s="55">
        <f>+FEE_1_Out!S38</f>
        <v>1891.4370863914041</v>
      </c>
      <c r="Z41" s="55">
        <f>+FEE_1_Out!V38</f>
        <v>249.54032519864228</v>
      </c>
      <c r="AA41" s="55">
        <f>+FEE_1_Out!Y38</f>
        <v>40.378402562558819</v>
      </c>
      <c r="AB41" s="55">
        <f>+FEE_2_Out!H38</f>
        <v>2751.2549701410203</v>
      </c>
      <c r="AC41" s="55">
        <f>+FEE_2_Out!S38</f>
        <v>2602.2017968954642</v>
      </c>
      <c r="AD41" s="55">
        <f>+FEE_2_Out!V38</f>
        <v>128.29962914810596</v>
      </c>
      <c r="AE41" s="55">
        <f>+FEE_2_Out!Y38</f>
        <v>20.753544097450213</v>
      </c>
      <c r="AF41" s="55">
        <f>+FEE_3_Out!H38</f>
        <v>2954.892836037649</v>
      </c>
      <c r="AG41" s="55">
        <f>+FEE_3_Out!S38</f>
        <v>2887.8689065292283</v>
      </c>
      <c r="AH41" s="55">
        <f>+FEE_3_Out!V38</f>
        <v>46.616277141333882</v>
      </c>
      <c r="AI41" s="55">
        <f>+FEE_3_Out!Y38</f>
        <v>20.407652367086918</v>
      </c>
      <c r="AJ41" s="55">
        <f>+FEE_4_Out!H38</f>
        <v>3170.1190069093896</v>
      </c>
      <c r="AK41" s="55">
        <f>+FEE_4_Out!S38</f>
        <v>2979.0167475520402</v>
      </c>
      <c r="AL41" s="55">
        <f>+FEE_4_Out!V38</f>
        <v>179.61278593333901</v>
      </c>
      <c r="AM41" s="55">
        <f>+FEE_4_Out!Y38</f>
        <v>11.489473424010255</v>
      </c>
    </row>
    <row r="42" spans="2:39" x14ac:dyDescent="0.25">
      <c r="B42" s="51">
        <f>ITE_LUC_Rates!A30</f>
        <v>320</v>
      </c>
      <c r="C42" s="11" t="str">
        <f>ITE_LUC_Rates!B30</f>
        <v>Motel</v>
      </c>
      <c r="D42" s="52" t="str">
        <f>ITE_LUC_Rates!C30</f>
        <v>Hotel room</v>
      </c>
      <c r="E42" s="112">
        <f>ITE_LUC_Rates!G30</f>
        <v>3.35</v>
      </c>
      <c r="F42" s="53" t="s">
        <v>70</v>
      </c>
      <c r="G42" s="91">
        <f>ITE_LUC_Rates!Q30</f>
        <v>9084.482</v>
      </c>
      <c r="H42" s="91">
        <f>FEE_1_In!$H39</f>
        <v>1720.026881604535</v>
      </c>
      <c r="I42" s="55">
        <f>+FEE_1_In!S39</f>
        <v>1397.7795058992776</v>
      </c>
      <c r="J42" s="55">
        <f>+FEE_1_In!V39</f>
        <v>302.55393500848248</v>
      </c>
      <c r="K42" s="55">
        <f>+FEE_1_In!Y39</f>
        <v>19.693440696774744</v>
      </c>
      <c r="L42" s="91">
        <f>+FEE_2_In!H39</f>
        <v>1853.9662416369392</v>
      </c>
      <c r="M42" s="55">
        <f>+FEE_2_In!S39</f>
        <v>1536.7573471022338</v>
      </c>
      <c r="N42" s="55">
        <f>+FEE_2_In!V39</f>
        <v>304.1170330727856</v>
      </c>
      <c r="O42" s="55">
        <f>+FEE_2_In!Y39</f>
        <v>13.091861461920022</v>
      </c>
      <c r="P42" s="55">
        <f>+FEE_3_In!H39</f>
        <v>1824.6758958492017</v>
      </c>
      <c r="Q42" s="55">
        <f>+FEE_3_In!S39</f>
        <v>1642.8317717380489</v>
      </c>
      <c r="R42" s="55">
        <f>+FEE_3_In!V39</f>
        <v>173.91830115787712</v>
      </c>
      <c r="S42" s="55">
        <f>+FEE_3_In!Y39</f>
        <v>7.9258229532757269</v>
      </c>
      <c r="T42" s="55">
        <f>+FEE_4_In!H39</f>
        <v>1701.9191134022994</v>
      </c>
      <c r="U42" s="55">
        <f>+FEE_4_In!S39</f>
        <v>1422.1396505074397</v>
      </c>
      <c r="V42" s="55">
        <f>+FEE_4_In!V39</f>
        <v>272.22507169522964</v>
      </c>
      <c r="W42" s="55">
        <f>+FEE_4_In!Y39</f>
        <v>7.5543911996300102</v>
      </c>
      <c r="X42" s="55">
        <f>FEE_1_In!$H39</f>
        <v>1720.026881604535</v>
      </c>
      <c r="Y42" s="55">
        <f>+FEE_1_Out!S39</f>
        <v>1139.795142885954</v>
      </c>
      <c r="Z42" s="55">
        <f>+FEE_1_Out!V39</f>
        <v>150.37499933885539</v>
      </c>
      <c r="AA42" s="55">
        <f>+FEE_1_Out!Y39</f>
        <v>24.332348905193523</v>
      </c>
      <c r="AB42" s="55">
        <f>+FEE_2_Out!H39</f>
        <v>1657.9282886909918</v>
      </c>
      <c r="AC42" s="55">
        <f>+FEE_2_Out!S39</f>
        <v>1568.1076522451083</v>
      </c>
      <c r="AD42" s="55">
        <f>+FEE_2_Out!V39</f>
        <v>77.314384490618579</v>
      </c>
      <c r="AE42" s="55">
        <f>+FEE_2_Out!Y39</f>
        <v>12.50625195526499</v>
      </c>
      <c r="AF42" s="55">
        <f>+FEE_3_Out!H39</f>
        <v>1780.6420982734526</v>
      </c>
      <c r="AG42" s="55">
        <f>+FEE_3_Out!S39</f>
        <v>1740.2529413406271</v>
      </c>
      <c r="AH42" s="55">
        <f>+FEE_3_Out!V39</f>
        <v>28.091342105641058</v>
      </c>
      <c r="AI42" s="55">
        <f>+FEE_3_Out!Y39</f>
        <v>12.297814827184423</v>
      </c>
      <c r="AJ42" s="55">
        <f>+FEE_4_Out!H39</f>
        <v>1910.3391132820645</v>
      </c>
      <c r="AK42" s="55">
        <f>+FEE_4_Out!S39</f>
        <v>1795.1793606383203</v>
      </c>
      <c r="AL42" s="55">
        <f>+FEE_4_Out!V39</f>
        <v>108.23610390214712</v>
      </c>
      <c r="AM42" s="55">
        <f>+FEE_4_Out!Y39</f>
        <v>6.9236487415972121</v>
      </c>
    </row>
    <row r="43" spans="2:39" x14ac:dyDescent="0.25">
      <c r="B43" s="116">
        <f>ITE_LUC_Rates!A31</f>
        <v>312</v>
      </c>
      <c r="C43" s="117" t="str">
        <f>ITE_LUC_Rates!B31</f>
        <v>Business Hotel</v>
      </c>
      <c r="D43" s="203" t="str">
        <f>ITE_LUC_Rates!C31</f>
        <v>Hotel room</v>
      </c>
      <c r="E43" s="204">
        <f>ITE_LUC_Rates!G31</f>
        <v>4.0199999999999996</v>
      </c>
      <c r="F43" s="118" t="s">
        <v>70</v>
      </c>
      <c r="G43" s="119">
        <f>ITE_LUC_Rates!Q31</f>
        <v>0</v>
      </c>
      <c r="H43" s="91">
        <f>FEE_1_In!$H40</f>
        <v>2572.7141018573202</v>
      </c>
      <c r="I43" s="55">
        <f>+FEE_1_In!S40</f>
        <v>2090.7156071651643</v>
      </c>
      <c r="J43" s="55">
        <f>+FEE_1_In!V40</f>
        <v>452.5422151790014</v>
      </c>
      <c r="K43" s="55">
        <f>+FEE_1_In!Y40</f>
        <v>29.456279513154819</v>
      </c>
      <c r="L43" s="91">
        <f>+FEE_2_In!H40</f>
        <v>2773.0526454198844</v>
      </c>
      <c r="M43" s="55">
        <f>+FEE_2_In!S40</f>
        <v>2298.5904117583286</v>
      </c>
      <c r="N43" s="55">
        <f>+FEE_2_In!V40</f>
        <v>454.88020447185869</v>
      </c>
      <c r="O43" s="55">
        <f>+FEE_2_In!Y40</f>
        <v>19.582029189697302</v>
      </c>
      <c r="P43" s="55">
        <f>+FEE_3_In!H40</f>
        <v>2729.2418849821797</v>
      </c>
      <c r="Q43" s="55">
        <f>+FEE_3_In!S40</f>
        <v>2457.2502391282292</v>
      </c>
      <c r="R43" s="55">
        <f>+FEE_3_In!V40</f>
        <v>260.13667038886069</v>
      </c>
      <c r="S43" s="55">
        <f>+FEE_3_In!Y40</f>
        <v>11.854975465089925</v>
      </c>
      <c r="T43" s="55">
        <f>+FEE_4_In!H40</f>
        <v>2545.6295771296618</v>
      </c>
      <c r="U43" s="55">
        <f>+FEE_4_In!S40</f>
        <v>2127.1520653548396</v>
      </c>
      <c r="V43" s="55">
        <f>+FEE_4_In!V40</f>
        <v>407.17810187716708</v>
      </c>
      <c r="W43" s="55">
        <f>+FEE_4_In!Y40</f>
        <v>11.299409897655011</v>
      </c>
      <c r="X43" s="55">
        <f>FEE_1_In!$H40</f>
        <v>2572.7141018573202</v>
      </c>
      <c r="Y43" s="55">
        <f>+FEE_1_Out!S40</f>
        <v>1704.8379119492024</v>
      </c>
      <c r="Z43" s="55">
        <f>+FEE_1_Out!V40</f>
        <v>224.92199715213943</v>
      </c>
      <c r="AA43" s="55">
        <f>+FEE_1_Out!Y40</f>
        <v>36.394883027239111</v>
      </c>
      <c r="AB43" s="55">
        <f>+FEE_2_Out!H40</f>
        <v>2479.8307129970626</v>
      </c>
      <c r="AC43" s="55">
        <f>+FEE_2_Out!S40</f>
        <v>2345.4823371120547</v>
      </c>
      <c r="AD43" s="55">
        <f>+FEE_2_Out!V40</f>
        <v>115.64226663125244</v>
      </c>
      <c r="AE43" s="55">
        <f>+FEE_2_Out!Y40</f>
        <v>18.706109253755571</v>
      </c>
      <c r="AF43" s="55">
        <f>+FEE_3_Out!H40</f>
        <v>2663.3787445899884</v>
      </c>
      <c r="AG43" s="55">
        <f>+FEE_3_Out!S40</f>
        <v>2602.967041311098</v>
      </c>
      <c r="AH43" s="55">
        <f>+FEE_3_Out!V40</f>
        <v>42.017361907659669</v>
      </c>
      <c r="AI43" s="55">
        <f>+FEE_3_Out!Y40</f>
        <v>18.394341371230809</v>
      </c>
      <c r="AJ43" s="55">
        <f>+FEE_4_Out!H40</f>
        <v>2857.3718403084636</v>
      </c>
      <c r="AK43" s="55">
        <f>+FEE_4_Out!S40</f>
        <v>2685.1227186455612</v>
      </c>
      <c r="AL43" s="55">
        <f>+FEE_4_Out!V40</f>
        <v>161.89313889058803</v>
      </c>
      <c r="AM43" s="55">
        <f>+FEE_4_Out!Y40</f>
        <v>10.355982772314176</v>
      </c>
    </row>
    <row r="44" spans="2:39" x14ac:dyDescent="0.25">
      <c r="B44" s="92" t="str">
        <f>ITE_LUC_Rates!A32</f>
        <v>Recreational</v>
      </c>
      <c r="C44" s="93"/>
      <c r="D44" s="94"/>
      <c r="E44" s="113"/>
      <c r="F44" s="95"/>
      <c r="G44" s="96"/>
      <c r="H44" s="96"/>
      <c r="I44" s="99"/>
      <c r="J44" s="99"/>
      <c r="K44" s="99"/>
      <c r="L44" s="96"/>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99"/>
    </row>
    <row r="45" spans="2:39" x14ac:dyDescent="0.25">
      <c r="B45" s="51">
        <f>ITE_LUC_Rates!A33</f>
        <v>420</v>
      </c>
      <c r="C45" s="11" t="str">
        <f>ITE_LUC_Rates!B33</f>
        <v>Marina</v>
      </c>
      <c r="D45" s="52" t="str">
        <f>ITE_LUC_Rates!C33</f>
        <v>Berth</v>
      </c>
      <c r="E45" s="112">
        <f>ITE_LUC_Rates!G33</f>
        <v>2.41</v>
      </c>
      <c r="F45" s="53" t="s">
        <v>73</v>
      </c>
      <c r="G45" s="91">
        <f>ITE_LUC_Rates!Q33</f>
        <v>3052.83</v>
      </c>
      <c r="H45" s="91">
        <f>FEE_1_In!$H42</f>
        <v>2099.5143620254426</v>
      </c>
      <c r="I45" s="55">
        <f>+FEE_1_In!S42</f>
        <v>1542.1265703368056</v>
      </c>
      <c r="J45" s="55">
        <f>+FEE_1_In!V42</f>
        <v>524.43870987465743</v>
      </c>
      <c r="K45" s="55">
        <f>+FEE_1_In!Y42</f>
        <v>32.949081813979575</v>
      </c>
      <c r="L45" s="91">
        <f>+FEE_2_In!H42</f>
        <v>2497.1742954488773</v>
      </c>
      <c r="M45" s="55">
        <f>+FEE_2_In!S42</f>
        <v>2070.8742795585536</v>
      </c>
      <c r="N45" s="55">
        <f>+FEE_2_In!V42</f>
        <v>408.6430257928302</v>
      </c>
      <c r="O45" s="55">
        <f>+FEE_2_In!Y42</f>
        <v>17.656990097493612</v>
      </c>
      <c r="P45" s="55">
        <f>+FEE_3_In!H42</f>
        <v>2483.994489872086</v>
      </c>
      <c r="Q45" s="55">
        <f>+FEE_3_In!S42</f>
        <v>2234.1186593675088</v>
      </c>
      <c r="R45" s="55">
        <f>+FEE_3_In!V42</f>
        <v>239.13950993462109</v>
      </c>
      <c r="S45" s="55">
        <f>+FEE_3_In!Y42</f>
        <v>10.736320569956238</v>
      </c>
      <c r="T45" s="55">
        <f>+FEE_4_In!H42</f>
        <v>2331.7294334895469</v>
      </c>
      <c r="U45" s="55">
        <f>+FEE_4_In!S42</f>
        <v>1940.4299554837871</v>
      </c>
      <c r="V45" s="55">
        <f>+FEE_4_In!V42</f>
        <v>381.0067741028862</v>
      </c>
      <c r="W45" s="55">
        <f>+FEE_4_In!Y42</f>
        <v>10.292703902873564</v>
      </c>
      <c r="X45" s="55">
        <f>FEE_1_In!$H42</f>
        <v>2099.5143620254426</v>
      </c>
      <c r="Y45" s="55">
        <f>+FEE_1_Out!S42</f>
        <v>1873.076350104217</v>
      </c>
      <c r="Z45" s="55">
        <f>+FEE_1_Out!V42</f>
        <v>142.54766482975529</v>
      </c>
      <c r="AA45" s="55">
        <f>+FEE_1_Out!Y42</f>
        <v>26.366773798876231</v>
      </c>
      <c r="AB45" s="55">
        <f>+FEE_2_Out!H42</f>
        <v>2237.6063084564826</v>
      </c>
      <c r="AC45" s="55">
        <f>+FEE_2_Out!S42</f>
        <v>2116.3374042799269</v>
      </c>
      <c r="AD45" s="55">
        <f>+FEE_2_Out!V42</f>
        <v>104.29129001139194</v>
      </c>
      <c r="AE45" s="55">
        <f>+FEE_2_Out!Y42</f>
        <v>16.977614165163487</v>
      </c>
      <c r="AF45" s="55">
        <f>+FEE_3_Out!H42</f>
        <v>2408.9140739193449</v>
      </c>
      <c r="AG45" s="55">
        <f>+FEE_3_Out!S42</f>
        <v>2354.1702802713853</v>
      </c>
      <c r="AH45" s="55">
        <f>+FEE_3_Out!V42</f>
        <v>38.132476367640344</v>
      </c>
      <c r="AI45" s="55">
        <f>+FEE_3_Out!Y42</f>
        <v>16.611317280319454</v>
      </c>
      <c r="AJ45" s="55">
        <f>+FEE_4_Out!H42</f>
        <v>2584.6766439547941</v>
      </c>
      <c r="AK45" s="55">
        <f>+FEE_4_Out!S42</f>
        <v>2424.7061076322589</v>
      </c>
      <c r="AL45" s="55">
        <f>+FEE_4_Out!V42</f>
        <v>150.63231057048543</v>
      </c>
      <c r="AM45" s="55">
        <f>+FEE_4_Out!Y42</f>
        <v>9.3382257520495919</v>
      </c>
    </row>
    <row r="46" spans="2:39" x14ac:dyDescent="0.25">
      <c r="B46" s="51">
        <f>ITE_LUC_Rates!A34</f>
        <v>430</v>
      </c>
      <c r="C46" s="11" t="str">
        <f>ITE_LUC_Rates!B34</f>
        <v>Golf Course</v>
      </c>
      <c r="D46" s="52" t="str">
        <f>ITE_LUC_Rates!C34</f>
        <v>Hole</v>
      </c>
      <c r="E46" s="112">
        <f>ITE_LUC_Rates!G34</f>
        <v>30.38</v>
      </c>
      <c r="F46" s="53" t="s">
        <v>73</v>
      </c>
      <c r="G46" s="91">
        <f>ITE_LUC_Rates!Q34</f>
        <v>36869.440000000002</v>
      </c>
      <c r="H46" s="91">
        <f>FEE_1_In!$H43</f>
        <v>17893.255824381751</v>
      </c>
      <c r="I46" s="55">
        <f>+FEE_1_In!S43</f>
        <v>13142.879961055731</v>
      </c>
      <c r="J46" s="55">
        <f>+FEE_1_In!V43</f>
        <v>4469.5650431003087</v>
      </c>
      <c r="K46" s="55">
        <f>+FEE_1_In!Y43</f>
        <v>280.81082022570911</v>
      </c>
      <c r="L46" s="91">
        <f>+FEE_2_In!H43</f>
        <v>21282.340009063264</v>
      </c>
      <c r="M46" s="55">
        <f>+FEE_2_In!S43</f>
        <v>17649.16874801755</v>
      </c>
      <c r="N46" s="55">
        <f>+FEE_2_In!V43</f>
        <v>3482.6883462261981</v>
      </c>
      <c r="O46" s="55">
        <f>+FEE_2_In!Y43</f>
        <v>150.48291481951756</v>
      </c>
      <c r="P46" s="55">
        <f>+FEE_3_In!H43</f>
        <v>21170.014207836721</v>
      </c>
      <c r="Q46" s="55">
        <f>+FEE_3_In!S43</f>
        <v>19040.430223836294</v>
      </c>
      <c r="R46" s="55">
        <f>+FEE_3_In!V43</f>
        <v>2038.0829521210972</v>
      </c>
      <c r="S46" s="55">
        <f>+FEE_3_In!Y43</f>
        <v>91.501031879328963</v>
      </c>
      <c r="T46" s="55">
        <f>+FEE_4_In!H43</f>
        <v>19872.324772486401</v>
      </c>
      <c r="U46" s="55">
        <f>+FEE_4_In!S43</f>
        <v>16537.448007390354</v>
      </c>
      <c r="V46" s="55">
        <f>+FEE_4_In!V43</f>
        <v>3247.1564868308119</v>
      </c>
      <c r="W46" s="55">
        <f>+FEE_4_In!Y43</f>
        <v>87.720278265234995</v>
      </c>
      <c r="X46" s="55">
        <f>FEE_1_In!$H43</f>
        <v>17893.255824381751</v>
      </c>
      <c r="Y46" s="55">
        <f>+FEE_1_Out!S43</f>
        <v>15963.422264318779</v>
      </c>
      <c r="Z46" s="55">
        <f>+FEE_1_Out!V43</f>
        <v>1214.8722962325353</v>
      </c>
      <c r="AA46" s="55">
        <f>+FEE_1_Out!Y43</f>
        <v>224.71264659116486</v>
      </c>
      <c r="AB46" s="55">
        <f>+FEE_2_Out!H43</f>
        <v>19070.153953525132</v>
      </c>
      <c r="AC46" s="55">
        <f>+FEE_2_Out!S43</f>
        <v>18036.631361243268</v>
      </c>
      <c r="AD46" s="55">
        <f>+FEE_2_Out!V43</f>
        <v>888.82970566028939</v>
      </c>
      <c r="AE46" s="55">
        <f>+FEE_2_Out!Y43</f>
        <v>144.69288662157589</v>
      </c>
      <c r="AF46" s="55">
        <f>+FEE_3_Out!H43</f>
        <v>20530.136189213717</v>
      </c>
      <c r="AG46" s="55">
        <f>+FEE_3_Out!S43</f>
        <v>20063.578435545805</v>
      </c>
      <c r="AH46" s="55">
        <f>+FEE_3_Out!V43</f>
        <v>324.98665748832417</v>
      </c>
      <c r="AI46" s="55">
        <f>+FEE_3_Out!Y43</f>
        <v>141.5710961795875</v>
      </c>
      <c r="AJ46" s="55">
        <f>+FEE_4_Out!H43</f>
        <v>22028.084803845286</v>
      </c>
      <c r="AK46" s="55">
        <f>+FEE_4_Out!S43</f>
        <v>20664.724884734627</v>
      </c>
      <c r="AL46" s="55">
        <f>+FEE_4_Out!V43</f>
        <v>1283.7742466573111</v>
      </c>
      <c r="AM46" s="55">
        <f>+FEE_4_Out!Y43</f>
        <v>79.585672453346191</v>
      </c>
    </row>
    <row r="47" spans="2:39" x14ac:dyDescent="0.25">
      <c r="B47" s="116">
        <f>ITE_LUC_Rates!A35</f>
        <v>444</v>
      </c>
      <c r="C47" s="117" t="str">
        <f>ITE_LUC_Rates!B35</f>
        <v>Movie Theater</v>
      </c>
      <c r="D47" s="203" t="str">
        <f>ITE_LUC_Rates!C35</f>
        <v>1000 GSF</v>
      </c>
      <c r="E47" s="204">
        <f>ITE_LUC_Rates!G35</f>
        <v>78.09</v>
      </c>
      <c r="F47" s="118" t="s">
        <v>73</v>
      </c>
      <c r="G47" s="119">
        <f>ITE_LUC_Rates!Q35</f>
        <v>0</v>
      </c>
      <c r="H47" s="91">
        <f>FEE_1_In!$H44</f>
        <v>21216.058445166451</v>
      </c>
      <c r="I47" s="91">
        <f>+FEE_1_In!S44</f>
        <v>15583.531143147889</v>
      </c>
      <c r="J47" s="91">
        <f>+FEE_1_In!V44</f>
        <v>5299.5695199124284</v>
      </c>
      <c r="K47" s="91">
        <f>+FEE_1_In!Y44</f>
        <v>332.95778210613179</v>
      </c>
      <c r="L47" s="91">
        <f>+FEE_2_In!H44</f>
        <v>25234.50030077418</v>
      </c>
      <c r="M47" s="91">
        <f>+FEE_2_In!S44</f>
        <v>20926.644057495527</v>
      </c>
      <c r="N47" s="91">
        <f>+FEE_2_In!V44</f>
        <v>4129.428440806867</v>
      </c>
      <c r="O47" s="55">
        <f>+FEE_2_In!Y44</f>
        <v>178.42780247178419</v>
      </c>
      <c r="P47" s="55">
        <f>+FEE_3_In!H44</f>
        <v>25101.315441232004</v>
      </c>
      <c r="Q47" s="55">
        <f>+FEE_3_In!S44</f>
        <v>22576.264734312677</v>
      </c>
      <c r="R47" s="55">
        <f>+FEE_3_In!V44</f>
        <v>2416.5578055045003</v>
      </c>
      <c r="S47" s="55">
        <f>+FEE_3_In!Y44</f>
        <v>108.49290141482442</v>
      </c>
      <c r="T47" s="55">
        <f>+FEE_4_In!H44</f>
        <v>23562.643263608974</v>
      </c>
      <c r="U47" s="55">
        <f>+FEE_4_In!S44</f>
        <v>19608.47522118397</v>
      </c>
      <c r="V47" s="55">
        <f>+FEE_4_In!V44</f>
        <v>3850.157985855782</v>
      </c>
      <c r="W47" s="55">
        <f>+FEE_4_In!Y44</f>
        <v>104.01005656922106</v>
      </c>
      <c r="X47" s="55">
        <f>FEE_1_In!$H44</f>
        <v>21216.058445166451</v>
      </c>
      <c r="Y47" s="55">
        <f>+FEE_1_Out!S44</f>
        <v>18927.852095154445</v>
      </c>
      <c r="Z47" s="55">
        <f>+FEE_1_Out!V44</f>
        <v>1440.4757799953725</v>
      </c>
      <c r="AA47" s="55">
        <f>+FEE_1_Out!Y44</f>
        <v>266.44209920420752</v>
      </c>
      <c r="AB47" s="55">
        <f>+FEE_2_Out!H44</f>
        <v>22611.508202157547</v>
      </c>
      <c r="AC47" s="55">
        <f>+FEE_2_Out!S44</f>
        <v>21386.059019657547</v>
      </c>
      <c r="AD47" s="55">
        <f>+FEE_2_Out!V44</f>
        <v>1053.8866245567895</v>
      </c>
      <c r="AE47" s="55">
        <f>+FEE_2_Out!Y44</f>
        <v>171.56255794321132</v>
      </c>
      <c r="AF47" s="55">
        <f>+FEE_3_Out!H44</f>
        <v>24342.611180021777</v>
      </c>
      <c r="AG47" s="55">
        <f>+FEE_3_Out!S44</f>
        <v>23789.41299926498</v>
      </c>
      <c r="AH47" s="55">
        <f>+FEE_3_Out!V44</f>
        <v>385.33713410481641</v>
      </c>
      <c r="AI47" s="55">
        <f>+FEE_3_Out!Y44</f>
        <v>167.86104665198289</v>
      </c>
      <c r="AJ47" s="55">
        <f>+FEE_4_Out!H44</f>
        <v>26118.730946474494</v>
      </c>
      <c r="AK47" s="55">
        <f>+FEE_4_Out!S44</f>
        <v>24502.193184451604</v>
      </c>
      <c r="AL47" s="55">
        <f>+FEE_4_Out!V44</f>
        <v>1522.1729189367431</v>
      </c>
      <c r="AM47" s="55">
        <f>+FEE_4_Out!Y44</f>
        <v>94.36484308614682</v>
      </c>
    </row>
    <row r="48" spans="2:39" x14ac:dyDescent="0.25">
      <c r="B48" s="116">
        <f>ITE_LUC_Rates!A36</f>
        <v>444</v>
      </c>
      <c r="C48" s="117" t="str">
        <f>ITE_LUC_Rates!B36</f>
        <v>Movie Theater</v>
      </c>
      <c r="D48" s="203" t="str">
        <f>ITE_LUC_Rates!C36</f>
        <v>Screens</v>
      </c>
      <c r="E48" s="204">
        <f>ITE_LUC_Rates!G36</f>
        <v>220</v>
      </c>
      <c r="F48" s="118" t="s">
        <v>73</v>
      </c>
      <c r="G48" s="119">
        <f>ITE_LUC_Rates!Q36</f>
        <v>0</v>
      </c>
      <c r="H48" s="91">
        <f>FEE_1_In!$H45</f>
        <v>59771.198078327812</v>
      </c>
      <c r="I48" s="202">
        <f>+FEE_1_In!S45</f>
        <v>43902.892194807733</v>
      </c>
      <c r="J48" s="202">
        <f>+FEE_1_In!V45</f>
        <v>14930.276531959717</v>
      </c>
      <c r="K48" s="91">
        <f>+FEE_1_In!Y45</f>
        <v>938.02935156036619</v>
      </c>
      <c r="L48" s="202">
        <f>+FEE_2_In!H45</f>
        <v>71092.202153544858</v>
      </c>
      <c r="M48" s="202">
        <f>+FEE_2_In!S45</f>
        <v>58955.841883071014</v>
      </c>
      <c r="N48" s="202">
        <f>+FEE_2_In!V45</f>
        <v>11633.682379017935</v>
      </c>
      <c r="O48" s="55">
        <f>+FEE_2_In!Y45</f>
        <v>502.67789145591649</v>
      </c>
      <c r="P48" s="55">
        <f>+FEE_3_In!H45</f>
        <v>70716.985492009742</v>
      </c>
      <c r="Q48" s="55">
        <f>+FEE_3_In!S45</f>
        <v>63603.255750400684</v>
      </c>
      <c r="R48" s="55">
        <f>+FEE_3_In!V45</f>
        <v>6808.0767987064928</v>
      </c>
      <c r="S48" s="55">
        <f>+FEE_3_In!Y45</f>
        <v>305.65294290256588</v>
      </c>
      <c r="T48" s="55">
        <f>+FEE_4_In!H45</f>
        <v>66382.142630221177</v>
      </c>
      <c r="U48" s="55">
        <f>+FEE_4_In!S45</f>
        <v>55242.214735055342</v>
      </c>
      <c r="V48" s="55">
        <f>+FEE_4_In!V45</f>
        <v>10846.904301296861</v>
      </c>
      <c r="W48" s="55">
        <f>+FEE_4_In!Y45</f>
        <v>293.02359386897979</v>
      </c>
      <c r="X48" s="55">
        <f>FEE_1_In!$H45</f>
        <v>59771.198078327812</v>
      </c>
      <c r="Y48" s="55">
        <f>+FEE_1_Out!S45</f>
        <v>53324.720974951699</v>
      </c>
      <c r="Z48" s="55">
        <f>+FEE_1_Out!V45</f>
        <v>4058.1978691123304</v>
      </c>
      <c r="AA48" s="55">
        <f>+FEE_1_Out!Y45</f>
        <v>750.63723684115325</v>
      </c>
      <c r="AB48" s="55">
        <f>+FEE_2_Out!H45</f>
        <v>63702.545837810998</v>
      </c>
      <c r="AC48" s="55">
        <f>+FEE_2_Out!S45</f>
        <v>60250.134259503917</v>
      </c>
      <c r="AD48" s="55">
        <f>+FEE_2_Out!V45</f>
        <v>2969.0748802982926</v>
      </c>
      <c r="AE48" s="55">
        <f>+FEE_2_Out!Y45</f>
        <v>483.33669800879096</v>
      </c>
      <c r="AF48" s="55">
        <f>+FEE_3_Out!H45</f>
        <v>68579.516706425828</v>
      </c>
      <c r="AG48" s="55">
        <f>+FEE_3_Out!S45</f>
        <v>67021.012419494131</v>
      </c>
      <c r="AH48" s="55">
        <f>+FEE_3_Out!V45</f>
        <v>1085.5957165201639</v>
      </c>
      <c r="AI48" s="55">
        <f>+FEE_3_Out!Y45</f>
        <v>472.90857041152816</v>
      </c>
      <c r="AJ48" s="55">
        <f>+FEE_4_Out!H45</f>
        <v>73583.311668899827</v>
      </c>
      <c r="AK48" s="55">
        <f>+FEE_4_Out!S45</f>
        <v>69029.101044683717</v>
      </c>
      <c r="AL48" s="55">
        <f>+FEE_4_Out!V45</f>
        <v>4288.3601250618958</v>
      </c>
      <c r="AM48" s="55">
        <f>+FEE_4_Out!Y45</f>
        <v>265.85049915421052</v>
      </c>
    </row>
    <row r="49" spans="2:39" x14ac:dyDescent="0.25">
      <c r="B49" s="51">
        <f>ITE_LUC_Rates!A37</f>
        <v>480</v>
      </c>
      <c r="C49" s="11" t="str">
        <f>ITE_LUC_Rates!B37</f>
        <v>Amusement Park</v>
      </c>
      <c r="D49" s="52" t="str">
        <f>ITE_LUC_Rates!C37</f>
        <v>Acre</v>
      </c>
      <c r="E49" s="112">
        <f>ITE_LUC_Rates!G37</f>
        <v>53.41</v>
      </c>
      <c r="F49" s="53" t="s">
        <v>73</v>
      </c>
      <c r="G49" s="91">
        <f>ITE_LUC_Rates!Q37</f>
        <v>78154.13</v>
      </c>
      <c r="H49" s="91">
        <f>FEE_1_In!$H46</f>
        <v>31457.498142864686</v>
      </c>
      <c r="I49" s="91">
        <f>+FEE_1_In!S46</f>
        <v>23106.030899275396</v>
      </c>
      <c r="J49" s="91">
        <f>+FEE_1_In!V46</f>
        <v>7857.7837048053807</v>
      </c>
      <c r="K49" s="91">
        <f>+FEE_1_In!Y46</f>
        <v>493.68353878390786</v>
      </c>
      <c r="L49" s="91">
        <f>+FEE_2_In!H46</f>
        <v>37415.726790127352</v>
      </c>
      <c r="M49" s="91">
        <f>+FEE_2_In!S46</f>
        <v>31028.37731506311</v>
      </c>
      <c r="N49" s="91">
        <f>+FEE_2_In!V46</f>
        <v>6122.7908022363799</v>
      </c>
      <c r="O49" s="55">
        <f>+FEE_2_In!Y46</f>
        <v>264.55867282786147</v>
      </c>
      <c r="P49" s="55">
        <f>+FEE_3_In!H46</f>
        <v>37218.250784745207</v>
      </c>
      <c r="Q49" s="55">
        <f>+FEE_3_In!S46</f>
        <v>33474.304748357361</v>
      </c>
      <c r="R49" s="55">
        <f>+FEE_3_In!V46</f>
        <v>3583.081319051606</v>
      </c>
      <c r="S49" s="55">
        <f>+FEE_3_In!Y46</f>
        <v>160.86471733623961</v>
      </c>
      <c r="T49" s="55">
        <f>+FEE_4_In!H46</f>
        <v>34936.82903550029</v>
      </c>
      <c r="U49" s="55">
        <f>+FEE_4_In!S46</f>
        <v>29073.900529121751</v>
      </c>
      <c r="V49" s="55">
        <f>+FEE_4_In!V46</f>
        <v>5708.7105978154586</v>
      </c>
      <c r="W49" s="55">
        <f>+FEE_4_In!Y46</f>
        <v>154.21790856307442</v>
      </c>
      <c r="X49" s="55">
        <f>FEE_1_In!$H46</f>
        <v>31457.498142864686</v>
      </c>
      <c r="Y49" s="55">
        <f>+FEE_1_Out!S46</f>
        <v>28064.726238883013</v>
      </c>
      <c r="Z49" s="55">
        <f>+FEE_1_Out!V46</f>
        <v>2135.8238756346186</v>
      </c>
      <c r="AA49" s="55">
        <f>+FEE_1_Out!Y46</f>
        <v>395.05933029737042</v>
      </c>
      <c r="AB49" s="55">
        <f>+FEE_2_Out!H46</f>
        <v>33526.560982810319</v>
      </c>
      <c r="AC49" s="55">
        <f>+FEE_2_Out!S46</f>
        <v>31709.561586701879</v>
      </c>
      <c r="AD49" s="55">
        <f>+FEE_2_Out!V46</f>
        <v>1562.619966402767</v>
      </c>
      <c r="AE49" s="55">
        <f>+FEE_2_Out!Y46</f>
        <v>254.37942970567374</v>
      </c>
      <c r="AF49" s="55">
        <f>+FEE_3_Out!H46</f>
        <v>36093.30394555314</v>
      </c>
      <c r="AG49" s="55">
        <f>+FEE_3_Out!S46</f>
        <v>35273.065314104715</v>
      </c>
      <c r="AH49" s="55">
        <f>+FEE_3_Out!V46</f>
        <v>571.34751074560211</v>
      </c>
      <c r="AI49" s="55">
        <f>+FEE_3_Out!Y46</f>
        <v>248.8911207028232</v>
      </c>
      <c r="AJ49" s="55">
        <f>+FEE_4_Out!H46</f>
        <v>38726.794251921543</v>
      </c>
      <c r="AK49" s="55">
        <f>+FEE_4_Out!S46</f>
        <v>36329.919555420551</v>
      </c>
      <c r="AL49" s="55">
        <f>+FEE_4_Out!V46</f>
        <v>2256.9579497684986</v>
      </c>
      <c r="AM49" s="55">
        <f>+FEE_4_Out!Y46</f>
        <v>139.91674673249571</v>
      </c>
    </row>
    <row r="50" spans="2:39" x14ac:dyDescent="0.25">
      <c r="B50" s="51">
        <f>ITE_LUC_Rates!A38</f>
        <v>490</v>
      </c>
      <c r="C50" s="11" t="str">
        <f>ITE_LUC_Rates!B38</f>
        <v>Tennis Courts</v>
      </c>
      <c r="D50" s="52" t="str">
        <f>ITE_LUC_Rates!C38</f>
        <v>Court</v>
      </c>
      <c r="E50" s="112">
        <f>ITE_LUC_Rates!G38</f>
        <v>30.32</v>
      </c>
      <c r="F50" s="53" t="s">
        <v>73</v>
      </c>
      <c r="G50" s="91">
        <f>ITE_LUC_Rates!Q38</f>
        <v>32020.234</v>
      </c>
      <c r="H50" s="91">
        <f>FEE_1_In!$H47</f>
        <v>17857.91693861931</v>
      </c>
      <c r="I50" s="91">
        <f>+FEE_1_In!S47</f>
        <v>13116.922989440744</v>
      </c>
      <c r="J50" s="91">
        <f>+FEE_1_In!V47</f>
        <v>4460.737725701164</v>
      </c>
      <c r="K50" s="91">
        <f>+FEE_1_In!Y47</f>
        <v>280.25622347740284</v>
      </c>
      <c r="L50" s="91">
        <f>+FEE_2_In!H47</f>
        <v>21240.307737814292</v>
      </c>
      <c r="M50" s="91">
        <f>+FEE_2_In!S47</f>
        <v>17614.311930213695</v>
      </c>
      <c r="N50" s="91">
        <f>+FEE_2_In!V47</f>
        <v>3475.8100940611689</v>
      </c>
      <c r="O50" s="55">
        <f>+FEE_2_In!Y47</f>
        <v>150.18571353942633</v>
      </c>
      <c r="P50" s="55">
        <f>+FEE_3_In!H47</f>
        <v>21128.203778196494</v>
      </c>
      <c r="Q50" s="55">
        <f>+FEE_3_In!S47</f>
        <v>19002.825687515357</v>
      </c>
      <c r="R50" s="55">
        <f>+FEE_3_In!V47</f>
        <v>2034.0577718338268</v>
      </c>
      <c r="S50" s="55">
        <f>+FEE_3_In!Y47</f>
        <v>91.32031884730921</v>
      </c>
      <c r="T50" s="55">
        <f>+FEE_4_In!H47</f>
        <v>19833.077258123358</v>
      </c>
      <c r="U50" s="55">
        <f>+FEE_4_In!S47</f>
        <v>16504.78681975232</v>
      </c>
      <c r="V50" s="55">
        <f>+FEE_4_In!V47</f>
        <v>3240.7434062116595</v>
      </c>
      <c r="W50" s="55">
        <f>+FEE_4_In!Y47</f>
        <v>87.547032159378702</v>
      </c>
      <c r="X50" s="55">
        <f>FEE_1_In!$H47</f>
        <v>17857.91693861931</v>
      </c>
      <c r="Y50" s="55">
        <f>+FEE_1_Out!S47</f>
        <v>15931.894768075883</v>
      </c>
      <c r="Z50" s="55">
        <f>+FEE_1_Out!V47</f>
        <v>1212.4729434420826</v>
      </c>
      <c r="AA50" s="55">
        <f>+FEE_1_Out!Y47</f>
        <v>224.2688428125121</v>
      </c>
      <c r="AB50" s="55">
        <f>+FEE_2_Out!H47</f>
        <v>19032.490713327257</v>
      </c>
      <c r="AC50" s="55">
        <f>+FEE_2_Out!S47</f>
        <v>18001.009311155231</v>
      </c>
      <c r="AD50" s="55">
        <f>+FEE_2_Out!V47</f>
        <v>887.07428162014412</v>
      </c>
      <c r="AE50" s="55">
        <f>+FEE_2_Out!Y47</f>
        <v>144.4071205518822</v>
      </c>
      <c r="AF50" s="55">
        <f>+FEE_3_Out!H47</f>
        <v>20489.589508129025</v>
      </c>
      <c r="AG50" s="55">
        <f>+FEE_3_Out!S47</f>
        <v>20023.953198345909</v>
      </c>
      <c r="AH50" s="55">
        <f>+FEE_3_Out!V47</f>
        <v>324.34481418847889</v>
      </c>
      <c r="AI50" s="55">
        <f>+FEE_3_Out!Y47</f>
        <v>141.29149559463772</v>
      </c>
      <c r="AJ50" s="55">
        <f>+FEE_4_Out!H47</f>
        <v>21984.57969890023</v>
      </c>
      <c r="AK50" s="55">
        <f>+FEE_4_Out!S47</f>
        <v>20623.912393191371</v>
      </c>
      <c r="AL50" s="55">
        <f>+FEE_4_Out!V47</f>
        <v>1281.2388136487716</v>
      </c>
      <c r="AM50" s="55">
        <f>+FEE_4_Out!Y47</f>
        <v>79.42849206008745</v>
      </c>
    </row>
    <row r="51" spans="2:39" x14ac:dyDescent="0.25">
      <c r="B51" s="51">
        <f>ITE_LUC_Rates!A39</f>
        <v>491</v>
      </c>
      <c r="C51" s="11" t="str">
        <f>ITE_LUC_Rates!B39</f>
        <v>Racquet/Tennis Club</v>
      </c>
      <c r="D51" s="52" t="str">
        <f>ITE_LUC_Rates!C39</f>
        <v>Court</v>
      </c>
      <c r="E51" s="112"/>
      <c r="F51" s="53" t="s">
        <v>73</v>
      </c>
      <c r="G51" s="91">
        <f>ITE_LUC_Rates!Q39</f>
        <v>39922.269999999997</v>
      </c>
      <c r="H51" s="91">
        <f>FEE_1_In!$H48</f>
        <v>22793.581316773332</v>
      </c>
      <c r="I51" s="91">
        <f>+FEE_1_In!S48</f>
        <v>16742.246691667442</v>
      </c>
      <c r="J51" s="91">
        <f>+FEE_1_In!V48</f>
        <v>5693.6197224483858</v>
      </c>
      <c r="K51" s="91">
        <f>+FEE_1_In!Y48</f>
        <v>357.71490265750305</v>
      </c>
      <c r="L51" s="91">
        <f>+FEE_2_In!H48</f>
        <v>27110.81495558751</v>
      </c>
      <c r="M51" s="91">
        <f>+FEE_2_In!S48</f>
        <v>22482.647483485165</v>
      </c>
      <c r="N51" s="91">
        <f>+FEE_2_In!V48</f>
        <v>4436.4726464435116</v>
      </c>
      <c r="O51" s="55">
        <f>+FEE_2_In!Y48</f>
        <v>191.69482565883249</v>
      </c>
      <c r="P51" s="55">
        <f>+FEE_3_In!H48</f>
        <v>26967.727117948692</v>
      </c>
      <c r="Q51" s="55">
        <f>+FEE_3_In!S48</f>
        <v>24254.925927006741</v>
      </c>
      <c r="R51" s="55">
        <f>+FEE_3_In!V48</f>
        <v>2596.2412852892185</v>
      </c>
      <c r="S51" s="55">
        <f>+FEE_3_In!Y48</f>
        <v>116.55990565273308</v>
      </c>
      <c r="T51" s="55">
        <f>+FEE_4_In!H48</f>
        <v>25314.646764161414</v>
      </c>
      <c r="U51" s="55">
        <f>+FEE_4_In!S48</f>
        <v>21066.466026530838</v>
      </c>
      <c r="V51" s="55">
        <f>+FEE_4_In!V48</f>
        <v>4136.4369993532728</v>
      </c>
      <c r="W51" s="55">
        <f>+FEE_4_In!Y48</f>
        <v>111.74373827730726</v>
      </c>
      <c r="X51" s="55">
        <f>FEE_1_In!$H48</f>
        <v>22793.581316773332</v>
      </c>
      <c r="Y51" s="55">
        <f>+FEE_1_Out!S48</f>
        <v>20335.235076666781</v>
      </c>
      <c r="Z51" s="55">
        <f>+FEE_1_Out!V48</f>
        <v>1547.5825498419724</v>
      </c>
      <c r="AA51" s="55">
        <f>+FEE_1_Out!Y48</f>
        <v>286.25343723100985</v>
      </c>
      <c r="AB51" s="55">
        <f>+FEE_2_Out!H48</f>
        <v>24292.789927630769</v>
      </c>
      <c r="AC51" s="55">
        <f>+FEE_2_Out!S48</f>
        <v>22976.222306784548</v>
      </c>
      <c r="AD51" s="55">
        <f>+FEE_2_Out!V48</f>
        <v>1132.2485058937855</v>
      </c>
      <c r="AE51" s="55">
        <f>+FEE_2_Out!Y48</f>
        <v>184.31911495243543</v>
      </c>
      <c r="AF51" s="55">
        <f>+FEE_3_Out!H48</f>
        <v>26152.609299623797</v>
      </c>
      <c r="AG51" s="55">
        <f>+FEE_3_Out!S48</f>
        <v>25558.277993930966</v>
      </c>
      <c r="AH51" s="55">
        <f>+FEE_3_Out!V48</f>
        <v>413.98892840020238</v>
      </c>
      <c r="AI51" s="55">
        <f>+FEE_3_Out!Y48</f>
        <v>180.34237729262796</v>
      </c>
      <c r="AJ51" s="55">
        <f>+FEE_4_Out!H48</f>
        <v>28060.792689559341</v>
      </c>
      <c r="AK51" s="55">
        <f>+FEE_4_Out!S48</f>
        <v>26324.057045399284</v>
      </c>
      <c r="AL51" s="55">
        <f>+FEE_4_Out!V48</f>
        <v>1635.354290508162</v>
      </c>
      <c r="AM51" s="55">
        <f>+FEE_4_Out!Y48</f>
        <v>101.38135365189262</v>
      </c>
    </row>
    <row r="52" spans="2:39" x14ac:dyDescent="0.25">
      <c r="B52" s="51">
        <f>ITE_LUC_Rates!A40</f>
        <v>492</v>
      </c>
      <c r="C52" s="11" t="str">
        <f>ITE_LUC_Rates!B40</f>
        <v>Health/Fitness</v>
      </c>
      <c r="D52" s="52" t="str">
        <f>ITE_LUC_Rates!C40</f>
        <v>1000 GSF</v>
      </c>
      <c r="E52" s="112"/>
      <c r="F52" s="53" t="s">
        <v>73</v>
      </c>
      <c r="G52" s="91">
        <f>ITE_LUC_Rates!Q40</f>
        <v>4147.8</v>
      </c>
      <c r="H52" s="91">
        <f>FEE_1_In!$H49</f>
        <v>2225.6430253184244</v>
      </c>
      <c r="I52" s="91">
        <f>+FEE_1_In!S49</f>
        <v>1634.7700723119613</v>
      </c>
      <c r="J52" s="91">
        <f>+FEE_1_In!V49</f>
        <v>555.94444979813829</v>
      </c>
      <c r="K52" s="91">
        <f>+FEE_1_In!Y49</f>
        <v>34.928503208324862</v>
      </c>
      <c r="L52" s="91">
        <f>+FEE_2_In!H49</f>
        <v>2647.1924432603109</v>
      </c>
      <c r="M52" s="91">
        <f>+FEE_2_In!S49</f>
        <v>2195.2823852866591</v>
      </c>
      <c r="N52" s="91">
        <f>+FEE_2_In!V49</f>
        <v>433.1923213535074</v>
      </c>
      <c r="O52" s="55">
        <f>+FEE_2_In!Y49</f>
        <v>18.717736620144592</v>
      </c>
      <c r="P52" s="55">
        <f>+FEE_3_In!H49</f>
        <v>2633.2208587417185</v>
      </c>
      <c r="Q52" s="55">
        <f>+FEE_3_In!S49</f>
        <v>2368.3336974928438</v>
      </c>
      <c r="R52" s="55">
        <f>+FEE_3_In!V49</f>
        <v>253.50585449227125</v>
      </c>
      <c r="S52" s="55">
        <f>+FEE_3_In!Y49</f>
        <v>11.381306756603296</v>
      </c>
      <c r="T52" s="55">
        <f>+FEE_4_In!H49</f>
        <v>2471.808454584319</v>
      </c>
      <c r="U52" s="55">
        <f>+FEE_4_In!S49</f>
        <v>2057.001597443274</v>
      </c>
      <c r="V52" s="55">
        <f>+FEE_4_In!V49</f>
        <v>403.8958173942155</v>
      </c>
      <c r="W52" s="55">
        <f>+FEE_4_In!Y49</f>
        <v>10.911039746829163</v>
      </c>
      <c r="X52" s="55">
        <f>FEE_1_In!$H49</f>
        <v>2225.6430253184244</v>
      </c>
      <c r="Y52" s="55">
        <f>+FEE_1_Out!S49</f>
        <v>1985.6017133774781</v>
      </c>
      <c r="Z52" s="55">
        <f>+FEE_1_Out!V49</f>
        <v>151.11123874270913</v>
      </c>
      <c r="AA52" s="55">
        <f>+FEE_1_Out!Y49</f>
        <v>27.95076197954883</v>
      </c>
      <c r="AB52" s="55">
        <f>+FEE_2_Out!H49</f>
        <v>2372.0308676623026</v>
      </c>
      <c r="AC52" s="55">
        <f>+FEE_2_Out!S49</f>
        <v>2243.4767145446363</v>
      </c>
      <c r="AD52" s="55">
        <f>+FEE_2_Out!V49</f>
        <v>110.55660604835751</v>
      </c>
      <c r="AE52" s="55">
        <f>+FEE_2_Out!Y49</f>
        <v>17.997547069309114</v>
      </c>
      <c r="AF52" s="55">
        <f>+FEE_3_Out!H49</f>
        <v>2553.6299747136532</v>
      </c>
      <c r="AG52" s="55">
        <f>+FEE_3_Out!S49</f>
        <v>2495.5974388492587</v>
      </c>
      <c r="AH52" s="55">
        <f>+FEE_3_Out!V49</f>
        <v>40.423291024255406</v>
      </c>
      <c r="AI52" s="55">
        <f>+FEE_3_Out!Y49</f>
        <v>17.609244840139077</v>
      </c>
      <c r="AJ52" s="55">
        <f>+FEE_4_Out!H49</f>
        <v>2739.9515094394519</v>
      </c>
      <c r="AK52" s="55">
        <f>+FEE_4_Out!S49</f>
        <v>2570.3707173941802</v>
      </c>
      <c r="AL52" s="55">
        <f>+FEE_4_Out!V49</f>
        <v>159.68157087783567</v>
      </c>
      <c r="AM52" s="55">
        <f>+FEE_4_Out!Y49</f>
        <v>9.8992211674359627</v>
      </c>
    </row>
    <row r="53" spans="2:39" x14ac:dyDescent="0.25">
      <c r="B53" s="116">
        <f>ITE_LUC_Rates!A41</f>
        <v>495</v>
      </c>
      <c r="C53" s="117" t="str">
        <f>ITE_LUC_Rates!B41</f>
        <v>Recreational Community Center</v>
      </c>
      <c r="D53" s="203" t="str">
        <f>ITE_LUC_Rates!C41</f>
        <v>1000 GSF</v>
      </c>
      <c r="E53" s="204">
        <f>ITE_LUC_Rates!G41</f>
        <v>28.82</v>
      </c>
      <c r="F53" s="118" t="s">
        <v>73</v>
      </c>
      <c r="G53" s="119">
        <f>ITE_LUC_Rates!Q41</f>
        <v>0</v>
      </c>
      <c r="H53" s="91">
        <f>FEE_1_In!$H50</f>
        <v>16974.444794558323</v>
      </c>
      <c r="I53" s="91">
        <f>+FEE_1_In!S50</f>
        <v>12467.998699066035</v>
      </c>
      <c r="J53" s="91">
        <f>+FEE_1_In!V50</f>
        <v>4240.0547907225437</v>
      </c>
      <c r="K53" s="91">
        <f>+FEE_1_In!Y50</f>
        <v>266.39130476974771</v>
      </c>
      <c r="L53" s="91">
        <f>+FEE_2_In!H50</f>
        <v>20189.500956589971</v>
      </c>
      <c r="M53" s="91">
        <f>+FEE_2_In!S50</f>
        <v>16742.891485117372</v>
      </c>
      <c r="N53" s="91">
        <f>+FEE_2_In!V50</f>
        <v>3303.8537899354515</v>
      </c>
      <c r="O53" s="55">
        <f>+FEE_2_In!Y50</f>
        <v>142.75568153714602</v>
      </c>
      <c r="P53" s="55">
        <f>+FEE_3_In!H50</f>
        <v>20082.943037190729</v>
      </c>
      <c r="Q53" s="55">
        <f>+FEE_3_In!S50</f>
        <v>18062.71227949184</v>
      </c>
      <c r="R53" s="55">
        <f>+FEE_3_In!V50</f>
        <v>1933.4282646520739</v>
      </c>
      <c r="S53" s="55">
        <f>+FEE_3_In!Y50</f>
        <v>86.80249304681567</v>
      </c>
      <c r="T53" s="55">
        <f>+FEE_4_In!H50</f>
        <v>18851.889399047337</v>
      </c>
      <c r="U53" s="55">
        <f>+FEE_4_In!S50</f>
        <v>15688.257128801513</v>
      </c>
      <c r="V53" s="55">
        <f>+FEE_4_In!V50</f>
        <v>3080.4163907328498</v>
      </c>
      <c r="W53" s="55">
        <f>+FEE_4_In!Y50</f>
        <v>83.215879512971441</v>
      </c>
      <c r="X53" s="55">
        <f>FEE_1_In!$H50</f>
        <v>16974.444794558323</v>
      </c>
      <c r="Y53" s="55">
        <f>+FEE_1_Out!S50</f>
        <v>15143.707362003528</v>
      </c>
      <c r="Z53" s="55">
        <f>+FEE_1_Out!V50</f>
        <v>1152.4891236807657</v>
      </c>
      <c r="AA53" s="55">
        <f>+FEE_1_Out!Y50</f>
        <v>213.17374834619386</v>
      </c>
      <c r="AB53" s="55">
        <f>+FEE_2_Out!H50</f>
        <v>18090.909708380328</v>
      </c>
      <c r="AC53" s="55">
        <f>+FEE_2_Out!S50</f>
        <v>17110.458058954278</v>
      </c>
      <c r="AD53" s="55">
        <f>+FEE_2_Out!V50</f>
        <v>843.18868061650892</v>
      </c>
      <c r="AE53" s="55">
        <f>+FEE_2_Out!Y50</f>
        <v>137.26296880953973</v>
      </c>
      <c r="AF53" s="55">
        <f>+FEE_3_Out!H50</f>
        <v>19475.922481011825</v>
      </c>
      <c r="AG53" s="55">
        <f>+FEE_3_Out!S50</f>
        <v>19033.322268348587</v>
      </c>
      <c r="AH53" s="55">
        <f>+FEE_3_Out!V50</f>
        <v>308.29873169234702</v>
      </c>
      <c r="AI53" s="55">
        <f>+FEE_3_Out!Y50</f>
        <v>134.30148097089241</v>
      </c>
      <c r="AJ53" s="55">
        <f>+FEE_4_Out!H50</f>
        <v>20896.952075273897</v>
      </c>
      <c r="AK53" s="55">
        <f>+FEE_4_Out!S50</f>
        <v>19603.600104610003</v>
      </c>
      <c r="AL53" s="55">
        <f>+FEE_4_Out!V50</f>
        <v>1217.8529884352768</v>
      </c>
      <c r="AM53" s="55">
        <f>+FEE_4_Out!Y50</f>
        <v>75.498982228618729</v>
      </c>
    </row>
    <row r="54" spans="2:39" x14ac:dyDescent="0.25">
      <c r="B54" s="92" t="str">
        <f>ITE_LUC_Rates!A42</f>
        <v>Institutional</v>
      </c>
      <c r="C54" s="93"/>
      <c r="D54" s="94"/>
      <c r="E54" s="113"/>
      <c r="F54" s="100"/>
      <c r="G54" s="96"/>
      <c r="H54" s="213"/>
      <c r="I54" s="98"/>
      <c r="J54" s="98"/>
      <c r="K54" s="99"/>
      <c r="L54" s="213"/>
      <c r="M54" s="98"/>
      <c r="N54" s="98"/>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row>
    <row r="55" spans="2:39" x14ac:dyDescent="0.25">
      <c r="B55" s="51">
        <f>ITE_LUC_Rates!A43</f>
        <v>520</v>
      </c>
      <c r="C55" s="11" t="str">
        <f>ITE_LUC_Rates!B43</f>
        <v>Elementary School (30 FT/St)</v>
      </c>
      <c r="D55" s="52" t="str">
        <f>ITE_LUC_Rates!C43</f>
        <v>Student</v>
      </c>
      <c r="E55" s="112">
        <f>ITE_LUC_Rates!G43</f>
        <v>1.89</v>
      </c>
      <c r="F55" s="53" t="s">
        <v>73</v>
      </c>
      <c r="G55" s="91">
        <f>ITE_LUC_Rates!Q43</f>
        <v>198.476</v>
      </c>
      <c r="H55" s="91">
        <f>FEE_1_In!$H52</f>
        <v>812.79525837607173</v>
      </c>
      <c r="I55" s="91">
        <f>+FEE_1_In!S52</f>
        <v>597.0109978082254</v>
      </c>
      <c r="J55" s="91">
        <f>+FEE_1_In!V52</f>
        <v>203.02852145472505</v>
      </c>
      <c r="K55" s="91">
        <f>+FEE_1_In!Y52</f>
        <v>12.755739113121304</v>
      </c>
      <c r="L55" s="91">
        <f>+FEE_2_In!H52</f>
        <v>966.7432923494614</v>
      </c>
      <c r="M55" s="91">
        <f>+FEE_2_In!S52</f>
        <v>801.70768324458777</v>
      </c>
      <c r="N55" s="91">
        <f>+FEE_2_In!V52</f>
        <v>158.19997221283035</v>
      </c>
      <c r="O55" s="55">
        <f>+FEE_2_In!Y52</f>
        <v>6.8356368920433912</v>
      </c>
      <c r="P55" s="55">
        <f>+FEE_3_In!H52</f>
        <v>961.64092978748329</v>
      </c>
      <c r="Q55" s="55">
        <f>+FEE_3_In!S52</f>
        <v>864.90527801467476</v>
      </c>
      <c r="R55" s="55">
        <f>+FEE_3_In!V52</f>
        <v>92.579247506420302</v>
      </c>
      <c r="S55" s="55">
        <f>+FEE_3_In!Y52</f>
        <v>4.1564042663882308</v>
      </c>
      <c r="T55" s="55">
        <f>+FEE_4_In!H52</f>
        <v>902.69381416751685</v>
      </c>
      <c r="U55" s="55">
        <f>+FEE_4_In!S52</f>
        <v>751.2081343928437</v>
      </c>
      <c r="V55" s="55">
        <f>+FEE_4_In!V52</f>
        <v>147.50101499721782</v>
      </c>
      <c r="W55" s="55">
        <f>+FEE_4_In!Y52</f>
        <v>3.9846647774553983</v>
      </c>
      <c r="X55" s="55">
        <f>FEE_1_In!$H52</f>
        <v>812.79525837607173</v>
      </c>
      <c r="Y55" s="55">
        <f>+FEE_1_Out!S52</f>
        <v>725.13320388642205</v>
      </c>
      <c r="Z55" s="55">
        <f>+FEE_1_Out!V52</f>
        <v>55.185174324995927</v>
      </c>
      <c r="AA55" s="55">
        <f>+FEE_1_Out!Y52</f>
        <v>10.207498033843571</v>
      </c>
      <c r="AB55" s="55">
        <f>+FEE_2_Out!H52</f>
        <v>866.25546865574381</v>
      </c>
      <c r="AC55" s="55">
        <f>+FEE_2_Out!S52</f>
        <v>819.30804496292512</v>
      </c>
      <c r="AD55" s="55">
        <f>+FEE_2_Out!V52</f>
        <v>40.374796926564628</v>
      </c>
      <c r="AE55" s="55">
        <f>+FEE_2_Out!Y52</f>
        <v>6.5726267662540936</v>
      </c>
      <c r="AF55" s="55">
        <f>+FEE_3_Out!H52</f>
        <v>932.57468133161706</v>
      </c>
      <c r="AG55" s="55">
        <f>+FEE_3_Out!S52</f>
        <v>911.38144888349302</v>
      </c>
      <c r="AH55" s="55">
        <f>+FEE_3_Out!V52</f>
        <v>14.762411985529488</v>
      </c>
      <c r="AI55" s="55">
        <f>+FEE_3_Out!Y52</f>
        <v>6.4308204625944541</v>
      </c>
      <c r="AJ55" s="55">
        <f>+FEE_4_Out!H52</f>
        <v>1000.6185042788369</v>
      </c>
      <c r="AK55" s="55">
        <f>+FEE_4_Out!S52</f>
        <v>938.68832854172138</v>
      </c>
      <c r="AL55" s="55">
        <f>+FEE_4_Out!V52</f>
        <v>58.31502275212285</v>
      </c>
      <c r="AM55" s="55">
        <f>+FEE_4_Out!Y52</f>
        <v>3.6151529849926582</v>
      </c>
    </row>
    <row r="56" spans="2:39" x14ac:dyDescent="0.25">
      <c r="B56" s="51">
        <f>ITE_LUC_Rates!A44</f>
        <v>530</v>
      </c>
      <c r="C56" s="11" t="str">
        <f>ITE_LUC_Rates!B44</f>
        <v>High School (25 SF/St)</v>
      </c>
      <c r="D56" s="52" t="str">
        <f>ITE_LUC_Rates!C44</f>
        <v>Student</v>
      </c>
      <c r="E56" s="112">
        <f>ITE_LUC_Rates!G44</f>
        <v>2.0299999999999998</v>
      </c>
      <c r="F56" s="53" t="s">
        <v>73</v>
      </c>
      <c r="G56" s="91">
        <f>ITE_LUC_Rates!Q44</f>
        <v>1120.212</v>
      </c>
      <c r="H56" s="91">
        <f>FEE_1_In!$H53</f>
        <v>873.00231455207722</v>
      </c>
      <c r="I56" s="91">
        <f>+FEE_1_In!S53</f>
        <v>641.23403468290883</v>
      </c>
      <c r="J56" s="91">
        <f>+FEE_1_In!V53</f>
        <v>218.0676711921121</v>
      </c>
      <c r="K56" s="91">
        <f>+FEE_1_In!Y53</f>
        <v>13.700608677056215</v>
      </c>
      <c r="L56" s="91">
        <f>+FEE_2_In!H53</f>
        <v>1038.3539065975697</v>
      </c>
      <c r="M56" s="91">
        <f>+FEE_2_In!S53</f>
        <v>861.09343755900159</v>
      </c>
      <c r="N56" s="91">
        <f>+FEE_2_In!V53</f>
        <v>169.91848867303997</v>
      </c>
      <c r="O56" s="55">
        <f>+FEE_2_In!Y53</f>
        <v>7.3419803655280873</v>
      </c>
      <c r="P56" s="55">
        <f>+FEE_3_In!H53</f>
        <v>1032.8735912532225</v>
      </c>
      <c r="Q56" s="55">
        <f>+FEE_3_In!S53</f>
        <v>928.97233564539113</v>
      </c>
      <c r="R56" s="55">
        <f>+FEE_3_In!V53</f>
        <v>99.436969543932904</v>
      </c>
      <c r="S56" s="55">
        <f>+FEE_3_In!Y53</f>
        <v>4.46428606389847</v>
      </c>
      <c r="T56" s="55">
        <f>+FEE_4_In!H53</f>
        <v>969.56002262437005</v>
      </c>
      <c r="U56" s="55">
        <f>+FEE_4_In!S53</f>
        <v>806.85318138490618</v>
      </c>
      <c r="V56" s="55">
        <f>+FEE_4_In!V53</f>
        <v>158.42701610812284</v>
      </c>
      <c r="W56" s="55">
        <f>+FEE_4_In!Y53</f>
        <v>4.2798251313409832</v>
      </c>
      <c r="X56" s="55">
        <f>FEE_1_In!$H53</f>
        <v>873.00231455207722</v>
      </c>
      <c r="Y56" s="55">
        <f>+FEE_1_Out!S53</f>
        <v>778.84677454467555</v>
      </c>
      <c r="Z56" s="55">
        <f>+FEE_1_Out!V53</f>
        <v>59.272965015736354</v>
      </c>
      <c r="AA56" s="55">
        <f>+FEE_1_Out!Y53</f>
        <v>10.963608999313466</v>
      </c>
      <c r="AB56" s="55">
        <f>+FEE_2_Out!H53</f>
        <v>930.42254040802118</v>
      </c>
      <c r="AC56" s="55">
        <f>+FEE_2_Out!S53</f>
        <v>879.99752977499361</v>
      </c>
      <c r="AD56" s="55">
        <f>+FEE_2_Out!V53</f>
        <v>43.365522624828678</v>
      </c>
      <c r="AE56" s="55">
        <f>+FEE_2_Out!Y53</f>
        <v>7.0594880081988425</v>
      </c>
      <c r="AF56" s="55">
        <f>+FEE_3_Out!H53</f>
        <v>1001.6542873561809</v>
      </c>
      <c r="AG56" s="55">
        <f>+FEE_3_Out!S53</f>
        <v>978.89118583782556</v>
      </c>
      <c r="AH56" s="55">
        <f>+FEE_3_Out!V53</f>
        <v>15.855923984457597</v>
      </c>
      <c r="AI56" s="55">
        <f>+FEE_3_Out!Y53</f>
        <v>6.9071775338977472</v>
      </c>
      <c r="AJ56" s="55">
        <f>+FEE_4_Out!H53</f>
        <v>1074.7383934846766</v>
      </c>
      <c r="AK56" s="55">
        <f>+FEE_4_Out!S53</f>
        <v>1008.2207973225895</v>
      </c>
      <c r="AL56" s="55">
        <f>+FEE_4_Out!V53</f>
        <v>62.634654067094907</v>
      </c>
      <c r="AM56" s="55">
        <f>+FEE_4_Out!Y53</f>
        <v>3.8829420949921141</v>
      </c>
    </row>
    <row r="57" spans="2:39" x14ac:dyDescent="0.25">
      <c r="B57" s="116">
        <f>ITE_LUC_Rates!A45</f>
        <v>534</v>
      </c>
      <c r="C57" s="117" t="str">
        <f>ITE_LUC_Rates!B45</f>
        <v>Private School (K-8)</v>
      </c>
      <c r="D57" s="203" t="str">
        <f>ITE_LUC_Rates!C45</f>
        <v>Student</v>
      </c>
      <c r="E57" s="204">
        <f>ITE_LUC_Rates!G45</f>
        <v>4.1100000000000003</v>
      </c>
      <c r="F57" s="118" t="s">
        <v>73</v>
      </c>
      <c r="G57" s="119">
        <f>ITE_LUC_Rates!Q45</f>
        <v>0</v>
      </c>
      <c r="H57" s="91">
        <f>FEE_1_In!$H54</f>
        <v>1556.4733224027323</v>
      </c>
      <c r="I57" s="91">
        <f>+FEE_1_In!S54</f>
        <v>1143.2543210526374</v>
      </c>
      <c r="J57" s="91">
        <f>+FEE_1_In!V54</f>
        <v>388.7922254400462</v>
      </c>
      <c r="K57" s="91">
        <f>+FEE_1_In!Y54</f>
        <v>24.426775910048647</v>
      </c>
      <c r="L57" s="91">
        <f>+FEE_2_In!H54</f>
        <v>1851.2782015486468</v>
      </c>
      <c r="M57" s="91">
        <f>+FEE_2_In!S54</f>
        <v>1535.24101977246</v>
      </c>
      <c r="N57" s="91">
        <f>+FEE_2_In!V54</f>
        <v>302.94718604299976</v>
      </c>
      <c r="O57" s="55">
        <f>+FEE_2_In!Y54</f>
        <v>13.089995733187072</v>
      </c>
      <c r="P57" s="55">
        <f>+FEE_3_In!H54</f>
        <v>1841.5073630415266</v>
      </c>
      <c r="Q57" s="55">
        <f>+FEE_3_In!S54</f>
        <v>1656.262112459674</v>
      </c>
      <c r="R57" s="55">
        <f>+FEE_3_In!V54</f>
        <v>177.28588776435825</v>
      </c>
      <c r="S57" s="55">
        <f>+FEE_3_In!Y54</f>
        <v>7.959362817494303</v>
      </c>
      <c r="T57" s="55">
        <f>+FEE_4_In!H54</f>
        <v>1728.6257831484816</v>
      </c>
      <c r="U57" s="55">
        <f>+FEE_4_In!S54</f>
        <v>1438.5362226281525</v>
      </c>
      <c r="V57" s="55">
        <f>+FEE_4_In!V54</f>
        <v>282.45907257036424</v>
      </c>
      <c r="W57" s="55">
        <f>+FEE_4_In!Y54</f>
        <v>7.6304879499648042</v>
      </c>
      <c r="X57" s="55">
        <f>FEE_1_In!$H54</f>
        <v>1556.4733224027323</v>
      </c>
      <c r="Y57" s="55">
        <f>+FEE_1_Out!S54</f>
        <v>1388.6036802092442</v>
      </c>
      <c r="Z57" s="55">
        <f>+FEE_1_Out!V54</f>
        <v>105.67759930171488</v>
      </c>
      <c r="AA57" s="55">
        <f>+FEE_1_Out!Y54</f>
        <v>19.546987035700436</v>
      </c>
      <c r="AB57" s="55">
        <f>+FEE_2_Out!H54</f>
        <v>1658.8476783710462</v>
      </c>
      <c r="AC57" s="55">
        <f>+FEE_2_Out!S54</f>
        <v>1568.9450715578548</v>
      </c>
      <c r="AD57" s="55">
        <f>+FEE_2_Out!V54</f>
        <v>77.316265893555681</v>
      </c>
      <c r="AE57" s="55">
        <f>+FEE_2_Out!Y54</f>
        <v>12.586340919635715</v>
      </c>
      <c r="AF57" s="55">
        <f>+FEE_3_Out!H54</f>
        <v>1785.8465556762442</v>
      </c>
      <c r="AG57" s="55">
        <f>+FEE_3_Out!S54</f>
        <v>1745.2622872752561</v>
      </c>
      <c r="AH57" s="55">
        <f>+FEE_3_Out!V54</f>
        <v>28.269481389080198</v>
      </c>
      <c r="AI57" s="55">
        <f>+FEE_3_Out!Y54</f>
        <v>12.314787011907764</v>
      </c>
      <c r="AJ57" s="55">
        <f>+FEE_4_Out!H54</f>
        <v>1916.1479988505594</v>
      </c>
      <c r="AK57" s="55">
        <f>+FEE_4_Out!S54</f>
        <v>1797.5539674592819</v>
      </c>
      <c r="AL57" s="55">
        <f>+FEE_4_Out!V54</f>
        <v>111.67114506835766</v>
      </c>
      <c r="AM57" s="55">
        <f>+FEE_4_Out!Y54</f>
        <v>6.9228863229196822</v>
      </c>
    </row>
    <row r="58" spans="2:39" x14ac:dyDescent="0.25">
      <c r="B58" s="116">
        <f>ITE_LUC_Rates!A46</f>
        <v>536</v>
      </c>
      <c r="C58" s="117" t="str">
        <f>ITE_LUC_Rates!B46</f>
        <v>Private School (K-12)</v>
      </c>
      <c r="D58" s="203" t="str">
        <f>ITE_LUC_Rates!C46</f>
        <v>Student</v>
      </c>
      <c r="E58" s="204">
        <f>ITE_LUC_Rates!G46</f>
        <v>2.48</v>
      </c>
      <c r="F58" s="118" t="s">
        <v>73</v>
      </c>
      <c r="G58" s="119">
        <f>ITE_LUC_Rates!Q46</f>
        <v>0</v>
      </c>
      <c r="H58" s="91">
        <f>FEE_1_In!$H55</f>
        <v>939.18584904106456</v>
      </c>
      <c r="I58" s="91">
        <f>+FEE_1_In!S55</f>
        <v>689.84688958893923</v>
      </c>
      <c r="J58" s="91">
        <f>+FEE_1_In!V55</f>
        <v>234.59968834338551</v>
      </c>
      <c r="K58" s="91">
        <f>+FEE_1_In!Y55</f>
        <v>14.739271108739814</v>
      </c>
      <c r="L58" s="91">
        <f>+FEE_2_In!H55</f>
        <v>1117.0729780634169</v>
      </c>
      <c r="M58" s="91">
        <f>+FEE_2_In!S55</f>
        <v>926.37414331768855</v>
      </c>
      <c r="N58" s="91">
        <f>+FEE_2_In!V55</f>
        <v>182.80024851256437</v>
      </c>
      <c r="O58" s="55">
        <f>+FEE_2_In!Y55</f>
        <v>7.898586233163976</v>
      </c>
      <c r="P58" s="55">
        <f>+FEE_3_In!H55</f>
        <v>1111.1771922975634</v>
      </c>
      <c r="Q58" s="55">
        <f>+FEE_3_In!S55</f>
        <v>999.39903622870838</v>
      </c>
      <c r="R58" s="55">
        <f>+FEE_3_In!V55</f>
        <v>106.97542619357868</v>
      </c>
      <c r="S58" s="55">
        <f>+FEE_3_In!Y55</f>
        <v>4.8027298752763672</v>
      </c>
      <c r="T58" s="55">
        <f>+FEE_4_In!H55</f>
        <v>1043.0637328973803</v>
      </c>
      <c r="U58" s="55">
        <f>+FEE_4_In!S55</f>
        <v>868.02185696297261</v>
      </c>
      <c r="V58" s="55">
        <f>+FEE_4_In!V55</f>
        <v>170.43759123467231</v>
      </c>
      <c r="W58" s="55">
        <f>+FEE_4_In!Y55</f>
        <v>4.6042846997354534</v>
      </c>
      <c r="X58" s="55">
        <f>FEE_1_In!$H55</f>
        <v>939.18584904106456</v>
      </c>
      <c r="Y58" s="55">
        <f>+FEE_1_Out!S55</f>
        <v>837.89224499243937</v>
      </c>
      <c r="Z58" s="55">
        <f>+FEE_1_Out!V55</f>
        <v>63.766531938747661</v>
      </c>
      <c r="AA58" s="55">
        <f>+FEE_1_Out!Y55</f>
        <v>11.794775632247461</v>
      </c>
      <c r="AB58" s="55">
        <f>+FEE_2_Out!H55</f>
        <v>1000.9591830560083</v>
      </c>
      <c r="AC58" s="55">
        <f>+FEE_2_Out!S55</f>
        <v>946.7113813779755</v>
      </c>
      <c r="AD58" s="55">
        <f>+FEE_2_Out!V55</f>
        <v>46.653123945503189</v>
      </c>
      <c r="AE58" s="55">
        <f>+FEE_2_Out!Y55</f>
        <v>7.5946777325295791</v>
      </c>
      <c r="AF58" s="55">
        <f>+FEE_3_Out!H55</f>
        <v>1077.5911090211885</v>
      </c>
      <c r="AG58" s="55">
        <f>+FEE_3_Out!S55</f>
        <v>1053.102304730568</v>
      </c>
      <c r="AH58" s="55">
        <f>+FEE_3_Out!V55</f>
        <v>17.057983903873211</v>
      </c>
      <c r="AI58" s="55">
        <f>+FEE_3_Out!Y55</f>
        <v>7.4308203867472633</v>
      </c>
      <c r="AJ58" s="55">
        <f>+FEE_4_Out!H55</f>
        <v>1156.2158241239383</v>
      </c>
      <c r="AK58" s="55">
        <f>+FEE_4_Out!S55</f>
        <v>1084.6554353525594</v>
      </c>
      <c r="AL58" s="55">
        <f>+FEE_4_Out!V55</f>
        <v>67.383075369714589</v>
      </c>
      <c r="AM58" s="55">
        <f>+FEE_4_Out!Y55</f>
        <v>4.1773134016644304</v>
      </c>
    </row>
    <row r="59" spans="2:39" x14ac:dyDescent="0.25">
      <c r="B59" s="116">
        <f>ITE_LUC_Rates!A47</f>
        <v>537</v>
      </c>
      <c r="C59" s="117" t="str">
        <f>ITE_LUC_Rates!B47</f>
        <v>Charter Elementary School</v>
      </c>
      <c r="D59" s="203" t="str">
        <f>ITE_LUC_Rates!C47</f>
        <v>Student</v>
      </c>
      <c r="E59" s="204">
        <f>ITE_LUC_Rates!G47</f>
        <v>1.85</v>
      </c>
      <c r="F59" s="118" t="s">
        <v>73</v>
      </c>
      <c r="G59" s="119">
        <f>ITE_LUC_Rates!Q47</f>
        <v>0</v>
      </c>
      <c r="H59" s="91">
        <f>FEE_1_In!$H56</f>
        <v>1707.0706982058487</v>
      </c>
      <c r="I59" s="91">
        <f>+FEE_1_In!S56</f>
        <v>1253.8704801271274</v>
      </c>
      <c r="J59" s="91">
        <f>+FEE_1_In!V56</f>
        <v>426.41001691850164</v>
      </c>
      <c r="K59" s="91">
        <f>+FEE_1_In!Y56</f>
        <v>26.79020116021961</v>
      </c>
      <c r="L59" s="91">
        <f>+FEE_2_In!H56</f>
        <v>2030.3995748622344</v>
      </c>
      <c r="M59" s="91">
        <f>+FEE_2_In!S56</f>
        <v>1683.7840532284554</v>
      </c>
      <c r="N59" s="91">
        <f>+FEE_2_In!V56</f>
        <v>332.25899663965419</v>
      </c>
      <c r="O59" s="55">
        <f>+FEE_2_In!Y56</f>
        <v>14.356524994124763</v>
      </c>
      <c r="P59" s="55">
        <f>+FEE_3_In!H56</f>
        <v>2019.683353856494</v>
      </c>
      <c r="Q59" s="55">
        <f>+FEE_3_In!S56</f>
        <v>1816.5146039020003</v>
      </c>
      <c r="R59" s="55">
        <f>+FEE_3_In!V56</f>
        <v>194.43927489920694</v>
      </c>
      <c r="S59" s="55">
        <f>+FEE_3_In!Y56</f>
        <v>8.7294750552865743</v>
      </c>
      <c r="T59" s="55">
        <f>+FEE_4_In!H56</f>
        <v>1895.8798587184385</v>
      </c>
      <c r="U59" s="55">
        <f>+FEE_4_In!S56</f>
        <v>1577.7225337633156</v>
      </c>
      <c r="V59" s="55">
        <f>+FEE_4_In!V56</f>
        <v>309.78854522410273</v>
      </c>
      <c r="W59" s="55">
        <f>+FEE_4_In!Y56</f>
        <v>8.3687797310202523</v>
      </c>
      <c r="X59" s="55">
        <f>FEE_1_In!$H56</f>
        <v>1707.0706982058487</v>
      </c>
      <c r="Y59" s="55">
        <f>+FEE_1_Out!S56</f>
        <v>1522.958742554446</v>
      </c>
      <c r="Z59" s="55">
        <f>+FEE_1_Out!V56</f>
        <v>115.90248970423323</v>
      </c>
      <c r="AA59" s="55">
        <f>+FEE_1_Out!Y56</f>
        <v>21.438265806794174</v>
      </c>
      <c r="AB59" s="55">
        <f>+FEE_2_Out!H56</f>
        <v>1819.3503375712223</v>
      </c>
      <c r="AC59" s="55">
        <f>+FEE_2_Out!S56</f>
        <v>1720.7491578566814</v>
      </c>
      <c r="AD59" s="55">
        <f>+FEE_2_Out!V56</f>
        <v>84.797040914158785</v>
      </c>
      <c r="AE59" s="55">
        <f>+FEE_2_Out!Y56</f>
        <v>13.804138800382221</v>
      </c>
      <c r="AF59" s="55">
        <f>+FEE_3_Out!H56</f>
        <v>1958.6370564839981</v>
      </c>
      <c r="AG59" s="55">
        <f>+FEE_3_Out!S56</f>
        <v>1914.1260363474628</v>
      </c>
      <c r="AH59" s="55">
        <f>+FEE_3_Out!V56</f>
        <v>31.004709581708969</v>
      </c>
      <c r="AI59" s="55">
        <f>+FEE_3_Out!Y56</f>
        <v>13.506310554826378</v>
      </c>
      <c r="AJ59" s="55">
        <f>+FEE_4_Out!H56</f>
        <v>2101.5458827229445</v>
      </c>
      <c r="AK59" s="55">
        <f>+FEE_4_Out!S56</f>
        <v>1971.4772249077025</v>
      </c>
      <c r="AL59" s="55">
        <f>+FEE_4_Out!V56</f>
        <v>122.47594407015666</v>
      </c>
      <c r="AM59" s="55">
        <f>+FEE_4_Out!Y56</f>
        <v>7.5927137450855664</v>
      </c>
    </row>
    <row r="60" spans="2:39" x14ac:dyDescent="0.25">
      <c r="B60" s="51">
        <f>ITE_LUC_Rates!A48</f>
        <v>540</v>
      </c>
      <c r="C60" s="11" t="str">
        <f>ITE_LUC_Rates!B48</f>
        <v>Jr./Community Co</v>
      </c>
      <c r="D60" s="52" t="str">
        <f>ITE_LUC_Rates!C48</f>
        <v>Student</v>
      </c>
      <c r="E60" s="112">
        <f>ITE_LUC_Rates!G48</f>
        <v>1.1499999999999999</v>
      </c>
      <c r="F60" s="53" t="s">
        <v>73</v>
      </c>
      <c r="G60" s="91">
        <f>ITE_LUC_Rates!Q48</f>
        <v>1192.538</v>
      </c>
      <c r="H60" s="91">
        <f>FEE_1_In!$H57</f>
        <v>435.50956709565492</v>
      </c>
      <c r="I60" s="91">
        <f>+FEE_1_In!S57</f>
        <v>319.88867864003231</v>
      </c>
      <c r="J60" s="91">
        <f>+FEE_1_In!V57</f>
        <v>108.78614580439246</v>
      </c>
      <c r="K60" s="91">
        <f>+FEE_1_In!Y57</f>
        <v>6.8347426512301555</v>
      </c>
      <c r="L60" s="91">
        <f>+FEE_2_In!H57</f>
        <v>517.99755031166501</v>
      </c>
      <c r="M60" s="91">
        <f>+FEE_2_In!S57</f>
        <v>429.56865516747655</v>
      </c>
      <c r="N60" s="91">
        <f>+FEE_2_In!V57</f>
        <v>84.766244269939094</v>
      </c>
      <c r="O60" s="55">
        <f>+FEE_2_In!Y57</f>
        <v>3.6626508742494228</v>
      </c>
      <c r="P60" s="55">
        <f>+FEE_3_In!H57</f>
        <v>515.26361739604749</v>
      </c>
      <c r="Q60" s="55">
        <f>+FEE_3_In!S57</f>
        <v>463.43100470282843</v>
      </c>
      <c r="R60" s="55">
        <f>+FEE_3_In!V57</f>
        <v>49.605540372022368</v>
      </c>
      <c r="S60" s="55">
        <f>+FEE_3_In!Y57</f>
        <v>2.2270723211967018</v>
      </c>
      <c r="T60" s="55">
        <f>+FEE_4_In!H57</f>
        <v>483.67874710967226</v>
      </c>
      <c r="U60" s="55">
        <f>+FEE_4_In!S57</f>
        <v>402.51013528524931</v>
      </c>
      <c r="V60" s="55">
        <f>+FEE_4_In!V57</f>
        <v>79.03356045156174</v>
      </c>
      <c r="W60" s="55">
        <f>+FEE_4_In!Y57</f>
        <v>2.1350513728611977</v>
      </c>
      <c r="X60" s="55">
        <f>FEE_1_In!$H57</f>
        <v>435.50956709565492</v>
      </c>
      <c r="Y60" s="55">
        <f>+FEE_1_Out!S57</f>
        <v>388.53874263762305</v>
      </c>
      <c r="Z60" s="55">
        <f>+FEE_1_Out!V57</f>
        <v>29.569157955467666</v>
      </c>
      <c r="AA60" s="55">
        <f>+FEE_1_Out!Y57</f>
        <v>5.4693516036631369</v>
      </c>
      <c r="AB60" s="55">
        <f>+FEE_2_Out!H57</f>
        <v>464.15445988484248</v>
      </c>
      <c r="AC60" s="55">
        <f>+FEE_2_Out!S57</f>
        <v>438.99922926801275</v>
      </c>
      <c r="AD60" s="55">
        <f>+FEE_2_Out!V57</f>
        <v>21.633505055374457</v>
      </c>
      <c r="AE60" s="55">
        <f>+FEE_2_Out!Y57</f>
        <v>3.5217255614552481</v>
      </c>
      <c r="AF60" s="55">
        <f>+FEE_3_Out!H57</f>
        <v>499.6894255541801</v>
      </c>
      <c r="AG60" s="55">
        <f>+FEE_3_Out!S57</f>
        <v>488.33373001619077</v>
      </c>
      <c r="AH60" s="55">
        <f>+FEE_3_Out!V57</f>
        <v>7.9099522134895919</v>
      </c>
      <c r="AI60" s="55">
        <f>+FEE_3_Out!Y57</f>
        <v>3.4457433244997389</v>
      </c>
      <c r="AJ60" s="55">
        <f>+FEE_4_Out!H57</f>
        <v>536.14846683166502</v>
      </c>
      <c r="AK60" s="55">
        <f>+FEE_4_Out!S57</f>
        <v>502.96522203848519</v>
      </c>
      <c r="AL60" s="55">
        <f>+FEE_4_Out!V57</f>
        <v>31.246184143214425</v>
      </c>
      <c r="AM60" s="55">
        <f>+FEE_4_Out!Y57</f>
        <v>1.9370606499653606</v>
      </c>
    </row>
    <row r="61" spans="2:39" x14ac:dyDescent="0.25">
      <c r="B61" s="51">
        <f>ITE_LUC_Rates!A49</f>
        <v>550</v>
      </c>
      <c r="C61" s="11" t="str">
        <f>ITE_LUC_Rates!B49</f>
        <v>University (20SF/st)</v>
      </c>
      <c r="D61" s="52" t="str">
        <f>ITE_LUC_Rates!C49</f>
        <v>Student</v>
      </c>
      <c r="E61" s="112">
        <f>ITE_LUC_Rates!G49</f>
        <v>1.56</v>
      </c>
      <c r="F61" s="53" t="s">
        <v>73</v>
      </c>
      <c r="G61" s="91">
        <f>ITE_LUC_Rates!Q49</f>
        <v>2364.8919999999998</v>
      </c>
      <c r="H61" s="91">
        <f>FEE_1_In!$H58</f>
        <v>590.77819536454058</v>
      </c>
      <c r="I61" s="91">
        <f>+FEE_1_In!S58</f>
        <v>433.93594667691343</v>
      </c>
      <c r="J61" s="91">
        <f>+FEE_1_In!V58</f>
        <v>147.5707716998715</v>
      </c>
      <c r="K61" s="91">
        <f>+FEE_1_In!Y58</f>
        <v>9.2714769877556886</v>
      </c>
      <c r="L61" s="91">
        <f>+FEE_2_In!H58</f>
        <v>702.67493781408473</v>
      </c>
      <c r="M61" s="91">
        <f>+FEE_2_In!S58</f>
        <v>582.71921918370731</v>
      </c>
      <c r="N61" s="91">
        <f>+FEE_2_In!V58</f>
        <v>114.98725309661303</v>
      </c>
      <c r="O61" s="55">
        <f>+FEE_2_In!Y58</f>
        <v>4.9684655337644354</v>
      </c>
      <c r="P61" s="55">
        <f>+FEE_3_In!H58</f>
        <v>698.96629838072522</v>
      </c>
      <c r="Q61" s="55">
        <f>+FEE_3_In!S58</f>
        <v>628.65423246644536</v>
      </c>
      <c r="R61" s="55">
        <f>+FEE_3_In!V58</f>
        <v>67.290993895960796</v>
      </c>
      <c r="S61" s="55">
        <f>+FEE_3_In!Y58</f>
        <v>3.0210720183190047</v>
      </c>
      <c r="T61" s="55">
        <f>+FEE_4_In!H58</f>
        <v>656.12073520964236</v>
      </c>
      <c r="U61" s="55">
        <f>+FEE_4_In!S58</f>
        <v>546.013748734773</v>
      </c>
      <c r="V61" s="55">
        <f>+FEE_4_In!V58</f>
        <v>107.21074287342292</v>
      </c>
      <c r="W61" s="55">
        <f>+FEE_4_In!Y58</f>
        <v>2.896243601446495</v>
      </c>
      <c r="X61" s="55">
        <f>FEE_1_In!$H58</f>
        <v>590.77819536454058</v>
      </c>
      <c r="Y61" s="55">
        <f>+FEE_1_Out!S58</f>
        <v>527.06125088234091</v>
      </c>
      <c r="Z61" s="55">
        <f>+FEE_1_Out!V58</f>
        <v>40.111205574373528</v>
      </c>
      <c r="AA61" s="55">
        <f>+FEE_1_Out!Y58</f>
        <v>7.4192943493169521</v>
      </c>
      <c r="AB61" s="55">
        <f>+FEE_2_Out!H58</f>
        <v>629.63561514813421</v>
      </c>
      <c r="AC61" s="55">
        <f>+FEE_2_Out!S58</f>
        <v>595.51199796356525</v>
      </c>
      <c r="AD61" s="55">
        <f>+FEE_2_Out!V58</f>
        <v>29.346319901203618</v>
      </c>
      <c r="AE61" s="55">
        <f>+FEE_2_Out!Y58</f>
        <v>4.7772972833653808</v>
      </c>
      <c r="AF61" s="55">
        <f>+FEE_3_Out!H58</f>
        <v>677.83956857784426</v>
      </c>
      <c r="AG61" s="55">
        <f>+FEE_3_Out!S58</f>
        <v>662.43532071761524</v>
      </c>
      <c r="AH61" s="55">
        <f>+FEE_3_Out!V58</f>
        <v>10.730022133081533</v>
      </c>
      <c r="AI61" s="55">
        <f>+FEE_3_Out!Y58</f>
        <v>4.6742257271474719</v>
      </c>
      <c r="AJ61" s="55">
        <f>+FEE_4_Out!H58</f>
        <v>727.29705065860628</v>
      </c>
      <c r="AK61" s="55">
        <f>+FEE_4_Out!S58</f>
        <v>682.28325772177118</v>
      </c>
      <c r="AL61" s="55">
        <f>+FEE_4_Out!V58</f>
        <v>42.386128055143047</v>
      </c>
      <c r="AM61" s="55">
        <f>+FEE_4_Out!Y58</f>
        <v>2.6276648816921417</v>
      </c>
    </row>
    <row r="62" spans="2:39" x14ac:dyDescent="0.25">
      <c r="B62" s="51">
        <f>ITE_LUC_Rates!A50</f>
        <v>560</v>
      </c>
      <c r="C62" s="11" t="str">
        <f>ITE_LUC_Rates!B50</f>
        <v>Church</v>
      </c>
      <c r="D62" s="52" t="str">
        <f>ITE_LUC_Rates!C50</f>
        <v>1000 GSF</v>
      </c>
      <c r="E62" s="112">
        <f>ITE_LUC_Rates!G50</f>
        <v>6.95</v>
      </c>
      <c r="F62" s="53" t="s">
        <v>73</v>
      </c>
      <c r="G62" s="91">
        <f>ITE_LUC_Rates!Q50</f>
        <v>5966.1</v>
      </c>
      <c r="H62" s="91">
        <f>FEE_1_In!$H59</f>
        <v>5778.181107874444</v>
      </c>
      <c r="I62" s="91">
        <f>+FEE_1_In!S59</f>
        <v>4244.1655917395228</v>
      </c>
      <c r="J62" s="91">
        <f>+FEE_1_In!V59</f>
        <v>1443.3346589315067</v>
      </c>
      <c r="K62" s="91">
        <f>+FEE_1_In!Y59</f>
        <v>90.680857203414078</v>
      </c>
      <c r="L62" s="91">
        <f>+FEE_2_In!H59</f>
        <v>6872.6013967879298</v>
      </c>
      <c r="M62" s="91">
        <f>+FEE_2_In!S59</f>
        <v>5699.3592686761176</v>
      </c>
      <c r="N62" s="91">
        <f>+FEE_2_In!V59</f>
        <v>1124.6474204743574</v>
      </c>
      <c r="O62" s="55">
        <f>+FEE_2_In!Y59</f>
        <v>48.594707637454746</v>
      </c>
      <c r="P62" s="55">
        <f>+FEE_3_In!H59</f>
        <v>6836.3285781939176</v>
      </c>
      <c r="Q62" s="55">
        <f>+FEE_3_In!S59</f>
        <v>6148.6324951134966</v>
      </c>
      <c r="R62" s="55">
        <f>+FEE_3_In!V59</f>
        <v>658.14810483960639</v>
      </c>
      <c r="S62" s="55">
        <f>+FEE_3_In!Y59</f>
        <v>29.547978240814306</v>
      </c>
      <c r="T62" s="55">
        <f>+FEE_4_In!H59</f>
        <v>6417.2721106162198</v>
      </c>
      <c r="U62" s="55">
        <f>+FEE_4_In!S59</f>
        <v>5340.3567571281001</v>
      </c>
      <c r="V62" s="55">
        <f>+FEE_4_In!V59</f>
        <v>1048.5882754189056</v>
      </c>
      <c r="W62" s="55">
        <f>+FEE_4_In!Y59</f>
        <v>28.327078069213449</v>
      </c>
      <c r="X62" s="55">
        <f>FEE_1_In!$H59</f>
        <v>5778.181107874444</v>
      </c>
      <c r="Y62" s="55">
        <f>+FEE_1_Out!S59</f>
        <v>5154.9894468630682</v>
      </c>
      <c r="Z62" s="55">
        <f>+FEE_1_Out!V59</f>
        <v>392.31273612070146</v>
      </c>
      <c r="AA62" s="55">
        <f>+FEE_1_Out!Y59</f>
        <v>72.565349871333368</v>
      </c>
      <c r="AB62" s="55">
        <f>+FEE_2_Out!H59</f>
        <v>6158.2310329664888</v>
      </c>
      <c r="AC62" s="55">
        <f>+FEE_2_Out!S59</f>
        <v>5824.4806649006014</v>
      </c>
      <c r="AD62" s="55">
        <f>+FEE_2_Out!V59</f>
        <v>287.02540576018066</v>
      </c>
      <c r="AE62" s="55">
        <f>+FEE_2_Out!Y59</f>
        <v>46.72496230570696</v>
      </c>
      <c r="AF62" s="55">
        <f>+FEE_3_Out!H59</f>
        <v>6629.6959164335267</v>
      </c>
      <c r="AG62" s="55">
        <f>+FEE_3_Out!S59</f>
        <v>6479.0327154803035</v>
      </c>
      <c r="AH62" s="55">
        <f>+FEE_3_Out!V59</f>
        <v>104.94634308259998</v>
      </c>
      <c r="AI62" s="55">
        <f>+FEE_3_Out!Y59</f>
        <v>45.716857870623599</v>
      </c>
      <c r="AJ62" s="55">
        <f>+FEE_4_Out!H59</f>
        <v>7113.4210959414841</v>
      </c>
      <c r="AK62" s="55">
        <f>+FEE_4_Out!S59</f>
        <v>6673.1579819975113</v>
      </c>
      <c r="AL62" s="55">
        <f>+FEE_4_Out!V59</f>
        <v>414.5629041252098</v>
      </c>
      <c r="AM62" s="55">
        <f>+FEE_4_Out!Y59</f>
        <v>25.700209818762694</v>
      </c>
    </row>
    <row r="63" spans="2:39" x14ac:dyDescent="0.25">
      <c r="B63" s="51">
        <f>ITE_LUC_Rates!A51</f>
        <v>565</v>
      </c>
      <c r="C63" s="11" t="str">
        <f>ITE_LUC_Rates!B51</f>
        <v>Day Care Center</v>
      </c>
      <c r="D63" s="52" t="str">
        <f>ITE_LUC_Rates!C51</f>
        <v>1000 GSF</v>
      </c>
      <c r="E63" s="112">
        <f>ITE_LUC_Rates!G51</f>
        <v>47.62</v>
      </c>
      <c r="F63" s="53" t="s">
        <v>73</v>
      </c>
      <c r="G63" s="91">
        <f>ITE_LUC_Rates!Q51</f>
        <v>8112.3</v>
      </c>
      <c r="H63" s="91">
        <f>FEE_1_In!$H60</f>
        <v>9863.2104557440944</v>
      </c>
      <c r="I63" s="91">
        <f>+FEE_1_In!S60</f>
        <v>7244.6843840368247</v>
      </c>
      <c r="J63" s="91">
        <f>+FEE_1_In!V60</f>
        <v>2463.7361192626031</v>
      </c>
      <c r="K63" s="91">
        <f>+FEE_1_In!Y60</f>
        <v>154.78995244466569</v>
      </c>
      <c r="L63" s="91">
        <f>+FEE_2_In!H60</f>
        <v>11731.358482790067</v>
      </c>
      <c r="M63" s="91">
        <f>+FEE_2_In!S60</f>
        <v>9728.663550064306</v>
      </c>
      <c r="N63" s="91">
        <f>+FEE_2_In!V60</f>
        <v>1919.7449836820417</v>
      </c>
      <c r="O63" s="55">
        <f>+FEE_2_In!Y60</f>
        <v>82.949949043720039</v>
      </c>
      <c r="P63" s="55">
        <f>+FEE_3_In!H60</f>
        <v>11669.441689782625</v>
      </c>
      <c r="Q63" s="55">
        <f>+FEE_3_In!S60</f>
        <v>10495.561697033798</v>
      </c>
      <c r="R63" s="55">
        <f>+FEE_3_In!V60</f>
        <v>1123.4423338229537</v>
      </c>
      <c r="S63" s="55">
        <f>+FEE_3_In!Y60</f>
        <v>50.43765892587377</v>
      </c>
      <c r="T63" s="55">
        <f>+FEE_4_In!H60</f>
        <v>10954.122793508019</v>
      </c>
      <c r="U63" s="55">
        <f>+FEE_4_In!S60</f>
        <v>9115.8552528800465</v>
      </c>
      <c r="V63" s="55">
        <f>+FEE_4_In!V60</f>
        <v>1789.9139277216218</v>
      </c>
      <c r="W63" s="55">
        <f>+FEE_4_In!Y60</f>
        <v>48.353612906349973</v>
      </c>
      <c r="X63" s="55">
        <f>FEE_1_In!$H60</f>
        <v>9863.2104557440944</v>
      </c>
      <c r="Y63" s="55">
        <f>+FEE_1_Out!S60</f>
        <v>8799.4378961676339</v>
      </c>
      <c r="Z63" s="55">
        <f>+FEE_1_Out!V60</f>
        <v>669.66801638564289</v>
      </c>
      <c r="AA63" s="55">
        <f>+FEE_1_Out!Y60</f>
        <v>123.8672350716522</v>
      </c>
      <c r="AB63" s="55">
        <f>+FEE_2_Out!H60</f>
        <v>10511.946160785283</v>
      </c>
      <c r="AC63" s="55">
        <f>+FEE_2_Out!S60</f>
        <v>9942.2426401687699</v>
      </c>
      <c r="AD63" s="55">
        <f>+FEE_2_Out!V60</f>
        <v>489.9451800325121</v>
      </c>
      <c r="AE63" s="55">
        <f>+FEE_2_Out!Y60</f>
        <v>79.758340584002269</v>
      </c>
      <c r="AF63" s="55">
        <f>+FEE_3_Out!H60</f>
        <v>11316.724910587896</v>
      </c>
      <c r="AG63" s="55">
        <f>+FEE_3_Out!S60</f>
        <v>11059.54659942133</v>
      </c>
      <c r="AH63" s="55">
        <f>+FEE_3_Out!V60</f>
        <v>179.14077960861644</v>
      </c>
      <c r="AI63" s="55">
        <f>+FEE_3_Out!Y60</f>
        <v>78.037531557949819</v>
      </c>
      <c r="AJ63" s="55">
        <f>+FEE_4_Out!H60</f>
        <v>12142.431678713869</v>
      </c>
      <c r="AK63" s="55">
        <f>+FEE_4_Out!S60</f>
        <v>11390.913568142212</v>
      </c>
      <c r="AL63" s="55">
        <f>+FEE_4_Out!V60</f>
        <v>707.64849598761566</v>
      </c>
      <c r="AM63" s="55">
        <f>+FEE_4_Out!Y60</f>
        <v>43.869614584040697</v>
      </c>
    </row>
    <row r="64" spans="2:39" x14ac:dyDescent="0.25">
      <c r="B64" s="92" t="str">
        <f>ITE_LUC_Rates!A52</f>
        <v>Medical</v>
      </c>
      <c r="C64" s="93"/>
      <c r="D64" s="94"/>
      <c r="E64" s="113"/>
      <c r="F64" s="100"/>
      <c r="G64" s="96"/>
      <c r="H64" s="213"/>
      <c r="I64" s="98"/>
      <c r="J64" s="98"/>
      <c r="K64" s="99"/>
      <c r="L64" s="213"/>
      <c r="M64" s="98"/>
      <c r="N64" s="98"/>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row>
    <row r="65" spans="2:39" x14ac:dyDescent="0.25">
      <c r="B65" s="51">
        <f>ITE_LUC_Rates!A53</f>
        <v>610</v>
      </c>
      <c r="C65" s="11" t="str">
        <f>ITE_LUC_Rates!B53</f>
        <v>Hospital</v>
      </c>
      <c r="D65" s="52" t="str">
        <f>ITE_LUC_Rates!C53</f>
        <v>1000 GSF</v>
      </c>
      <c r="E65" s="112">
        <f>ITE_LUC_Rates!G53</f>
        <v>10.72</v>
      </c>
      <c r="F65" s="53" t="s">
        <v>73</v>
      </c>
      <c r="G65" s="91">
        <f>ITE_LUC_Rates!Q53</f>
        <v>17837.599999999999</v>
      </c>
      <c r="H65" s="91">
        <f>FEE_1_In!$H62</f>
        <v>9891.7826404144307</v>
      </c>
      <c r="I65" s="91">
        <f>+FEE_1_In!S62</f>
        <v>7265.6711064663823</v>
      </c>
      <c r="J65" s="91">
        <f>+FEE_1_In!V62</f>
        <v>2470.8731791169384</v>
      </c>
      <c r="K65" s="91">
        <f>+FEE_1_In!Y62</f>
        <v>155.2383548311104</v>
      </c>
      <c r="L65" s="91">
        <f>+FEE_2_In!H62</f>
        <v>11765.342401363861</v>
      </c>
      <c r="M65" s="91">
        <f>+FEE_2_In!S62</f>
        <v>9756.8459733021809</v>
      </c>
      <c r="N65" s="91">
        <f>+FEE_2_In!V62</f>
        <v>1925.3061859335637</v>
      </c>
      <c r="O65" s="55">
        <f>+FEE_2_In!Y62</f>
        <v>83.190242128117546</v>
      </c>
      <c r="P65" s="55">
        <f>+FEE_3_In!H62</f>
        <v>11703.246245049522</v>
      </c>
      <c r="Q65" s="55">
        <f>+FEE_3_In!S62</f>
        <v>10525.965704772672</v>
      </c>
      <c r="R65" s="55">
        <f>+FEE_3_In!V62</f>
        <v>1126.696771307837</v>
      </c>
      <c r="S65" s="55">
        <f>+FEE_3_In!Y62</f>
        <v>50.583768969011935</v>
      </c>
      <c r="T65" s="55">
        <f>+FEE_4_In!H62</f>
        <v>10985.855181330626</v>
      </c>
      <c r="U65" s="55">
        <f>+FEE_4_In!S62</f>
        <v>9142.2624659149951</v>
      </c>
      <c r="V65" s="55">
        <f>+FEE_4_In!V62</f>
        <v>1795.0990296229086</v>
      </c>
      <c r="W65" s="55">
        <f>+FEE_4_In!Y62</f>
        <v>48.493685792722751</v>
      </c>
      <c r="X65" s="55">
        <f>FEE_1_In!$H62</f>
        <v>9891.7826404144307</v>
      </c>
      <c r="Y65" s="55">
        <f>+FEE_1_Out!S62</f>
        <v>8824.9284973965714</v>
      </c>
      <c r="Z65" s="55">
        <f>+FEE_1_Out!V62</f>
        <v>671.60794034020546</v>
      </c>
      <c r="AA65" s="55">
        <f>+FEE_1_Out!Y62</f>
        <v>124.22605916153161</v>
      </c>
      <c r="AB65" s="55">
        <f>+FEE_2_Out!H62</f>
        <v>10542.397631764054</v>
      </c>
      <c r="AC65" s="55">
        <f>+FEE_2_Out!S62</f>
        <v>9971.0437687695248</v>
      </c>
      <c r="AD65" s="55">
        <f>+FEE_2_Out!V62</f>
        <v>491.36447491880114</v>
      </c>
      <c r="AE65" s="55">
        <f>+FEE_2_Out!Y62</f>
        <v>79.989388075728314</v>
      </c>
      <c r="AF65" s="55">
        <f>+FEE_3_Out!H62</f>
        <v>11349.507700274838</v>
      </c>
      <c r="AG65" s="55">
        <f>+FEE_3_Out!S62</f>
        <v>11091.58438359178</v>
      </c>
      <c r="AH65" s="55">
        <f>+FEE_3_Out!V62</f>
        <v>179.65972254914598</v>
      </c>
      <c r="AI65" s="55">
        <f>+FEE_3_Out!Y62</f>
        <v>78.263594133912861</v>
      </c>
      <c r="AJ65" s="55">
        <f>+FEE_4_Out!H62</f>
        <v>12177.606412318903</v>
      </c>
      <c r="AK65" s="55">
        <f>+FEE_4_Out!S62</f>
        <v>11423.911270816525</v>
      </c>
      <c r="AL65" s="55">
        <f>+FEE_4_Out!V62</f>
        <v>709.69844347679953</v>
      </c>
      <c r="AM65" s="55">
        <f>+FEE_4_Out!Y62</f>
        <v>43.996698025576897</v>
      </c>
    </row>
    <row r="66" spans="2:39" x14ac:dyDescent="0.25">
      <c r="B66" s="51">
        <f>ITE_LUC_Rates!A54</f>
        <v>620</v>
      </c>
      <c r="C66" s="11" t="str">
        <f>ITE_LUC_Rates!B54</f>
        <v>Nursing Home</v>
      </c>
      <c r="D66" s="52" t="str">
        <f>ITE_LUC_Rates!C54</f>
        <v>Bed</v>
      </c>
      <c r="E66" s="112">
        <f>ITE_LUC_Rates!G54</f>
        <v>3.06</v>
      </c>
      <c r="F66" s="53" t="s">
        <v>73</v>
      </c>
      <c r="G66" s="91">
        <f>ITE_LUC_Rates!Q54</f>
        <v>2405.2600000000002</v>
      </c>
      <c r="H66" s="91">
        <f>FEE_1_In!$H63</f>
        <v>983.17989052739142</v>
      </c>
      <c r="I66" s="91">
        <f>+FEE_1_In!S63</f>
        <v>722.16121024312781</v>
      </c>
      <c r="J66" s="91">
        <f>+FEE_1_In!V63</f>
        <v>245.58898128492234</v>
      </c>
      <c r="K66" s="91">
        <f>+FEE_1_In!Y63</f>
        <v>15.429698999341223</v>
      </c>
      <c r="L66" s="91">
        <f>+FEE_2_In!H63</f>
        <v>1169.3997406422554</v>
      </c>
      <c r="M66" s="91">
        <f>+FEE_2_In!S63</f>
        <v>969.76804936364408</v>
      </c>
      <c r="N66" s="91">
        <f>+FEE_2_In!V63</f>
        <v>191.36311359936673</v>
      </c>
      <c r="O66" s="55">
        <f>+FEE_2_In!Y63</f>
        <v>8.2685776792445793</v>
      </c>
      <c r="P66" s="55">
        <f>+FEE_3_In!H63</f>
        <v>1163.2277800981699</v>
      </c>
      <c r="Q66" s="55">
        <f>+FEE_3_In!S63</f>
        <v>1046.2136285760407</v>
      </c>
      <c r="R66" s="55">
        <f>+FEE_3_In!V63</f>
        <v>111.98644860493958</v>
      </c>
      <c r="S66" s="55">
        <f>+FEE_3_In!Y63</f>
        <v>5.027702917189492</v>
      </c>
      <c r="T66" s="55">
        <f>+FEE_4_In!H63</f>
        <v>1091.9236994150017</v>
      </c>
      <c r="U66" s="55">
        <f>+FEE_4_In!S63</f>
        <v>908.68238184764607</v>
      </c>
      <c r="V66" s="55">
        <f>+FEE_4_In!V63</f>
        <v>178.4213555420921</v>
      </c>
      <c r="W66" s="55">
        <f>+FEE_4_In!Y63</f>
        <v>4.8199620252635604</v>
      </c>
      <c r="X66" s="55">
        <f>FEE_1_In!$H63</f>
        <v>983.17989052739142</v>
      </c>
      <c r="Y66" s="55">
        <f>+FEE_1_Out!S63</f>
        <v>877.14141620270232</v>
      </c>
      <c r="Z66" s="55">
        <f>+FEE_1_Out!V63</f>
        <v>66.753531215213329</v>
      </c>
      <c r="AA66" s="55">
        <f>+FEE_1_Out!Y63</f>
        <v>12.347275277569869</v>
      </c>
      <c r="AB66" s="55">
        <f>+FEE_2_Out!H63</f>
        <v>1047.8468569604311</v>
      </c>
      <c r="AC66" s="55">
        <f>+FEE_2_Out!S63</f>
        <v>991.0579394425439</v>
      </c>
      <c r="AD66" s="55">
        <f>+FEE_2_Out!V63</f>
        <v>48.838484247109974</v>
      </c>
      <c r="AE66" s="55">
        <f>+FEE_2_Out!Y63</f>
        <v>7.9504332707772383</v>
      </c>
      <c r="AF66" s="55">
        <f>+FEE_3_Out!H63</f>
        <v>1128.068432549838</v>
      </c>
      <c r="AG66" s="55">
        <f>+FEE_3_Out!S63</f>
        <v>1102.432505490053</v>
      </c>
      <c r="AH66" s="55">
        <f>+FEE_3_Out!V63</f>
        <v>17.857026662349949</v>
      </c>
      <c r="AI66" s="55">
        <f>+FEE_3_Out!Y63</f>
        <v>7.7789003974350175</v>
      </c>
      <c r="AJ66" s="55">
        <f>+FEE_4_Out!H63</f>
        <v>1210.3761449865158</v>
      </c>
      <c r="AK66" s="55">
        <f>+FEE_4_Out!S63</f>
        <v>1135.4636713049988</v>
      </c>
      <c r="AL66" s="55">
        <f>+FEE_4_Out!V63</f>
        <v>70.539483461167734</v>
      </c>
      <c r="AM66" s="55">
        <f>+FEE_4_Out!Y63</f>
        <v>4.372990220349311</v>
      </c>
    </row>
    <row r="67" spans="2:39" x14ac:dyDescent="0.25">
      <c r="B67" s="51">
        <f>ITE_LUC_Rates!A55</f>
        <v>630</v>
      </c>
      <c r="C67" s="11" t="str">
        <f>ITE_LUC_Rates!B55</f>
        <v>Clinic</v>
      </c>
      <c r="D67" s="52" t="str">
        <f>ITE_LUC_Rates!C55</f>
        <v>1000 GSF</v>
      </c>
      <c r="E67" s="112">
        <f>ITE_LUC_Rates!G55</f>
        <v>38.159999999999997</v>
      </c>
      <c r="F67" s="53" t="s">
        <v>73</v>
      </c>
      <c r="G67" s="91">
        <f>ITE_LUC_Rates!Q55</f>
        <v>31927.7</v>
      </c>
      <c r="H67" s="91">
        <f>FEE_1_In!$H64</f>
        <v>25228.026621367462</v>
      </c>
      <c r="I67" s="91">
        <f>+FEE_1_In!S64</f>
        <v>18530.385347039399</v>
      </c>
      <c r="J67" s="91">
        <f>+FEE_1_In!V64</f>
        <v>6301.7209947683759</v>
      </c>
      <c r="K67" s="91">
        <f>+FEE_1_In!Y64</f>
        <v>395.920279559687</v>
      </c>
      <c r="L67" s="91">
        <f>+FEE_2_In!H64</f>
        <v>30006.358014623274</v>
      </c>
      <c r="M67" s="91">
        <f>+FEE_2_In!S64</f>
        <v>24883.883815782749</v>
      </c>
      <c r="N67" s="91">
        <f>+FEE_2_In!V64</f>
        <v>4910.3056020022304</v>
      </c>
      <c r="O67" s="55">
        <f>+FEE_2_In!Y64</f>
        <v>212.16859683829699</v>
      </c>
      <c r="P67" s="55">
        <f>+FEE_3_In!H64</f>
        <v>29847.987825797805</v>
      </c>
      <c r="Q67" s="55">
        <f>+FEE_3_In!S64</f>
        <v>26845.448658633308</v>
      </c>
      <c r="R67" s="55">
        <f>+FEE_3_In!V64</f>
        <v>2873.5301991605425</v>
      </c>
      <c r="S67" s="55">
        <f>+FEE_3_In!Y64</f>
        <v>129.00896800395819</v>
      </c>
      <c r="T67" s="55">
        <f>+FEE_4_In!H64</f>
        <v>28018.351903604405</v>
      </c>
      <c r="U67" s="55">
        <f>+FEE_4_In!S64</f>
        <v>23316.448536516666</v>
      </c>
      <c r="V67" s="55">
        <f>+FEE_4_In!V64</f>
        <v>4578.2249523246983</v>
      </c>
      <c r="W67" s="55">
        <f>+FEE_4_In!Y64</f>
        <v>123.67841476304238</v>
      </c>
      <c r="X67" s="55">
        <f>FEE_1_In!$H64</f>
        <v>25228.026621367462</v>
      </c>
      <c r="Y67" s="55">
        <f>+FEE_1_Out!S64</f>
        <v>22507.119207651482</v>
      </c>
      <c r="Z67" s="55">
        <f>+FEE_1_Out!V64</f>
        <v>1712.8705324356586</v>
      </c>
      <c r="AA67" s="55">
        <f>+FEE_1_Out!Y64</f>
        <v>316.826444890765</v>
      </c>
      <c r="AB67" s="55">
        <f>+FEE_2_Out!H64</f>
        <v>26887.356685391333</v>
      </c>
      <c r="AC67" s="55">
        <f>+FEE_2_Out!S64</f>
        <v>25430.174396836395</v>
      </c>
      <c r="AD67" s="55">
        <f>+FEE_2_Out!V64</f>
        <v>1253.177157714659</v>
      </c>
      <c r="AE67" s="55">
        <f>+FEE_2_Out!Y64</f>
        <v>204.00513084028108</v>
      </c>
      <c r="AF67" s="55">
        <f>+FEE_3_Out!H64</f>
        <v>28945.812176676845</v>
      </c>
      <c r="AG67" s="55">
        <f>+FEE_3_Out!S64</f>
        <v>28288.003919450624</v>
      </c>
      <c r="AH67" s="55">
        <f>+FEE_3_Out!V64</f>
        <v>458.20459547294018</v>
      </c>
      <c r="AI67" s="55">
        <f>+FEE_3_Out!Y64</f>
        <v>199.60366175328028</v>
      </c>
      <c r="AJ67" s="55">
        <f>+FEE_4_Out!H64</f>
        <v>31057.797155725311</v>
      </c>
      <c r="AK67" s="55">
        <f>+FEE_4_Out!S64</f>
        <v>29135.571224826708</v>
      </c>
      <c r="AL67" s="55">
        <f>+FEE_4_Out!V64</f>
        <v>1810.016644727408</v>
      </c>
      <c r="AM67" s="55">
        <f>+FEE_4_Out!Y64</f>
        <v>112.20928617119475</v>
      </c>
    </row>
    <row r="68" spans="2:39" x14ac:dyDescent="0.25">
      <c r="B68" s="116">
        <f>ITE_LUC_Rates!A56</f>
        <v>640</v>
      </c>
      <c r="C68" s="117" t="str">
        <f>ITE_LUC_Rates!B56</f>
        <v>Animal Hospital / Veterinary Clinic</v>
      </c>
      <c r="D68" s="203" t="str">
        <f>ITE_LUC_Rates!C56</f>
        <v>1000 GSF</v>
      </c>
      <c r="E68" s="204">
        <f>ITE_LUC_Rates!G56</f>
        <v>21.5</v>
      </c>
      <c r="F68" s="118" t="s">
        <v>73</v>
      </c>
      <c r="G68" s="119">
        <f>ITE_LUC_Rates!Q56</f>
        <v>0</v>
      </c>
      <c r="H68" s="91">
        <f>FEE_1_In!$H65</f>
        <v>12150.765409561247</v>
      </c>
      <c r="I68" s="91">
        <f>+FEE_1_In!S65</f>
        <v>8924.9297489619676</v>
      </c>
      <c r="J68" s="91">
        <f>+FEE_1_In!V65</f>
        <v>3035.14557968177</v>
      </c>
      <c r="K68" s="91">
        <f>+FEE_1_In!Y65</f>
        <v>190.69008091751027</v>
      </c>
      <c r="L68" s="91">
        <f>+FEE_2_In!H65</f>
        <v>14452.189325113077</v>
      </c>
      <c r="M68" s="91">
        <f>+FEE_2_In!S65</f>
        <v>11985.013305331802</v>
      </c>
      <c r="N68" s="91">
        <f>+FEE_2_In!V65</f>
        <v>2364.9876526073481</v>
      </c>
      <c r="O68" s="55">
        <f>+FEE_2_In!Y65</f>
        <v>102.18836717392786</v>
      </c>
      <c r="P68" s="55">
        <f>+FEE_3_In!H65</f>
        <v>14375.912292384079</v>
      </c>
      <c r="Q68" s="55">
        <f>+FEE_3_In!S65</f>
        <v>12929.776627443287</v>
      </c>
      <c r="R68" s="55">
        <f>+FEE_3_In!V65</f>
        <v>1384.0000992276182</v>
      </c>
      <c r="S68" s="55">
        <f>+FEE_3_In!Y65</f>
        <v>62.135565713174316</v>
      </c>
      <c r="T68" s="55">
        <f>+FEE_4_In!H65</f>
        <v>13494.6908948829</v>
      </c>
      <c r="U68" s="55">
        <f>+FEE_4_In!S65</f>
        <v>11230.077588048976</v>
      </c>
      <c r="V68" s="55">
        <f>+FEE_4_In!V65</f>
        <v>2205.0451358244923</v>
      </c>
      <c r="W68" s="55">
        <f>+FEE_4_In!Y65</f>
        <v>59.568171009432987</v>
      </c>
      <c r="X68" s="55">
        <f>FEE_1_In!$H65</f>
        <v>12150.765409561247</v>
      </c>
      <c r="Y68" s="55">
        <f>+FEE_1_Out!S65</f>
        <v>10840.274177670875</v>
      </c>
      <c r="Z68" s="55">
        <f>+FEE_1_Out!V65</f>
        <v>824.98279904890262</v>
      </c>
      <c r="AA68" s="55">
        <f>+FEE_1_Out!Y65</f>
        <v>152.59551867415547</v>
      </c>
      <c r="AB68" s="55">
        <f>+FEE_2_Out!H65</f>
        <v>12949.961107567589</v>
      </c>
      <c r="AC68" s="55">
        <f>+FEE_2_Out!S65</f>
        <v>12248.127372692652</v>
      </c>
      <c r="AD68" s="55">
        <f>+FEE_2_Out!V65</f>
        <v>603.57719961792986</v>
      </c>
      <c r="AE68" s="55">
        <f>+FEE_2_Out!Y65</f>
        <v>98.25653525700703</v>
      </c>
      <c r="AF68" s="55">
        <f>+FEE_3_Out!H65</f>
        <v>13941.390606038511</v>
      </c>
      <c r="AG68" s="55">
        <f>+FEE_3_Out!S65</f>
        <v>13624.56543623873</v>
      </c>
      <c r="AH68" s="55">
        <f>+FEE_3_Out!V65</f>
        <v>220.688547413338</v>
      </c>
      <c r="AI68" s="55">
        <f>+FEE_3_Out!Y65</f>
        <v>96.136622386442454</v>
      </c>
      <c r="AJ68" s="55">
        <f>+FEE_4_Out!H65</f>
        <v>14958.601916858985</v>
      </c>
      <c r="AK68" s="55">
        <f>+FEE_4_Out!S65</f>
        <v>14032.785692662437</v>
      </c>
      <c r="AL68" s="55">
        <f>+FEE_4_Out!V65</f>
        <v>871.77201639926716</v>
      </c>
      <c r="AM68" s="55">
        <f>+FEE_4_Out!Y65</f>
        <v>54.044207797280691</v>
      </c>
    </row>
    <row r="69" spans="2:39" x14ac:dyDescent="0.25">
      <c r="B69" s="116">
        <f>ITE_LUC_Rates!A57</f>
        <v>650</v>
      </c>
      <c r="C69" s="117" t="str">
        <f>ITE_LUC_Rates!B57</f>
        <v>Free-standing Emergency Room</v>
      </c>
      <c r="D69" s="203" t="str">
        <f>ITE_LUC_Rates!C57</f>
        <v>1000 GSF</v>
      </c>
      <c r="E69" s="204">
        <f>ITE_LUC_Rates!G57</f>
        <v>24.94</v>
      </c>
      <c r="F69" s="118" t="s">
        <v>73</v>
      </c>
      <c r="G69" s="119">
        <f>ITE_LUC_Rates!Q57</f>
        <v>0</v>
      </c>
      <c r="H69" s="91">
        <f>FEE_1_In!$H66</f>
        <v>14094.887875091046</v>
      </c>
      <c r="I69" s="91">
        <f>+FEE_1_In!S66</f>
        <v>10352.918508795881</v>
      </c>
      <c r="J69" s="91">
        <f>+FEE_1_In!V66</f>
        <v>3520.7688724308537</v>
      </c>
      <c r="K69" s="91">
        <f>+FEE_1_In!Y66</f>
        <v>221.20049386431188</v>
      </c>
      <c r="L69" s="91">
        <f>+FEE_2_In!H66</f>
        <v>16764.53961713117</v>
      </c>
      <c r="M69" s="91">
        <f>+FEE_2_In!S66</f>
        <v>13902.615434184889</v>
      </c>
      <c r="N69" s="91">
        <f>+FEE_2_In!V66</f>
        <v>2743.3856770245238</v>
      </c>
      <c r="O69" s="55">
        <f>+FEE_2_In!Y66</f>
        <v>118.5385059217563</v>
      </c>
      <c r="P69" s="55">
        <f>+FEE_3_In!H66</f>
        <v>16676.058259165533</v>
      </c>
      <c r="Q69" s="55">
        <f>+FEE_3_In!S66</f>
        <v>14998.540887834213</v>
      </c>
      <c r="R69" s="55">
        <f>+FEE_3_In!V66</f>
        <v>1605.440115104037</v>
      </c>
      <c r="S69" s="55">
        <f>+FEE_3_In!Y66</f>
        <v>72.077256227282206</v>
      </c>
      <c r="T69" s="55">
        <f>+FEE_4_In!H66</f>
        <v>15653.841438064166</v>
      </c>
      <c r="U69" s="55">
        <f>+FEE_4_In!S66</f>
        <v>13026.890002136812</v>
      </c>
      <c r="V69" s="55">
        <f>+FEE_4_In!V66</f>
        <v>2557.8523575564113</v>
      </c>
      <c r="W69" s="55">
        <f>+FEE_4_In!Y66</f>
        <v>69.099078370942252</v>
      </c>
      <c r="X69" s="55">
        <f>FEE_1_In!$H66</f>
        <v>14094.887875091046</v>
      </c>
      <c r="Y69" s="55">
        <f>+FEE_1_Out!S66</f>
        <v>12574.718046098214</v>
      </c>
      <c r="Z69" s="55">
        <f>+FEE_1_Out!V66</f>
        <v>956.980046896727</v>
      </c>
      <c r="AA69" s="55">
        <f>+FEE_1_Out!Y66</f>
        <v>177.01080166202038</v>
      </c>
      <c r="AB69" s="55">
        <f>+FEE_2_Out!H66</f>
        <v>15021.954884778399</v>
      </c>
      <c r="AC69" s="55">
        <f>+FEE_2_Out!S66</f>
        <v>14207.827752323472</v>
      </c>
      <c r="AD69" s="55">
        <f>+FEE_2_Out!V66</f>
        <v>700.14955155679866</v>
      </c>
      <c r="AE69" s="55">
        <f>+FEE_2_Out!Y66</f>
        <v>113.97758089812815</v>
      </c>
      <c r="AF69" s="55">
        <f>+FEE_3_Out!H66</f>
        <v>16172.01310300467</v>
      </c>
      <c r="AG69" s="55">
        <f>+FEE_3_Out!S66</f>
        <v>15804.495906036926</v>
      </c>
      <c r="AH69" s="55">
        <f>+FEE_3_Out!V66</f>
        <v>255.99871499947207</v>
      </c>
      <c r="AI69" s="55">
        <f>+FEE_3_Out!Y66</f>
        <v>111.51848196827324</v>
      </c>
      <c r="AJ69" s="55">
        <f>+FEE_4_Out!H66</f>
        <v>17351.97822355642</v>
      </c>
      <c r="AK69" s="55">
        <f>+FEE_4_Out!S66</f>
        <v>16278.031403488427</v>
      </c>
      <c r="AL69" s="55">
        <f>+FEE_4_Out!V66</f>
        <v>1011.2555390231497</v>
      </c>
      <c r="AM69" s="55">
        <f>+FEE_4_Out!Y66</f>
        <v>62.691281044845603</v>
      </c>
    </row>
    <row r="70" spans="2:39" x14ac:dyDescent="0.25">
      <c r="B70" s="92" t="str">
        <f>ITE_LUC_Rates!A58</f>
        <v>Office</v>
      </c>
      <c r="C70" s="93"/>
      <c r="D70" s="94"/>
      <c r="E70" s="113"/>
      <c r="F70" s="100"/>
      <c r="G70" s="96"/>
      <c r="H70" s="213"/>
      <c r="I70" s="98"/>
      <c r="J70" s="98"/>
      <c r="K70" s="99"/>
      <c r="L70" s="213"/>
      <c r="M70" s="98"/>
      <c r="N70" s="98"/>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row>
    <row r="71" spans="2:39" x14ac:dyDescent="0.25">
      <c r="B71" s="51">
        <f>ITE_LUC_Rates!A59</f>
        <v>710</v>
      </c>
      <c r="C71" s="11" t="str">
        <f>ITE_LUC_Rates!B59</f>
        <v>General Office, 1 - 50,000gsf</v>
      </c>
      <c r="D71" s="52" t="str">
        <f>ITE_LUC_Rates!C59</f>
        <v>1000 GSF</v>
      </c>
      <c r="E71" s="112">
        <f>ITE_LUC_Rates!G59</f>
        <v>11.061091998412158</v>
      </c>
      <c r="F71" s="53" t="s">
        <v>73</v>
      </c>
      <c r="G71" s="91">
        <f>ITE_LUC_Rates!Q59</f>
        <v>15551.8</v>
      </c>
      <c r="H71" s="91">
        <f>FEE_1_In!$H68</f>
        <v>12661.670327173182</v>
      </c>
      <c r="I71" s="91">
        <f>+FEE_1_In!S68</f>
        <v>9300.1975073615904</v>
      </c>
      <c r="J71" s="91">
        <f>+FEE_1_In!V68</f>
        <v>3162.764766626763</v>
      </c>
      <c r="K71" s="91">
        <f>+FEE_1_In!Y68</f>
        <v>198.70805318483031</v>
      </c>
      <c r="L71" s="91">
        <f>+FEE_2_In!H68</f>
        <v>15059.862533143978</v>
      </c>
      <c r="M71" s="91">
        <f>+FEE_2_In!S68</f>
        <v>12488.948821239323</v>
      </c>
      <c r="N71" s="91">
        <f>+FEE_2_In!V68</f>
        <v>2464.4286162899998</v>
      </c>
      <c r="O71" s="55">
        <f>+FEE_2_In!Y68</f>
        <v>106.48509561465735</v>
      </c>
      <c r="P71" s="55">
        <f>+FEE_3_In!H68</f>
        <v>14980.378269445693</v>
      </c>
      <c r="Q71" s="55">
        <f>+FEE_3_In!S68</f>
        <v>13473.436737726262</v>
      </c>
      <c r="R71" s="55">
        <f>+FEE_3_In!V68</f>
        <v>1442.1933432609853</v>
      </c>
      <c r="S71" s="55">
        <f>+FEE_3_In!Y68</f>
        <v>64.748188458444375</v>
      </c>
      <c r="T71" s="55">
        <f>+FEE_4_In!H68</f>
        <v>14062.104033681841</v>
      </c>
      <c r="U71" s="55">
        <f>+FEE_4_In!S68</f>
        <v>11702.27021719669</v>
      </c>
      <c r="V71" s="55">
        <f>+FEE_4_In!V68</f>
        <v>2297.7609743314674</v>
      </c>
      <c r="W71" s="55">
        <f>+FEE_4_In!Y68</f>
        <v>62.072842153682068</v>
      </c>
      <c r="X71" s="55">
        <f>FEE_1_In!$H68</f>
        <v>12661.670327173182</v>
      </c>
      <c r="Y71" s="55">
        <f>+FEE_1_Out!S68</f>
        <v>11296.07668878476</v>
      </c>
      <c r="Z71" s="55">
        <f>+FEE_1_Out!V68</f>
        <v>859.67096516621416</v>
      </c>
      <c r="AA71" s="55">
        <f>+FEE_1_Out!Y68</f>
        <v>159.01172360185686</v>
      </c>
      <c r="AB71" s="55">
        <f>+FEE_2_Out!H68</f>
        <v>13494.469917484486</v>
      </c>
      <c r="AC71" s="55">
        <f>+FEE_2_Out!S68</f>
        <v>12763.126082265468</v>
      </c>
      <c r="AD71" s="55">
        <f>+FEE_2_Out!V68</f>
        <v>628.95589380295542</v>
      </c>
      <c r="AE71" s="55">
        <f>+FEE_2_Out!Y68</f>
        <v>102.38794141606382</v>
      </c>
      <c r="AF71" s="55">
        <f>+FEE_3_Out!H68</f>
        <v>14527.586189517488</v>
      </c>
      <c r="AG71" s="55">
        <f>+FEE_3_Out!S68</f>
        <v>14197.439427882302</v>
      </c>
      <c r="AH71" s="55">
        <f>+FEE_3_Out!V68</f>
        <v>229.96786936003505</v>
      </c>
      <c r="AI71" s="55">
        <f>+FEE_3_Out!Y68</f>
        <v>100.17889227515137</v>
      </c>
      <c r="AJ71" s="55">
        <f>+FEE_4_Out!H68</f>
        <v>15587.568325337985</v>
      </c>
      <c r="AK71" s="55">
        <f>+FEE_4_Out!S68</f>
        <v>14622.824178018607</v>
      </c>
      <c r="AL71" s="55">
        <f>+FEE_4_Out!V68</f>
        <v>908.42753522480416</v>
      </c>
      <c r="AM71" s="55">
        <f>+FEE_4_Out!Y68</f>
        <v>56.316612094572541</v>
      </c>
    </row>
    <row r="72" spans="2:39" x14ac:dyDescent="0.25">
      <c r="B72" s="51">
        <f>ITE_LUC_Rates!A60</f>
        <v>710</v>
      </c>
      <c r="C72" s="11" t="str">
        <f>ITE_LUC_Rates!B60</f>
        <v>General Office, 50,001 - 100,000gsf</v>
      </c>
      <c r="D72" s="52" t="str">
        <f>ITE_LUC_Rates!C60</f>
        <v>1000 GSF</v>
      </c>
      <c r="E72" s="112">
        <f>ITE_LUC_Rates!G60</f>
        <v>10.702478568874675</v>
      </c>
      <c r="F72" s="53" t="s">
        <v>73</v>
      </c>
      <c r="G72" s="91">
        <f>ITE_LUC_Rates!Q60</f>
        <v>13259.2</v>
      </c>
      <c r="H72" s="91">
        <f>FEE_1_In!$H69</f>
        <v>12251.164292113319</v>
      </c>
      <c r="I72" s="91">
        <f>+FEE_1_In!S69</f>
        <v>8998.6743192378799</v>
      </c>
      <c r="J72" s="91">
        <f>+FEE_1_In!V69</f>
        <v>3060.2242652058217</v>
      </c>
      <c r="K72" s="91">
        <f>+FEE_1_In!Y69</f>
        <v>192.26570766961737</v>
      </c>
      <c r="L72" s="91">
        <f>+FEE_2_In!H69</f>
        <v>14571.604325713006</v>
      </c>
      <c r="M72" s="91">
        <f>+FEE_2_In!S69</f>
        <v>12084.042617697605</v>
      </c>
      <c r="N72" s="91">
        <f>+FEE_2_In!V69</f>
        <v>2384.528982685566</v>
      </c>
      <c r="O72" s="55">
        <f>+FEE_2_In!Y69</f>
        <v>103.03272532983547</v>
      </c>
      <c r="P72" s="55">
        <f>+FEE_3_In!H69</f>
        <v>14494.697034017414</v>
      </c>
      <c r="Q72" s="55">
        <f>+FEE_3_In!S69</f>
        <v>13036.612294274757</v>
      </c>
      <c r="R72" s="55">
        <f>+FEE_3_In!V69</f>
        <v>1395.4357626390006</v>
      </c>
      <c r="S72" s="55">
        <f>+FEE_3_In!Y69</f>
        <v>62.648977103656335</v>
      </c>
      <c r="T72" s="55">
        <f>+FEE_4_In!H69</f>
        <v>13606.194313849888</v>
      </c>
      <c r="U72" s="55">
        <f>+FEE_4_In!S69</f>
        <v>11322.869046266578</v>
      </c>
      <c r="V72" s="55">
        <f>+FEE_4_In!V69</f>
        <v>2223.2648989547606</v>
      </c>
      <c r="W72" s="55">
        <f>+FEE_4_In!Y69</f>
        <v>60.060368628548545</v>
      </c>
      <c r="X72" s="55">
        <f>FEE_1_In!$H69</f>
        <v>12251.164292113319</v>
      </c>
      <c r="Y72" s="55">
        <f>+FEE_1_Out!S69</f>
        <v>10929.844783086386</v>
      </c>
      <c r="Z72" s="55">
        <f>+FEE_1_Out!V69</f>
        <v>831.79943556169508</v>
      </c>
      <c r="AA72" s="55">
        <f>+FEE_1_Out!Y69</f>
        <v>153.85637912540605</v>
      </c>
      <c r="AB72" s="55">
        <f>+FEE_2_Out!H69</f>
        <v>13056.963553954178</v>
      </c>
      <c r="AC72" s="55">
        <f>+FEE_2_Out!S69</f>
        <v>12349.330733972771</v>
      </c>
      <c r="AD72" s="55">
        <f>+FEE_2_Out!V69</f>
        <v>608.56441435979843</v>
      </c>
      <c r="AE72" s="55">
        <f>+FEE_2_Out!Y69</f>
        <v>99.068405621608051</v>
      </c>
      <c r="AF72" s="55">
        <f>+FEE_3_Out!H69</f>
        <v>14056.584998398916</v>
      </c>
      <c r="AG72" s="55">
        <f>+FEE_3_Out!S69</f>
        <v>13737.14197762925</v>
      </c>
      <c r="AH72" s="55">
        <f>+FEE_3_Out!V69</f>
        <v>222.51204435410722</v>
      </c>
      <c r="AI72" s="55">
        <f>+FEE_3_Out!Y69</f>
        <v>96.930976415558547</v>
      </c>
      <c r="AJ72" s="55">
        <f>+FEE_4_Out!H69</f>
        <v>15082.201284172272</v>
      </c>
      <c r="AK72" s="55">
        <f>+FEE_4_Out!S69</f>
        <v>14148.735260870493</v>
      </c>
      <c r="AL72" s="55">
        <f>+FEE_4_Out!V69</f>
        <v>878.97526107863359</v>
      </c>
      <c r="AM72" s="55">
        <f>+FEE_4_Out!Y69</f>
        <v>54.490762223143399</v>
      </c>
    </row>
    <row r="73" spans="2:39" x14ac:dyDescent="0.25">
      <c r="B73" s="51">
        <f>ITE_LUC_Rates!A61</f>
        <v>710</v>
      </c>
      <c r="C73" s="11" t="str">
        <f>ITE_LUC_Rates!B61</f>
        <v>General Office, 100,001 - 150,000gsf</v>
      </c>
      <c r="D73" s="52" t="str">
        <f>ITE_LUC_Rates!C61</f>
        <v>1000 GSF</v>
      </c>
      <c r="E73" s="112">
        <f>ITE_LUC_Rates!G61</f>
        <v>10.53971589568078</v>
      </c>
      <c r="F73" s="53" t="s">
        <v>73</v>
      </c>
      <c r="G73" s="91">
        <f>ITE_LUC_Rates!Q61</f>
        <v>11306.4</v>
      </c>
      <c r="H73" s="91">
        <f>FEE_1_In!$H70</f>
        <v>12064.849296284123</v>
      </c>
      <c r="I73" s="91">
        <f>+FEE_1_In!S70</f>
        <v>8861.8230022298794</v>
      </c>
      <c r="J73" s="91">
        <f>+FEE_1_In!V70</f>
        <v>3013.6845521129794</v>
      </c>
      <c r="K73" s="91">
        <f>+FEE_1_In!Y70</f>
        <v>189.3417419412643</v>
      </c>
      <c r="L73" s="91">
        <f>+FEE_2_In!H70</f>
        <v>14350.000212468223</v>
      </c>
      <c r="M73" s="91">
        <f>+FEE_2_In!S70</f>
        <v>11900.269198597714</v>
      </c>
      <c r="N73" s="91">
        <f>+FEE_2_In!V70</f>
        <v>2348.2652042502655</v>
      </c>
      <c r="O73" s="55">
        <f>+FEE_2_In!Y70</f>
        <v>101.46580962024396</v>
      </c>
      <c r="P73" s="55">
        <f>+FEE_3_In!H70</f>
        <v>14274.262522403124</v>
      </c>
      <c r="Q73" s="55">
        <f>+FEE_3_In!S70</f>
        <v>12838.352250794786</v>
      </c>
      <c r="R73" s="55">
        <f>+FEE_3_In!V70</f>
        <v>1374.2140565140271</v>
      </c>
      <c r="S73" s="55">
        <f>+FEE_3_In!Y70</f>
        <v>61.696215094311214</v>
      </c>
      <c r="T73" s="55">
        <f>+FEE_4_In!H70</f>
        <v>13399.272100059312</v>
      </c>
      <c r="U73" s="55">
        <f>+FEE_4_In!S70</f>
        <v>11150.671510683145</v>
      </c>
      <c r="V73" s="55">
        <f>+FEE_4_In!V70</f>
        <v>2189.4536153494455</v>
      </c>
      <c r="W73" s="55">
        <f>+FEE_4_In!Y70</f>
        <v>59.146974026720244</v>
      </c>
      <c r="X73" s="55">
        <f>FEE_1_In!$H70</f>
        <v>12064.849296284123</v>
      </c>
      <c r="Y73" s="55">
        <f>+FEE_1_Out!S70</f>
        <v>10763.624337696929</v>
      </c>
      <c r="Z73" s="55">
        <f>+FEE_1_Out!V70</f>
        <v>819.14947800074958</v>
      </c>
      <c r="AA73" s="55">
        <f>+FEE_1_Out!Y70</f>
        <v>151.5165402373178</v>
      </c>
      <c r="AB73" s="55">
        <f>+FEE_2_Out!H70</f>
        <v>12858.394009697637</v>
      </c>
      <c r="AC73" s="55">
        <f>+FEE_2_Out!S70</f>
        <v>12161.522828590694</v>
      </c>
      <c r="AD73" s="55">
        <f>+FEE_2_Out!V70</f>
        <v>599.30940205078582</v>
      </c>
      <c r="AE73" s="55">
        <f>+FEE_2_Out!Y70</f>
        <v>97.561779056157675</v>
      </c>
      <c r="AF73" s="55">
        <f>+FEE_3_Out!H70</f>
        <v>13842.813269206175</v>
      </c>
      <c r="AG73" s="55">
        <f>+FEE_3_Out!S70</f>
        <v>13528.228319364567</v>
      </c>
      <c r="AH73" s="55">
        <f>+FEE_3_Out!V70</f>
        <v>219.12809409213341</v>
      </c>
      <c r="AI73" s="55">
        <f>+FEE_3_Out!Y70</f>
        <v>95.456855749475352</v>
      </c>
      <c r="AJ73" s="55">
        <f>+FEE_4_Out!H70</f>
        <v>14852.832042004438</v>
      </c>
      <c r="AK73" s="55">
        <f>+FEE_4_Out!S70</f>
        <v>13933.562115831986</v>
      </c>
      <c r="AL73" s="55">
        <f>+FEE_4_Out!V70</f>
        <v>865.60785630003181</v>
      </c>
      <c r="AM73" s="55">
        <f>+FEE_4_Out!Y70</f>
        <v>53.662069872419615</v>
      </c>
    </row>
    <row r="74" spans="2:39" x14ac:dyDescent="0.25">
      <c r="B74" s="51">
        <f>ITE_LUC_Rates!A62</f>
        <v>710</v>
      </c>
      <c r="C74" s="11" t="str">
        <f>ITE_LUC_Rates!B62</f>
        <v>General Office, 150,001 - 200,000gsf</v>
      </c>
      <c r="D74" s="52" t="str">
        <f>ITE_LUC_Rates!C62</f>
        <v>1000 GSF</v>
      </c>
      <c r="E74" s="112">
        <f>ITE_LUC_Rates!G62</f>
        <v>10.433861397564558</v>
      </c>
      <c r="F74" s="53" t="s">
        <v>73</v>
      </c>
      <c r="G74" s="91">
        <f>ITE_LUC_Rates!Q62</f>
        <v>11306.4</v>
      </c>
      <c r="H74" s="91">
        <f>FEE_1_In!$H71</f>
        <v>11943.677285601238</v>
      </c>
      <c r="I74" s="91">
        <f>+FEE_1_In!S71</f>
        <v>8772.8202401459166</v>
      </c>
      <c r="J74" s="91">
        <f>+FEE_1_In!V71</f>
        <v>2983.4169368468733</v>
      </c>
      <c r="K74" s="91">
        <f>+FEE_1_In!Y71</f>
        <v>187.44010860844767</v>
      </c>
      <c r="L74" s="91">
        <f>+FEE_2_In!H71</f>
        <v>14205.877535396728</v>
      </c>
      <c r="M74" s="91">
        <f>+FEE_2_In!S71</f>
        <v>11780.750130348282</v>
      </c>
      <c r="N74" s="91">
        <f>+FEE_2_In!V71</f>
        <v>2324.6806563269611</v>
      </c>
      <c r="O74" s="55">
        <f>+FEE_2_In!Y71</f>
        <v>100.44674872148592</v>
      </c>
      <c r="P74" s="55">
        <f>+FEE_3_In!H71</f>
        <v>14130.90050864074</v>
      </c>
      <c r="Q74" s="55">
        <f>+FEE_3_In!S71</f>
        <v>12709.411646740733</v>
      </c>
      <c r="R74" s="55">
        <f>+FEE_3_In!V71</f>
        <v>1360.4122860776758</v>
      </c>
      <c r="S74" s="55">
        <f>+FEE_3_In!Y71</f>
        <v>61.076575822330909</v>
      </c>
      <c r="T74" s="55">
        <f>+FEE_4_In!H71</f>
        <v>13264.697958088773</v>
      </c>
      <c r="U74" s="55">
        <f>+FEE_4_In!S71</f>
        <v>11038.680945842023</v>
      </c>
      <c r="V74" s="55">
        <f>+FEE_4_In!V71</f>
        <v>2167.4640744647108</v>
      </c>
      <c r="W74" s="55">
        <f>+FEE_4_In!Y71</f>
        <v>58.552937782037645</v>
      </c>
      <c r="X74" s="55">
        <f>FEE_1_In!$H71</f>
        <v>11943.677285601238</v>
      </c>
      <c r="Y74" s="55">
        <f>+FEE_1_Out!S71</f>
        <v>10655.521039329526</v>
      </c>
      <c r="Z74" s="55">
        <f>+FEE_1_Out!V71</f>
        <v>810.92243870157176</v>
      </c>
      <c r="AA74" s="55">
        <f>+FEE_1_Out!Y71</f>
        <v>149.9948002320013</v>
      </c>
      <c r="AB74" s="55">
        <f>+FEE_2_Out!H71</f>
        <v>12729.252118402923</v>
      </c>
      <c r="AC74" s="55">
        <f>+FEE_2_Out!S71</f>
        <v>12039.379887728595</v>
      </c>
      <c r="AD74" s="55">
        <f>+FEE_2_Out!V71</f>
        <v>593.29030280766335</v>
      </c>
      <c r="AE74" s="55">
        <f>+FEE_2_Out!Y71</f>
        <v>96.581927866663307</v>
      </c>
      <c r="AF74" s="55">
        <f>+FEE_3_Out!H71</f>
        <v>13703.784469413866</v>
      </c>
      <c r="AG74" s="55">
        <f>+FEE_3_Out!S71</f>
        <v>13392.359019535064</v>
      </c>
      <c r="AH74" s="55">
        <f>+FEE_3_Out!V71</f>
        <v>216.92730474896021</v>
      </c>
      <c r="AI74" s="55">
        <f>+FEE_3_Out!Y71</f>
        <v>94.498145129841461</v>
      </c>
      <c r="AJ74" s="55">
        <f>+FEE_4_Out!H71</f>
        <v>14703.659227768028</v>
      </c>
      <c r="AK74" s="55">
        <f>+FEE_4_Out!S71</f>
        <v>13793.621889801128</v>
      </c>
      <c r="AL74" s="55">
        <f>+FEE_4_Out!V71</f>
        <v>856.91421729675949</v>
      </c>
      <c r="AM74" s="55">
        <f>+FEE_4_Out!Y71</f>
        <v>53.123120670140786</v>
      </c>
    </row>
    <row r="75" spans="2:39" x14ac:dyDescent="0.25">
      <c r="B75" s="51">
        <f>ITE_LUC_Rates!A63</f>
        <v>710</v>
      </c>
      <c r="C75" s="11" t="str">
        <f>ITE_LUC_Rates!B63</f>
        <v>General Office, 200,001 - 300,000gsf</v>
      </c>
      <c r="D75" s="52" t="str">
        <f>ITE_LUC_Rates!C63</f>
        <v>1000 GSF</v>
      </c>
      <c r="E75" s="112">
        <f>ITE_LUC_Rates!G63</f>
        <v>10.322811679029327</v>
      </c>
      <c r="F75" s="53" t="s">
        <v>73</v>
      </c>
      <c r="G75" s="91">
        <f>ITE_LUC_Rates!Q63</f>
        <v>10298.9</v>
      </c>
      <c r="H75" s="91">
        <f>FEE_1_In!$H72</f>
        <v>11816.558288108012</v>
      </c>
      <c r="I75" s="91">
        <f>+FEE_1_In!S72</f>
        <v>8679.4493220066561</v>
      </c>
      <c r="J75" s="91">
        <f>+FEE_1_In!V72</f>
        <v>2951.6638208636168</v>
      </c>
      <c r="K75" s="91">
        <f>+FEE_1_In!Y72</f>
        <v>185.44514523774006</v>
      </c>
      <c r="L75" s="91">
        <f>+FEE_2_In!H72</f>
        <v>14054.681478468081</v>
      </c>
      <c r="M75" s="91">
        <f>+FEE_2_In!S72</f>
        <v>11655.365199855103</v>
      </c>
      <c r="N75" s="91">
        <f>+FEE_2_In!V72</f>
        <v>2299.9386051598194</v>
      </c>
      <c r="O75" s="55">
        <f>+FEE_2_In!Y72</f>
        <v>99.377673453157726</v>
      </c>
      <c r="P75" s="55">
        <f>+FEE_3_In!H72</f>
        <v>13980.502447525976</v>
      </c>
      <c r="Q75" s="55">
        <f>+FEE_3_In!S72</f>
        <v>12574.142781999213</v>
      </c>
      <c r="R75" s="55">
        <f>+FEE_3_In!V72</f>
        <v>1345.9331401791055</v>
      </c>
      <c r="S75" s="55">
        <f>+FEE_3_In!Y72</f>
        <v>60.426525347657289</v>
      </c>
      <c r="T75" s="55">
        <f>+FEE_4_In!H72</f>
        <v>13123.519067688285</v>
      </c>
      <c r="U75" s="55">
        <f>+FEE_4_In!S72</f>
        <v>10921.194009287343</v>
      </c>
      <c r="V75" s="55">
        <f>+FEE_4_In!V72</f>
        <v>2144.3953114983251</v>
      </c>
      <c r="W75" s="55">
        <f>+FEE_4_In!Y72</f>
        <v>57.929746902616536</v>
      </c>
      <c r="X75" s="55">
        <f>FEE_1_In!$H72</f>
        <v>11816.558288108012</v>
      </c>
      <c r="Y75" s="55">
        <f>+FEE_1_Out!S72</f>
        <v>10542.112151941008</v>
      </c>
      <c r="Z75" s="55">
        <f>+FEE_1_Out!V72</f>
        <v>802.29162551166928</v>
      </c>
      <c r="AA75" s="55">
        <f>+FEE_1_Out!Y72</f>
        <v>148.39837492857527</v>
      </c>
      <c r="AB75" s="55">
        <f>+FEE_2_Out!H72</f>
        <v>12593.772087468009</v>
      </c>
      <c r="AC75" s="55">
        <f>+FEE_2_Out!S72</f>
        <v>11911.242307888493</v>
      </c>
      <c r="AD75" s="55">
        <f>+FEE_2_Out!V72</f>
        <v>586.97579290322358</v>
      </c>
      <c r="AE75" s="55">
        <f>+FEE_2_Out!Y72</f>
        <v>95.553986676291899</v>
      </c>
      <c r="AF75" s="55">
        <f>+FEE_3_Out!H72</f>
        <v>13557.93229156616</v>
      </c>
      <c r="AG75" s="55">
        <f>+FEE_3_Out!S72</f>
        <v>13249.821406375922</v>
      </c>
      <c r="AH75" s="55">
        <f>+FEE_3_Out!V72</f>
        <v>214.61850312537325</v>
      </c>
      <c r="AI75" s="55">
        <f>+FEE_3_Out!Y72</f>
        <v>93.492382064863435</v>
      </c>
      <c r="AJ75" s="55">
        <f>+FEE_4_Out!H72</f>
        <v>14547.165178588622</v>
      </c>
      <c r="AK75" s="55">
        <f>+FEE_4_Out!S72</f>
        <v>13646.813553934087</v>
      </c>
      <c r="AL75" s="55">
        <f>+FEE_4_Out!V72</f>
        <v>847.79390421095843</v>
      </c>
      <c r="AM75" s="55">
        <f>+FEE_4_Out!Y72</f>
        <v>52.557720443575647</v>
      </c>
    </row>
    <row r="76" spans="2:39" x14ac:dyDescent="0.25">
      <c r="B76" s="51">
        <f>ITE_LUC_Rates!A64</f>
        <v>710</v>
      </c>
      <c r="C76" s="11" t="str">
        <f>ITE_LUC_Rates!B64</f>
        <v>General Office, 300,001 - 400,000gsf</v>
      </c>
      <c r="D76" s="52" t="str">
        <f>ITE_LUC_Rates!C64</f>
        <v>1000 GSF</v>
      </c>
      <c r="E76" s="112">
        <f>ITE_LUC_Rates!G64</f>
        <v>10.21913563498342</v>
      </c>
      <c r="F76" s="53" t="s">
        <v>73</v>
      </c>
      <c r="G76" s="91">
        <f>ITE_LUC_Rates!Q64</f>
        <v>9639.5</v>
      </c>
      <c r="H76" s="91">
        <f>FEE_1_In!$H73</f>
        <v>11697.879961345772</v>
      </c>
      <c r="I76" s="91">
        <f>+FEE_1_In!S73</f>
        <v>8592.2782102803212</v>
      </c>
      <c r="J76" s="91">
        <f>+FEE_1_In!V73</f>
        <v>2922.0191041124403</v>
      </c>
      <c r="K76" s="91">
        <f>+FEE_1_In!Y73</f>
        <v>183.58264695301156</v>
      </c>
      <c r="L76" s="91">
        <f>+FEE_2_In!H73</f>
        <v>13913.52480320169</v>
      </c>
      <c r="M76" s="91">
        <f>+FEE_2_In!S73</f>
        <v>11538.30579846293</v>
      </c>
      <c r="N76" s="91">
        <f>+FEE_2_In!V73</f>
        <v>2276.8394202143227</v>
      </c>
      <c r="O76" s="55">
        <f>+FEE_2_In!Y73</f>
        <v>98.379584524436893</v>
      </c>
      <c r="P76" s="55">
        <f>+FEE_3_In!H73</f>
        <v>13840.090781344161</v>
      </c>
      <c r="Q76" s="55">
        <f>+FEE_3_In!S73</f>
        <v>12447.855737205555</v>
      </c>
      <c r="R76" s="55">
        <f>+FEE_3_In!V73</f>
        <v>1332.4154060711076</v>
      </c>
      <c r="S76" s="55">
        <f>+FEE_3_In!Y73</f>
        <v>59.819638067497792</v>
      </c>
      <c r="T76" s="55">
        <f>+FEE_4_In!H73</f>
        <v>12991.714421511995</v>
      </c>
      <c r="U76" s="55">
        <f>+FEE_4_In!S73</f>
        <v>10811.508176943726</v>
      </c>
      <c r="V76" s="55">
        <f>+FEE_4_In!V73</f>
        <v>2122.8583088211981</v>
      </c>
      <c r="W76" s="55">
        <f>+FEE_4_In!Y73</f>
        <v>57.347935747072071</v>
      </c>
      <c r="X76" s="55">
        <f>FEE_1_In!$H73</f>
        <v>11697.879961345772</v>
      </c>
      <c r="Y76" s="55">
        <f>+FEE_1_Out!S73</f>
        <v>10436.233587283876</v>
      </c>
      <c r="Z76" s="55">
        <f>+FEE_1_Out!V73</f>
        <v>794.23389623300932</v>
      </c>
      <c r="AA76" s="55">
        <f>+FEE_1_Out!Y73</f>
        <v>146.90795187971821</v>
      </c>
      <c r="AB76" s="55">
        <f>+FEE_2_Out!H73</f>
        <v>12467.287897865197</v>
      </c>
      <c r="AC76" s="55">
        <f>+FEE_2_Out!S73</f>
        <v>11791.613032401192</v>
      </c>
      <c r="AD76" s="55">
        <f>+FEE_2_Out!V73</f>
        <v>581.08056493131915</v>
      </c>
      <c r="AE76" s="55">
        <f>+FEE_2_Out!Y73</f>
        <v>94.594300532686404</v>
      </c>
      <c r="AF76" s="55">
        <f>+FEE_3_Out!H73</f>
        <v>13421.764663100421</v>
      </c>
      <c r="AG76" s="55">
        <f>+FEE_3_Out!S73</f>
        <v>13116.748256303983</v>
      </c>
      <c r="AH76" s="55">
        <f>+FEE_3_Out!V73</f>
        <v>212.4630053719564</v>
      </c>
      <c r="AI76" s="55">
        <f>+FEE_3_Out!Y73</f>
        <v>92.553401424481848</v>
      </c>
      <c r="AJ76" s="55">
        <f>+FEE_4_Out!H73</f>
        <v>14401.062296477314</v>
      </c>
      <c r="AK76" s="55">
        <f>+FEE_4_Out!S73</f>
        <v>13509.753256110558</v>
      </c>
      <c r="AL76" s="55">
        <f>+FEE_4_Out!V73</f>
        <v>839.27917771125999</v>
      </c>
      <c r="AM76" s="55">
        <f>+FEE_4_Out!Y73</f>
        <v>52.029862655495471</v>
      </c>
    </row>
    <row r="77" spans="2:39" x14ac:dyDescent="0.25">
      <c r="B77" s="51">
        <f>ITE_LUC_Rates!A65</f>
        <v>710</v>
      </c>
      <c r="C77" s="11" t="str">
        <f>ITE_LUC_Rates!B65</f>
        <v>General Office, 400,001 - 500,000gsf</v>
      </c>
      <c r="D77" s="52" t="str">
        <f>ITE_LUC_Rates!C65</f>
        <v>1000 GSF</v>
      </c>
      <c r="E77" s="112">
        <f>ITE_LUC_Rates!G65</f>
        <v>10.142378862949085</v>
      </c>
      <c r="F77" s="53" t="s">
        <v>73</v>
      </c>
      <c r="G77" s="91">
        <f>ITE_LUC_Rates!Q65</f>
        <v>9156.7999999999993</v>
      </c>
      <c r="H77" s="91">
        <f>FEE_1_In!$H74</f>
        <v>11610.016218505893</v>
      </c>
      <c r="I77" s="91">
        <f>+FEE_1_In!S74</f>
        <v>8527.7408987699091</v>
      </c>
      <c r="J77" s="91">
        <f>+FEE_1_In!V74</f>
        <v>2900.0715772113849</v>
      </c>
      <c r="K77" s="91">
        <f>+FEE_1_In!Y74</f>
        <v>182.20374252459851</v>
      </c>
      <c r="L77" s="91">
        <f>+FEE_2_In!H74</f>
        <v>13809.019168903476</v>
      </c>
      <c r="M77" s="91">
        <f>+FEE_2_In!S74</f>
        <v>11451.640630344091</v>
      </c>
      <c r="N77" s="91">
        <f>+FEE_2_In!V74</f>
        <v>2259.7378912221925</v>
      </c>
      <c r="O77" s="55">
        <f>+FEE_2_In!Y74</f>
        <v>97.640647337193371</v>
      </c>
      <c r="P77" s="55">
        <f>+FEE_3_In!H74</f>
        <v>13736.136716051056</v>
      </c>
      <c r="Q77" s="55">
        <f>+FEE_3_In!S74</f>
        <v>12354.358864352027</v>
      </c>
      <c r="R77" s="55">
        <f>+FEE_3_In!V74</f>
        <v>1322.4075238752077</v>
      </c>
      <c r="S77" s="55">
        <f>+FEE_3_In!Y74</f>
        <v>59.370327823820716</v>
      </c>
      <c r="T77" s="55">
        <f>+FEE_4_In!H74</f>
        <v>12894.132581148371</v>
      </c>
      <c r="U77" s="55">
        <f>+FEE_4_In!S74</f>
        <v>10730.302045806357</v>
      </c>
      <c r="V77" s="55">
        <f>+FEE_4_In!V74</f>
        <v>2106.9133446782844</v>
      </c>
      <c r="W77" s="55">
        <f>+FEE_4_In!Y74</f>
        <v>56.91719066372972</v>
      </c>
      <c r="X77" s="55">
        <f>FEE_1_In!$H74</f>
        <v>11610.016218505893</v>
      </c>
      <c r="Y77" s="55">
        <f>+FEE_1_Out!S74</f>
        <v>10357.846174593707</v>
      </c>
      <c r="Z77" s="55">
        <f>+FEE_1_Out!V74</f>
        <v>788.26833982074231</v>
      </c>
      <c r="AA77" s="55">
        <f>+FEE_1_Out!Y74</f>
        <v>145.80451411597423</v>
      </c>
      <c r="AB77" s="55">
        <f>+FEE_2_Out!H74</f>
        <v>12373.64506844752</v>
      </c>
      <c r="AC77" s="55">
        <f>+FEE_2_Out!S74</f>
        <v>11703.045252720618</v>
      </c>
      <c r="AD77" s="55">
        <f>+FEE_2_Out!V74</f>
        <v>576.71602080066577</v>
      </c>
      <c r="AE77" s="55">
        <f>+FEE_2_Out!Y74</f>
        <v>93.883794926235808</v>
      </c>
      <c r="AF77" s="55">
        <f>+FEE_3_Out!H74</f>
        <v>13320.952679842529</v>
      </c>
      <c r="AG77" s="55">
        <f>+FEE_3_Out!S74</f>
        <v>13018.227276477248</v>
      </c>
      <c r="AH77" s="55">
        <f>+FEE_3_Out!V74</f>
        <v>210.86717818543414</v>
      </c>
      <c r="AI77" s="55">
        <f>+FEE_3_Out!Y74</f>
        <v>91.858225179847054</v>
      </c>
      <c r="AJ77" s="55">
        <f>+FEE_4_Out!H74</f>
        <v>14292.894727787951</v>
      </c>
      <c r="AK77" s="55">
        <f>+FEE_4_Out!S74</f>
        <v>13408.280383261161</v>
      </c>
      <c r="AL77" s="55">
        <f>+FEE_4_Out!V74</f>
        <v>832.97528246827926</v>
      </c>
      <c r="AM77" s="55">
        <f>+FEE_4_Out!Y74</f>
        <v>51.639062058510135</v>
      </c>
    </row>
    <row r="78" spans="2:39" x14ac:dyDescent="0.25">
      <c r="B78" s="51">
        <f>ITE_LUC_Rates!A66</f>
        <v>710</v>
      </c>
      <c r="C78" s="11" t="str">
        <f>ITE_LUC_Rates!B66</f>
        <v>General Office, 500,001 - 600,000gsf</v>
      </c>
      <c r="D78" s="52" t="str">
        <f>ITE_LUC_Rates!C66</f>
        <v>1000 GSF</v>
      </c>
      <c r="E78" s="112">
        <f>ITE_LUC_Rates!G66</f>
        <v>10.081503937403301</v>
      </c>
      <c r="F78" s="53" t="s">
        <v>73</v>
      </c>
      <c r="G78" s="91">
        <f>ITE_LUC_Rates!Q66</f>
        <v>8781.7000000000007</v>
      </c>
      <c r="H78" s="91">
        <f>FEE_1_In!$H75</f>
        <v>11540.332480357565</v>
      </c>
      <c r="I78" s="91">
        <f>+FEE_1_In!S75</f>
        <v>8476.5570888076563</v>
      </c>
      <c r="J78" s="91">
        <f>+FEE_1_In!V75</f>
        <v>2882.665242491913</v>
      </c>
      <c r="K78" s="91">
        <f>+FEE_1_In!Y75</f>
        <v>181.11014905799408</v>
      </c>
      <c r="L78" s="91">
        <f>+FEE_2_In!H75</f>
        <v>13726.136935344033</v>
      </c>
      <c r="M78" s="91">
        <f>+FEE_2_In!S75</f>
        <v>11382.90746821623</v>
      </c>
      <c r="N78" s="91">
        <f>+FEE_2_In!V75</f>
        <v>2246.1748624949123</v>
      </c>
      <c r="O78" s="55">
        <f>+FEE_2_In!Y75</f>
        <v>97.054604632891781</v>
      </c>
      <c r="P78" s="55">
        <f>+FEE_3_In!H75</f>
        <v>13653.69192561526</v>
      </c>
      <c r="Q78" s="55">
        <f>+FEE_3_In!S75</f>
        <v>12280.207554664645</v>
      </c>
      <c r="R78" s="55">
        <f>+FEE_3_In!V75</f>
        <v>1314.4703859862686</v>
      </c>
      <c r="S78" s="55">
        <f>+FEE_3_In!Y75</f>
        <v>59.013984964345546</v>
      </c>
      <c r="T78" s="55">
        <f>+FEE_4_In!H75</f>
        <v>12816.741530048683</v>
      </c>
      <c r="U78" s="55">
        <f>+FEE_4_In!S75</f>
        <v>10665.898384007796</v>
      </c>
      <c r="V78" s="55">
        <f>+FEE_4_In!V75</f>
        <v>2094.2675744184839</v>
      </c>
      <c r="W78" s="55">
        <f>+FEE_4_In!Y75</f>
        <v>56.575571622403331</v>
      </c>
      <c r="X78" s="55">
        <f>FEE_1_In!$H75</f>
        <v>11540.332480357565</v>
      </c>
      <c r="Y78" s="55">
        <f>+FEE_1_Out!S75</f>
        <v>10295.678006433824</v>
      </c>
      <c r="Z78" s="55">
        <f>+FEE_1_Out!V75</f>
        <v>783.53712467436469</v>
      </c>
      <c r="AA78" s="55">
        <f>+FEE_1_Out!Y75</f>
        <v>144.92939013756779</v>
      </c>
      <c r="AB78" s="55">
        <f>+FEE_2_Out!H75</f>
        <v>12299.378002264122</v>
      </c>
      <c r="AC78" s="55">
        <f>+FEE_2_Out!S75</f>
        <v>11632.803150937094</v>
      </c>
      <c r="AD78" s="55">
        <f>+FEE_2_Out!V75</f>
        <v>573.25455034075708</v>
      </c>
      <c r="AE78" s="55">
        <f>+FEE_2_Out!Y75</f>
        <v>93.32030098627186</v>
      </c>
      <c r="AF78" s="55">
        <f>+FEE_3_Out!H75</f>
        <v>13240.999839040393</v>
      </c>
      <c r="AG78" s="55">
        <f>+FEE_3_Out!S75</f>
        <v>12940.091404518387</v>
      </c>
      <c r="AH78" s="55">
        <f>+FEE_3_Out!V75</f>
        <v>209.60154573908756</v>
      </c>
      <c r="AI78" s="55">
        <f>+FEE_3_Out!Y75</f>
        <v>91.306888782917682</v>
      </c>
      <c r="AJ78" s="55">
        <f>+FEE_4_Out!H75</f>
        <v>14207.108255586019</v>
      </c>
      <c r="AK78" s="55">
        <f>+FEE_4_Out!S75</f>
        <v>13327.803398417913</v>
      </c>
      <c r="AL78" s="55">
        <f>+FEE_4_Out!V75</f>
        <v>827.97573463172853</v>
      </c>
      <c r="AM78" s="55">
        <f>+FEE_4_Out!Y75</f>
        <v>51.329122536377959</v>
      </c>
    </row>
    <row r="79" spans="2:39" x14ac:dyDescent="0.25">
      <c r="B79" s="51">
        <f>ITE_LUC_Rates!A67</f>
        <v>710</v>
      </c>
      <c r="C79" s="11" t="str">
        <f>ITE_LUC_Rates!B67</f>
        <v>General Office, 600,001 - 700,000gsf</v>
      </c>
      <c r="D79" s="52" t="str">
        <f>ITE_LUC_Rates!C67</f>
        <v>1000 GSF</v>
      </c>
      <c r="E79" s="112">
        <f>ITE_LUC_Rates!G67</f>
        <v>10.031105639143441</v>
      </c>
      <c r="F79" s="53" t="s">
        <v>73</v>
      </c>
      <c r="G79" s="91">
        <f>ITE_LUC_Rates!Q67</f>
        <v>8475.6</v>
      </c>
      <c r="H79" s="91">
        <f>FEE_1_In!$H76</f>
        <v>11482.641373755388</v>
      </c>
      <c r="I79" s="91">
        <f>+FEE_1_In!S76</f>
        <v>8434.1820567657142</v>
      </c>
      <c r="J79" s="91">
        <f>+FEE_1_In!V76</f>
        <v>2868.2545530177531</v>
      </c>
      <c r="K79" s="91">
        <f>+FEE_1_In!Y76</f>
        <v>180.20476397192098</v>
      </c>
      <c r="L79" s="91">
        <f>+FEE_2_In!H76</f>
        <v>13657.518805795269</v>
      </c>
      <c r="M79" s="91">
        <f>+FEE_2_In!S76</f>
        <v>11326.003342680046</v>
      </c>
      <c r="N79" s="91">
        <f>+FEE_2_In!V76</f>
        <v>2234.9460427308472</v>
      </c>
      <c r="O79" s="55">
        <f>+FEE_2_In!Y76</f>
        <v>96.56942038437569</v>
      </c>
      <c r="P79" s="55">
        <f>+FEE_3_In!H76</f>
        <v>13585.43595485058</v>
      </c>
      <c r="Q79" s="55">
        <f>+FEE_3_In!S76</f>
        <v>12218.817749445525</v>
      </c>
      <c r="R79" s="55">
        <f>+FEE_3_In!V76</f>
        <v>1307.8992363861676</v>
      </c>
      <c r="S79" s="55">
        <f>+FEE_3_In!Y76</f>
        <v>58.718969018887115</v>
      </c>
      <c r="T79" s="55">
        <f>+FEE_4_In!H76</f>
        <v>12752.66954571365</v>
      </c>
      <c r="U79" s="55">
        <f>+FEE_4_In!S76</f>
        <v>10612.578648053301</v>
      </c>
      <c r="V79" s="55">
        <f>+FEE_4_In!V76</f>
        <v>2083.7981521470801</v>
      </c>
      <c r="W79" s="55">
        <f>+FEE_4_In!Y76</f>
        <v>56.292745513268045</v>
      </c>
      <c r="X79" s="55">
        <f>FEE_1_In!$H76</f>
        <v>11482.641373755388</v>
      </c>
      <c r="Y79" s="55">
        <f>+FEE_1_Out!S76</f>
        <v>10244.209033731187</v>
      </c>
      <c r="Z79" s="55">
        <f>+FEE_1_Out!V76</f>
        <v>779.62015574272516</v>
      </c>
      <c r="AA79" s="55">
        <f>+FEE_1_Out!Y76</f>
        <v>144.20487575200343</v>
      </c>
      <c r="AB79" s="55">
        <f>+FEE_2_Out!H76</f>
        <v>12237.892362341981</v>
      </c>
      <c r="AC79" s="55">
        <f>+FEE_2_Out!S76</f>
        <v>11574.649775563803</v>
      </c>
      <c r="AD79" s="55">
        <f>+FEE_2_Out!V76</f>
        <v>570.38880193791158</v>
      </c>
      <c r="AE79" s="55">
        <f>+FEE_2_Out!Y76</f>
        <v>92.853784840267437</v>
      </c>
      <c r="AF79" s="55">
        <f>+FEE_3_Out!H76</f>
        <v>13174.806951224236</v>
      </c>
      <c r="AG79" s="55">
        <f>+FEE_3_Out!S76</f>
        <v>12875.402783637612</v>
      </c>
      <c r="AH79" s="55">
        <f>+FEE_3_Out!V76</f>
        <v>208.55372973033772</v>
      </c>
      <c r="AI79" s="55">
        <f>+FEE_3_Out!Y76</f>
        <v>90.850437856286746</v>
      </c>
      <c r="AJ79" s="55">
        <f>+FEE_4_Out!H76</f>
        <v>14136.085709374574</v>
      </c>
      <c r="AK79" s="55">
        <f>+FEE_4_Out!S76</f>
        <v>13261.176572203014</v>
      </c>
      <c r="AL79" s="55">
        <f>+FEE_4_Out!V76</f>
        <v>823.83661329774986</v>
      </c>
      <c r="AM79" s="55">
        <f>+FEE_4_Out!Y76</f>
        <v>51.072523873810603</v>
      </c>
    </row>
    <row r="80" spans="2:39" x14ac:dyDescent="0.25">
      <c r="B80" s="51">
        <f>ITE_LUC_Rates!A68</f>
        <v>710</v>
      </c>
      <c r="C80" s="11" t="str">
        <f>ITE_LUC_Rates!B68</f>
        <v>General Office, 700,001gsf - more</v>
      </c>
      <c r="D80" s="52" t="str">
        <f>ITE_LUC_Rates!C68</f>
        <v>1000 GSF</v>
      </c>
      <c r="E80" s="112">
        <f>ITE_LUC_Rates!G68</f>
        <v>9.9688142805499087</v>
      </c>
      <c r="F80" s="53" t="s">
        <v>73</v>
      </c>
      <c r="G80" s="91">
        <f>ITE_LUC_Rates!Q68</f>
        <v>8218.2999999999993</v>
      </c>
      <c r="H80" s="91">
        <f>FEE_1_In!$H77</f>
        <v>11411.336239790653</v>
      </c>
      <c r="I80" s="91">
        <f>+FEE_1_In!S77</f>
        <v>8381.8073058817226</v>
      </c>
      <c r="J80" s="91">
        <f>+FEE_1_In!V77</f>
        <v>2850.4432090516043</v>
      </c>
      <c r="K80" s="91">
        <f>+FEE_1_In!Y77</f>
        <v>179.08572485732577</v>
      </c>
      <c r="L80" s="91">
        <f>+FEE_2_In!H77</f>
        <v>13572.708074851518</v>
      </c>
      <c r="M80" s="91">
        <f>+FEE_2_In!S77</f>
        <v>11255.670902664921</v>
      </c>
      <c r="N80" s="91">
        <f>+FEE_2_In!V77</f>
        <v>2221.0674305027305</v>
      </c>
      <c r="O80" s="55">
        <f>+FEE_2_In!Y77</f>
        <v>95.969741683868406</v>
      </c>
      <c r="P80" s="55">
        <f>+FEE_3_In!H77</f>
        <v>13501.072845423158</v>
      </c>
      <c r="Q80" s="55">
        <f>+FEE_3_In!S77</f>
        <v>12142.941092833547</v>
      </c>
      <c r="R80" s="55">
        <f>+FEE_3_In!V77</f>
        <v>1299.7774177882231</v>
      </c>
      <c r="S80" s="55">
        <f>+FEE_3_In!Y77</f>
        <v>58.354334801386209</v>
      </c>
      <c r="T80" s="55">
        <f>+FEE_4_In!H77</f>
        <v>12673.477765637379</v>
      </c>
      <c r="U80" s="55">
        <f>+FEE_4_In!S77</f>
        <v>10546.676446845457</v>
      </c>
      <c r="V80" s="55">
        <f>+FEE_4_In!V77</f>
        <v>2070.8581410853467</v>
      </c>
      <c r="W80" s="55">
        <f>+FEE_4_In!Y77</f>
        <v>55.943177706575007</v>
      </c>
      <c r="X80" s="55">
        <f>FEE_1_In!$H77</f>
        <v>11411.336239790653</v>
      </c>
      <c r="Y80" s="55">
        <f>+FEE_1_Out!S77</f>
        <v>10180.594341454678</v>
      </c>
      <c r="Z80" s="55">
        <f>+FEE_1_Out!V77</f>
        <v>774.77885504914946</v>
      </c>
      <c r="AA80" s="55">
        <f>+FEE_1_Out!Y77</f>
        <v>143.30938945671897</v>
      </c>
      <c r="AB80" s="55">
        <f>+FEE_2_Out!H77</f>
        <v>12161.897255820822</v>
      </c>
      <c r="AC80" s="55">
        <f>+FEE_2_Out!S77</f>
        <v>11502.773286002102</v>
      </c>
      <c r="AD80" s="55">
        <f>+FEE_2_Out!V77</f>
        <v>566.84679025172181</v>
      </c>
      <c r="AE80" s="55">
        <f>+FEE_2_Out!Y77</f>
        <v>92.2771795669981</v>
      </c>
      <c r="AF80" s="55">
        <f>+FEE_3_Out!H77</f>
        <v>13092.993773921344</v>
      </c>
      <c r="AG80" s="55">
        <f>+FEE_3_Out!S77</f>
        <v>12795.448852268164</v>
      </c>
      <c r="AH80" s="55">
        <f>+FEE_3_Out!V77</f>
        <v>207.25864864635861</v>
      </c>
      <c r="AI80" s="55">
        <f>+FEE_3_Out!Y77</f>
        <v>90.286273006820679</v>
      </c>
      <c r="AJ80" s="55">
        <f>+FEE_4_Out!H77</f>
        <v>14048.303164188781</v>
      </c>
      <c r="AK80" s="55">
        <f>+FEE_4_Out!S77</f>
        <v>13178.827055116102</v>
      </c>
      <c r="AL80" s="55">
        <f>+FEE_4_Out!V77</f>
        <v>818.72073636977109</v>
      </c>
      <c r="AM80" s="55">
        <f>+FEE_4_Out!Y77</f>
        <v>50.755372702908176</v>
      </c>
    </row>
    <row r="81" spans="2:39" x14ac:dyDescent="0.25">
      <c r="B81" s="116">
        <f>ITE_LUC_Rates!A69</f>
        <v>712</v>
      </c>
      <c r="C81" s="117" t="str">
        <f>ITE_LUC_Rates!B69</f>
        <v>Small Office Building</v>
      </c>
      <c r="D81" s="203" t="str">
        <f>ITE_LUC_Rates!C69</f>
        <v>1000 GSF</v>
      </c>
      <c r="E81" s="204">
        <f>ITE_LUC_Rates!G69</f>
        <v>16.190000000000001</v>
      </c>
      <c r="F81" s="118" t="s">
        <v>73</v>
      </c>
      <c r="G81" s="119">
        <f>ITE_LUC_Rates!Q69</f>
        <v>0</v>
      </c>
      <c r="H81" s="91">
        <f>FEE_1_In!$H78</f>
        <v>18532.749083577004</v>
      </c>
      <c r="I81" s="91">
        <f>+FEE_1_In!S78</f>
        <v>13612.597894113784</v>
      </c>
      <c r="J81" s="91">
        <f>+FEE_1_In!V78</f>
        <v>4629.3043742008385</v>
      </c>
      <c r="K81" s="91">
        <f>+FEE_1_In!Y78</f>
        <v>290.84681526238302</v>
      </c>
      <c r="L81" s="91">
        <f>+FEE_2_In!H78</f>
        <v>22042.956920221059</v>
      </c>
      <c r="M81" s="91">
        <f>+FEE_2_In!S78</f>
        <v>18279.938494760761</v>
      </c>
      <c r="N81" s="91">
        <f>+FEE_2_In!V78</f>
        <v>3607.1573496959159</v>
      </c>
      <c r="O81" s="55">
        <f>+FEE_2_In!Y78</f>
        <v>155.86107576438073</v>
      </c>
      <c r="P81" s="55">
        <f>+FEE_3_In!H78</f>
        <v>21926.616668330924</v>
      </c>
      <c r="Q81" s="55">
        <f>+FEE_3_In!S78</f>
        <v>19720.922745701959</v>
      </c>
      <c r="R81" s="55">
        <f>+FEE_3_In!V78</f>
        <v>2110.9227037210408</v>
      </c>
      <c r="S81" s="55">
        <f>+FEE_3_In!Y78</f>
        <v>94.771218907924847</v>
      </c>
      <c r="T81" s="55">
        <f>+FEE_4_In!H78</f>
        <v>20582.548661379078</v>
      </c>
      <c r="U81" s="55">
        <f>+FEE_4_In!S78</f>
        <v>17128.485582039437</v>
      </c>
      <c r="V81" s="55">
        <f>+FEE_4_In!V78</f>
        <v>3363.2077357069898</v>
      </c>
      <c r="W81" s="55">
        <f>+FEE_4_In!Y78</f>
        <v>90.855343632651909</v>
      </c>
      <c r="X81" s="55">
        <f>FEE_1_In!$H78</f>
        <v>18532.749083577004</v>
      </c>
      <c r="Y81" s="55">
        <f>+FEE_1_Out!S78</f>
        <v>16533.944534380385</v>
      </c>
      <c r="Z81" s="55">
        <f>+FEE_1_Out!V78</f>
        <v>1258.2910374526291</v>
      </c>
      <c r="AA81" s="55">
        <f>+FEE_1_Out!Y78</f>
        <v>232.74372959592262</v>
      </c>
      <c r="AB81" s="55">
        <f>+FEE_2_Out!H78</f>
        <v>19751.708782047601</v>
      </c>
      <c r="AC81" s="55">
        <f>+FEE_2_Out!S78</f>
        <v>18681.248768344103</v>
      </c>
      <c r="AD81" s="55">
        <f>+FEE_2_Out!V78</f>
        <v>920.59589795759871</v>
      </c>
      <c r="AE81" s="55">
        <f>+FEE_2_Out!Y78</f>
        <v>149.86411574589869</v>
      </c>
      <c r="AF81" s="55">
        <f>+FEE_3_Out!H78</f>
        <v>21263.869827866165</v>
      </c>
      <c r="AG81" s="55">
        <f>+FEE_3_Out!S78</f>
        <v>20780.637605257318</v>
      </c>
      <c r="AH81" s="55">
        <f>+FEE_3_Out!V78</f>
        <v>336.60146805337473</v>
      </c>
      <c r="AI81" s="55">
        <f>+FEE_3_Out!Y78</f>
        <v>146.63075455547494</v>
      </c>
      <c r="AJ81" s="55">
        <f>+FEE_4_Out!H78</f>
        <v>22815.354146177357</v>
      </c>
      <c r="AK81" s="55">
        <f>+FEE_4_Out!S78</f>
        <v>21403.268635330609</v>
      </c>
      <c r="AL81" s="55">
        <f>+FEE_4_Out!V78</f>
        <v>1329.6554985168614</v>
      </c>
      <c r="AM81" s="55">
        <f>+FEE_4_Out!Y78</f>
        <v>82.430012329887091</v>
      </c>
    </row>
    <row r="82" spans="2:39" x14ac:dyDescent="0.25">
      <c r="B82" s="116">
        <f>ITE_LUC_Rates!A70</f>
        <v>714</v>
      </c>
      <c r="C82" s="117" t="str">
        <f>ITE_LUC_Rates!B70</f>
        <v>Corporate Headquarters Buildings</v>
      </c>
      <c r="D82" s="203" t="str">
        <f>ITE_LUC_Rates!C70</f>
        <v>1000 GSF</v>
      </c>
      <c r="E82" s="204">
        <f>ITE_LUC_Rates!G70</f>
        <v>7.95</v>
      </c>
      <c r="F82" s="118" t="s">
        <v>73</v>
      </c>
      <c r="G82" s="119">
        <f>ITE_LUC_Rates!Q70</f>
        <v>0</v>
      </c>
      <c r="H82" s="91">
        <f>FEE_1_In!$H79</f>
        <v>9100.3925394958114</v>
      </c>
      <c r="I82" s="91">
        <f>+FEE_1_In!S79</f>
        <v>6684.3825360225192</v>
      </c>
      <c r="J82" s="91">
        <f>+FEE_1_In!V79</f>
        <v>2273.1914623160387</v>
      </c>
      <c r="K82" s="91">
        <f>+FEE_1_In!Y79</f>
        <v>142.81854115725415</v>
      </c>
      <c r="L82" s="91">
        <f>+FEE_2_In!H79</f>
        <v>10824.058524753391</v>
      </c>
      <c r="M82" s="91">
        <f>+FEE_2_In!S79</f>
        <v>8976.2514535730734</v>
      </c>
      <c r="N82" s="91">
        <f>+FEE_2_In!V79</f>
        <v>1771.2724478123864</v>
      </c>
      <c r="O82" s="55">
        <f>+FEE_2_In!Y79</f>
        <v>76.534623367932483</v>
      </c>
      <c r="P82" s="55">
        <f>+FEE_3_In!H79</f>
        <v>10766.930359063052</v>
      </c>
      <c r="Q82" s="55">
        <f>+FEE_3_In!S79</f>
        <v>9683.8379140414163</v>
      </c>
      <c r="R82" s="55">
        <f>+FEE_3_In!V79</f>
        <v>1036.5556204189174</v>
      </c>
      <c r="S82" s="55">
        <f>+FEE_3_In!Y79</f>
        <v>46.536824602717886</v>
      </c>
      <c r="T82" s="55">
        <f>+FEE_4_In!H79</f>
        <v>10106.934024580833</v>
      </c>
      <c r="U82" s="55">
        <f>+FEE_4_In!S79</f>
        <v>8410.8375773448752</v>
      </c>
      <c r="V82" s="55">
        <f>+FEE_4_In!V79</f>
        <v>1651.4824891210976</v>
      </c>
      <c r="W82" s="55">
        <f>+FEE_4_In!Y79</f>
        <v>44.613958114859948</v>
      </c>
      <c r="X82" s="55">
        <f>FEE_1_In!$H79</f>
        <v>9100.3925394958114</v>
      </c>
      <c r="Y82" s="55">
        <f>+FEE_1_Out!S79</f>
        <v>8118.8918498038329</v>
      </c>
      <c r="Z82" s="55">
        <f>+FEE_1_Out!V79</f>
        <v>617.87608077507116</v>
      </c>
      <c r="AA82" s="55">
        <f>+FEE_1_Out!Y79</f>
        <v>114.28737802888111</v>
      </c>
      <c r="AB82" s="55">
        <f>+FEE_2_Out!H79</f>
        <v>9698.9552079850782</v>
      </c>
      <c r="AC82" s="55">
        <f>+FEE_2_Out!S79</f>
        <v>9173.3123970559354</v>
      </c>
      <c r="AD82" s="55">
        <f>+FEE_2_Out!V79</f>
        <v>452.05295792235393</v>
      </c>
      <c r="AE82" s="55">
        <f>+FEE_2_Out!Y79</f>
        <v>73.58985300678782</v>
      </c>
      <c r="AF82" s="55">
        <f>+FEE_3_Out!H79</f>
        <v>10441.492596141818</v>
      </c>
      <c r="AG82" s="55">
        <f>+FEE_3_Out!S79</f>
        <v>10204.204383063352</v>
      </c>
      <c r="AH82" s="55">
        <f>+FEE_3_Out!V79</f>
        <v>165.28608221274425</v>
      </c>
      <c r="AI82" s="55">
        <f>+FEE_3_Out!Y79</f>
        <v>72.00213086572117</v>
      </c>
      <c r="AJ82" s="55">
        <f>+FEE_4_Out!H79</f>
        <v>11203.339435584308</v>
      </c>
      <c r="AK82" s="55">
        <f>+FEE_4_Out!S79</f>
        <v>10509.943523834361</v>
      </c>
      <c r="AL82" s="55">
        <f>+FEE_4_Out!V79</f>
        <v>652.91916079117038</v>
      </c>
      <c r="AM82" s="55">
        <f>+FEE_4_Out!Y79</f>
        <v>40.47675095877716</v>
      </c>
    </row>
    <row r="83" spans="2:39" x14ac:dyDescent="0.25">
      <c r="B83" s="116">
        <f>ITE_LUC_Rates!A71</f>
        <v>715</v>
      </c>
      <c r="C83" s="117" t="str">
        <f>ITE_LUC_Rates!B71</f>
        <v>Single Tenant Office Building</v>
      </c>
      <c r="D83" s="203" t="str">
        <f>ITE_LUC_Rates!C71</f>
        <v>1000 GSF</v>
      </c>
      <c r="E83" s="204">
        <f>ITE_LUC_Rates!G71</f>
        <v>11.25</v>
      </c>
      <c r="F83" s="118" t="s">
        <v>73</v>
      </c>
      <c r="G83" s="119">
        <f>ITE_LUC_Rates!Q71</f>
        <v>0</v>
      </c>
      <c r="H83" s="91">
        <f>FEE_1_In!$H80</f>
        <v>12877.913970984637</v>
      </c>
      <c r="I83" s="91">
        <f>+FEE_1_In!S80</f>
        <v>9459.031890597902</v>
      </c>
      <c r="J83" s="91">
        <f>+FEE_1_In!V80</f>
        <v>3216.7803712019413</v>
      </c>
      <c r="K83" s="91">
        <f>+FEE_1_In!Y80</f>
        <v>202.10170918479358</v>
      </c>
      <c r="L83" s="91">
        <f>+FEE_2_In!H80</f>
        <v>15317.063950122725</v>
      </c>
      <c r="M83" s="91">
        <f>+FEE_2_In!S80</f>
        <v>12702.242622980764</v>
      </c>
      <c r="N83" s="91">
        <f>+FEE_2_In!V80</f>
        <v>2506.5176148288479</v>
      </c>
      <c r="O83" s="55">
        <f>+FEE_2_In!Y80</f>
        <v>108.30371231311197</v>
      </c>
      <c r="P83" s="55">
        <f>+FEE_3_In!H80</f>
        <v>15236.2222062213</v>
      </c>
      <c r="Q83" s="55">
        <f>+FEE_3_In!S80</f>
        <v>13703.544217983137</v>
      </c>
      <c r="R83" s="55">
        <f>+FEE_3_In!V80</f>
        <v>1466.8239911588453</v>
      </c>
      <c r="S83" s="55">
        <f>+FEE_3_In!Y80</f>
        <v>65.85399707931775</v>
      </c>
      <c r="T83" s="55">
        <f>+FEE_4_In!H80</f>
        <v>14302.265129123816</v>
      </c>
      <c r="U83" s="55">
        <f>+FEE_4_In!S80</f>
        <v>11902.12864718614</v>
      </c>
      <c r="V83" s="55">
        <f>+FEE_4_In!V80</f>
        <v>2337.0035223411755</v>
      </c>
      <c r="W83" s="55">
        <f>+FEE_4_In!Y80</f>
        <v>63.132959596499916</v>
      </c>
      <c r="X83" s="55">
        <f>FEE_1_In!$H80</f>
        <v>12877.913970984637</v>
      </c>
      <c r="Y83" s="55">
        <f>+FEE_1_Out!S80</f>
        <v>11488.997900665801</v>
      </c>
      <c r="Z83" s="55">
        <f>+FEE_1_Out!V80</f>
        <v>874.35294449302501</v>
      </c>
      <c r="AA83" s="55">
        <f>+FEE_1_Out!Y80</f>
        <v>161.72742173898266</v>
      </c>
      <c r="AB83" s="55">
        <f>+FEE_2_Out!H80</f>
        <v>13724.936615073218</v>
      </c>
      <c r="AC83" s="55">
        <f>+FEE_2_Out!S80</f>
        <v>12981.102448664056</v>
      </c>
      <c r="AD83" s="55">
        <f>+FEE_2_Out!V80</f>
        <v>639.69758196559508</v>
      </c>
      <c r="AE83" s="55">
        <f>+FEE_2_Out!Y80</f>
        <v>104.13658444356764</v>
      </c>
      <c r="AF83" s="55">
        <f>+FEE_3_Out!H80</f>
        <v>14775.697070012004</v>
      </c>
      <c r="AG83" s="55">
        <f>+FEE_3_Out!S80</f>
        <v>14439.911862825496</v>
      </c>
      <c r="AH83" s="55">
        <f>+FEE_3_Out!V80</f>
        <v>233.89539935765688</v>
      </c>
      <c r="AI83" s="55">
        <f>+FEE_3_Out!Y80</f>
        <v>101.88980782885071</v>
      </c>
      <c r="AJ83" s="55">
        <f>+FEE_4_Out!H80</f>
        <v>15853.782220166475</v>
      </c>
      <c r="AK83" s="55">
        <f>+FEE_4_Out!S80</f>
        <v>14872.561590331643</v>
      </c>
      <c r="AL83" s="55">
        <f>+FEE_4_Out!V80</f>
        <v>923.94220866675028</v>
      </c>
      <c r="AM83" s="55">
        <f>+FEE_4_Out!Y80</f>
        <v>57.278421168080889</v>
      </c>
    </row>
    <row r="84" spans="2:39" x14ac:dyDescent="0.25">
      <c r="B84" s="51">
        <f>ITE_LUC_Rates!A72</f>
        <v>720</v>
      </c>
      <c r="C84" s="11" t="str">
        <f>ITE_LUC_Rates!B72</f>
        <v>Medical Office Building</v>
      </c>
      <c r="D84" s="52" t="str">
        <f>ITE_LUC_Rates!C72</f>
        <v>1000 GSF</v>
      </c>
      <c r="E84" s="112">
        <f>ITE_LUC_Rates!G72</f>
        <v>34.799999999999997</v>
      </c>
      <c r="F84" s="53" t="s">
        <v>73</v>
      </c>
      <c r="G84" s="91">
        <f>ITE_LUC_Rates!Q72</f>
        <v>35910.699999999997</v>
      </c>
      <c r="H84" s="91">
        <f>FEE_1_In!$H81</f>
        <v>26316.685834669333</v>
      </c>
      <c r="I84" s="91">
        <f>+FEE_1_In!S81</f>
        <v>19330.022791412561</v>
      </c>
      <c r="J84" s="91">
        <f>+FEE_1_In!V81</f>
        <v>6573.6577072023883</v>
      </c>
      <c r="K84" s="91">
        <f>+FEE_1_In!Y81</f>
        <v>413.0053360543809</v>
      </c>
      <c r="L84" s="91">
        <f>+FEE_2_In!H81</f>
        <v>31301.215460293883</v>
      </c>
      <c r="M84" s="91">
        <f>+FEE_2_In!S81</f>
        <v>25957.692313980562</v>
      </c>
      <c r="N84" s="91">
        <f>+FEE_2_In!V81</f>
        <v>5122.1988869577763</v>
      </c>
      <c r="O84" s="55">
        <f>+FEE_2_In!Y81</f>
        <v>221.32425935554312</v>
      </c>
      <c r="P84" s="55">
        <f>+FEE_3_In!H81</f>
        <v>31136.011159242171</v>
      </c>
      <c r="Q84" s="55">
        <f>+FEE_3_In!S81</f>
        <v>28003.904112009524</v>
      </c>
      <c r="R84" s="55">
        <f>+FEE_3_In!V81</f>
        <v>2997.5309849916343</v>
      </c>
      <c r="S84" s="55">
        <f>+FEE_3_In!Y81</f>
        <v>134.57606224101281</v>
      </c>
      <c r="T84" s="55">
        <f>+FEE_4_In!H81</f>
        <v>29227.421380150707</v>
      </c>
      <c r="U84" s="55">
        <f>+FEE_4_In!S81</f>
        <v>24322.617861677376</v>
      </c>
      <c r="V84" s="55">
        <f>+FEE_4_In!V81</f>
        <v>4775.78803760761</v>
      </c>
      <c r="W84" s="55">
        <f>+FEE_4_In!Y81</f>
        <v>129.01548086572029</v>
      </c>
      <c r="X84" s="55">
        <f>FEE_1_In!$H81</f>
        <v>26316.685834669333</v>
      </c>
      <c r="Y84" s="55">
        <f>+FEE_1_Out!S81</f>
        <v>23478.363730976191</v>
      </c>
      <c r="Z84" s="55">
        <f>+FEE_1_Out!V81</f>
        <v>1786.7856394044288</v>
      </c>
      <c r="AA84" s="55">
        <f>+FEE_1_Out!Y81</f>
        <v>330.4983833830081</v>
      </c>
      <c r="AB84" s="55">
        <f>+FEE_2_Out!H81</f>
        <v>28047.620586179077</v>
      </c>
      <c r="AC84" s="55">
        <f>+FEE_2_Out!S81</f>
        <v>26527.556846462514</v>
      </c>
      <c r="AD84" s="55">
        <f>+FEE_2_Out!V81</f>
        <v>1307.2552225241357</v>
      </c>
      <c r="AE84" s="55">
        <f>+FEE_2_Out!Y81</f>
        <v>212.80851719242722</v>
      </c>
      <c r="AF84" s="55">
        <f>+FEE_3_Out!H81</f>
        <v>30194.904132444593</v>
      </c>
      <c r="AG84" s="55">
        <f>+FEE_3_Out!S81</f>
        <v>29508.709627234599</v>
      </c>
      <c r="AH84" s="55">
        <f>+FEE_3_Out!V81</f>
        <v>477.97739268476732</v>
      </c>
      <c r="AI84" s="55">
        <f>+FEE_3_Out!Y81</f>
        <v>208.21711252522658</v>
      </c>
      <c r="AJ84" s="55">
        <f>+FEE_4_Out!H81</f>
        <v>32398.027112110554</v>
      </c>
      <c r="AK84" s="55">
        <f>+FEE_4_Out!S81</f>
        <v>30392.851809026488</v>
      </c>
      <c r="AL84" s="55">
        <f>+FEE_4_Out!V81</f>
        <v>1888.1238754706671</v>
      </c>
      <c r="AM84" s="55">
        <f>+FEE_4_Out!Y81</f>
        <v>117.0514276133967</v>
      </c>
    </row>
    <row r="85" spans="2:39" x14ac:dyDescent="0.25">
      <c r="B85" s="116">
        <f>ITE_LUC_Rates!A73</f>
        <v>730</v>
      </c>
      <c r="C85" s="117" t="str">
        <f>ITE_LUC_Rates!B73</f>
        <v>Government Office Building</v>
      </c>
      <c r="D85" s="203" t="str">
        <f>ITE_LUC_Rates!C73</f>
        <v>1000 GSF</v>
      </c>
      <c r="E85" s="204">
        <f>ITE_LUC_Rates!G73</f>
        <v>22.59</v>
      </c>
      <c r="F85" s="118" t="s">
        <v>73</v>
      </c>
      <c r="G85" s="119">
        <f>ITE_LUC_Rates!Q73</f>
        <v>0</v>
      </c>
      <c r="H85" s="91">
        <f>FEE_1_In!$H82</f>
        <v>25858.85125373715</v>
      </c>
      <c r="I85" s="91">
        <f>+FEE_1_In!S82</f>
        <v>18993.736036320588</v>
      </c>
      <c r="J85" s="91">
        <f>+FEE_1_In!V82</f>
        <v>6459.2949853734981</v>
      </c>
      <c r="K85" s="91">
        <f>+FEE_1_In!Y82</f>
        <v>405.82023204306552</v>
      </c>
      <c r="L85" s="91">
        <f>+FEE_2_In!H82</f>
        <v>30756.664411846428</v>
      </c>
      <c r="M85" s="91">
        <f>+FEE_2_In!S82</f>
        <v>25506.103186945373</v>
      </c>
      <c r="N85" s="91">
        <f>+FEE_2_In!V82</f>
        <v>5033.087370576327</v>
      </c>
      <c r="O85" s="55">
        <f>+FEE_2_In!Y82</f>
        <v>217.47385432472882</v>
      </c>
      <c r="P85" s="55">
        <f>+FEE_3_In!H82</f>
        <v>30594.33419009237</v>
      </c>
      <c r="Q85" s="55">
        <f>+FEE_3_In!S82</f>
        <v>27516.716789710139</v>
      </c>
      <c r="R85" s="55">
        <f>+FEE_3_In!V82</f>
        <v>2945.3825742469612</v>
      </c>
      <c r="S85" s="55">
        <f>+FEE_3_In!Y82</f>
        <v>132.23482613527005</v>
      </c>
      <c r="T85" s="55">
        <f>+FEE_4_In!H82</f>
        <v>28718.948379280628</v>
      </c>
      <c r="U85" s="55">
        <f>+FEE_4_In!S82</f>
        <v>23899.474323549774</v>
      </c>
      <c r="V85" s="55">
        <f>+FEE_4_In!V82</f>
        <v>4692.7030728610807</v>
      </c>
      <c r="W85" s="55">
        <f>+FEE_4_In!Y82</f>
        <v>126.77098286977184</v>
      </c>
      <c r="X85" s="55">
        <f>FEE_1_In!$H82</f>
        <v>25858.85125373715</v>
      </c>
      <c r="Y85" s="55">
        <f>+FEE_1_Out!S82</f>
        <v>23069.907784536932</v>
      </c>
      <c r="Z85" s="55">
        <f>+FEE_1_Out!V82</f>
        <v>1755.7007125419948</v>
      </c>
      <c r="AA85" s="55">
        <f>+FEE_1_Out!Y82</f>
        <v>324.74866285187721</v>
      </c>
      <c r="AB85" s="55">
        <f>+FEE_2_Out!H82</f>
        <v>27559.672723067026</v>
      </c>
      <c r="AC85" s="55">
        <f>+FEE_2_Out!S82</f>
        <v>26066.053716917428</v>
      </c>
      <c r="AD85" s="55">
        <f>+FEE_2_Out!V82</f>
        <v>1284.512744586915</v>
      </c>
      <c r="AE85" s="55">
        <f>+FEE_2_Out!Y82</f>
        <v>209.10626156268378</v>
      </c>
      <c r="AF85" s="55">
        <f>+FEE_3_Out!H82</f>
        <v>29669.599716584104</v>
      </c>
      <c r="AG85" s="55">
        <f>+FEE_3_Out!S82</f>
        <v>28995.343020553595</v>
      </c>
      <c r="AH85" s="55">
        <f>+FEE_3_Out!V82</f>
        <v>469.66196191017508</v>
      </c>
      <c r="AI85" s="55">
        <f>+FEE_3_Out!Y82</f>
        <v>204.59473412033219</v>
      </c>
      <c r="AJ85" s="55">
        <f>+FEE_4_Out!H82</f>
        <v>31834.394698094278</v>
      </c>
      <c r="AK85" s="55">
        <f>+FEE_4_Out!S82</f>
        <v>29864.103673385936</v>
      </c>
      <c r="AL85" s="55">
        <f>+FEE_4_Out!V82</f>
        <v>1855.2759550028345</v>
      </c>
      <c r="AM85" s="55">
        <f>+FEE_4_Out!Y82</f>
        <v>115.01506970550641</v>
      </c>
    </row>
    <row r="86" spans="2:39" x14ac:dyDescent="0.25">
      <c r="B86" s="116">
        <f>ITE_LUC_Rates!A74</f>
        <v>731</v>
      </c>
      <c r="C86" s="117" t="str">
        <f>ITE_LUC_Rates!B74</f>
        <v>State Motor Vehicles Department</v>
      </c>
      <c r="D86" s="203" t="str">
        <f>ITE_LUC_Rates!C74</f>
        <v>1000 GSF</v>
      </c>
      <c r="E86" s="204">
        <f>ITE_LUC_Rates!G74</f>
        <v>11.21</v>
      </c>
      <c r="F86" s="118" t="s">
        <v>73</v>
      </c>
      <c r="G86" s="119">
        <f>ITE_LUC_Rates!Q74</f>
        <v>0</v>
      </c>
      <c r="H86" s="91">
        <f>FEE_1_In!$H83</f>
        <v>6335.3525693572828</v>
      </c>
      <c r="I86" s="91">
        <f>+FEE_1_In!S83</f>
        <v>4653.4168598076112</v>
      </c>
      <c r="J86" s="91">
        <f>+FEE_1_In!V83</f>
        <v>1582.5107882898906</v>
      </c>
      <c r="K86" s="91">
        <f>+FEE_1_In!Y83</f>
        <v>99.424921259780916</v>
      </c>
      <c r="L86" s="91">
        <f>+FEE_2_In!H83</f>
        <v>7535.3042946287251</v>
      </c>
      <c r="M86" s="91">
        <f>+FEE_2_In!S83</f>
        <v>6248.9301931520695</v>
      </c>
      <c r="N86" s="91">
        <f>+FEE_2_In!V83</f>
        <v>1233.0935621269011</v>
      </c>
      <c r="O86" s="55">
        <f>+FEE_2_In!Y83</f>
        <v>53.280539349754939</v>
      </c>
      <c r="P86" s="55">
        <f>+FEE_3_In!H83</f>
        <v>7495.5338045407234</v>
      </c>
      <c r="Q86" s="55">
        <f>+FEE_3_In!S83</f>
        <v>6741.5253950529886</v>
      </c>
      <c r="R86" s="55">
        <f>+FEE_3_In!V83</f>
        <v>721.61121452751627</v>
      </c>
      <c r="S86" s="55">
        <f>+FEE_3_In!Y83</f>
        <v>32.39719496021786</v>
      </c>
      <c r="T86" s="55">
        <f>+FEE_4_In!H83</f>
        <v>7036.0690665877828</v>
      </c>
      <c r="U86" s="55">
        <f>+FEE_4_In!S83</f>
        <v>5855.3102214897217</v>
      </c>
      <c r="V86" s="55">
        <f>+FEE_4_In!V83</f>
        <v>1149.7002777950029</v>
      </c>
      <c r="W86" s="55">
        <f>+FEE_4_In!Y83</f>
        <v>31.058567303057846</v>
      </c>
      <c r="X86" s="55">
        <f>FEE_1_In!$H83</f>
        <v>6335.3525693572828</v>
      </c>
      <c r="Y86" s="55">
        <f>+FEE_1_Out!S83</f>
        <v>5652.0685363576995</v>
      </c>
      <c r="Z86" s="55">
        <f>+FEE_1_Out!V83</f>
        <v>430.14219429479988</v>
      </c>
      <c r="AA86" s="55">
        <f>+FEE_1_Out!Y83</f>
        <v>79.562593690106198</v>
      </c>
      <c r="AB86" s="55">
        <f>+FEE_2_Out!H83</f>
        <v>6752.0494891084963</v>
      </c>
      <c r="AC86" s="55">
        <f>+FEE_2_Out!S83</f>
        <v>6386.1166440876568</v>
      </c>
      <c r="AD86" s="55">
        <f>+FEE_2_Out!V83</f>
        <v>314.70234454497648</v>
      </c>
      <c r="AE86" s="55">
        <f>+FEE_2_Out!Y83</f>
        <v>51.23050047586274</v>
      </c>
      <c r="AF86" s="55">
        <f>+FEE_3_Out!H83</f>
        <v>7268.9762183112416</v>
      </c>
      <c r="AG86" s="55">
        <f>+FEE_3_Out!S83</f>
        <v>7103.7850483830771</v>
      </c>
      <c r="AH86" s="55">
        <f>+FEE_3_Out!V83</f>
        <v>115.06598216295437</v>
      </c>
      <c r="AI86" s="55">
        <f>+FEE_3_Out!Y83</f>
        <v>50.125187765210228</v>
      </c>
      <c r="AJ86" s="55">
        <f>+FEE_4_Out!H83</f>
        <v>7799.3454645576376</v>
      </c>
      <c r="AK86" s="55">
        <f>+FEE_4_Out!S83</f>
        <v>7316.6291913835312</v>
      </c>
      <c r="AL86" s="55">
        <f>+FEE_4_Out!V83</f>
        <v>454.53787459701317</v>
      </c>
      <c r="AM86" s="55">
        <f>+FEE_4_Out!Y83</f>
        <v>28.178398577093795</v>
      </c>
    </row>
    <row r="87" spans="2:39" x14ac:dyDescent="0.25">
      <c r="B87" s="116">
        <f>ITE_LUC_Rates!A75</f>
        <v>733</v>
      </c>
      <c r="C87" s="117" t="str">
        <f>ITE_LUC_Rates!B75</f>
        <v>Government Office Complex</v>
      </c>
      <c r="D87" s="203" t="str">
        <f>ITE_LUC_Rates!C75</f>
        <v>1000 GSF</v>
      </c>
      <c r="E87" s="204">
        <f>ITE_LUC_Rates!G75</f>
        <v>33.979999999999997</v>
      </c>
      <c r="F87" s="118" t="s">
        <v>73</v>
      </c>
      <c r="G87" s="119">
        <f>ITE_LUC_Rates!Q75</f>
        <v>0</v>
      </c>
      <c r="H87" s="91">
        <f>FEE_1_In!$H84</f>
        <v>38897.02370969404</v>
      </c>
      <c r="I87" s="91">
        <f>+FEE_1_In!S84</f>
        <v>28570.480323779266</v>
      </c>
      <c r="J87" s="91">
        <f>+FEE_1_In!V84</f>
        <v>9716.1064011948401</v>
      </c>
      <c r="K87" s="91">
        <f>+FEE_1_In!Y84</f>
        <v>610.43698471993662</v>
      </c>
      <c r="L87" s="91">
        <f>+FEE_2_In!H84</f>
        <v>46264.340713348451</v>
      </c>
      <c r="M87" s="91">
        <f>+FEE_2_In!S84</f>
        <v>38366.418162567672</v>
      </c>
      <c r="N87" s="91">
        <f>+FEE_2_In!V84</f>
        <v>7570.7972046119348</v>
      </c>
      <c r="O87" s="55">
        <f>+FEE_2_In!Y84</f>
        <v>327.12534616884847</v>
      </c>
      <c r="P87" s="55">
        <f>+FEE_3_In!H84</f>
        <v>46020.162717102205</v>
      </c>
      <c r="Q87" s="55">
        <f>+FEE_3_In!S84</f>
        <v>41390.794002405957</v>
      </c>
      <c r="R87" s="55">
        <f>+FEE_3_In!V84</f>
        <v>4430.4603750735605</v>
      </c>
      <c r="S87" s="55">
        <f>+FEE_3_In!Y84</f>
        <v>198.90833962268599</v>
      </c>
      <c r="T87" s="55">
        <f>+FEE_4_In!H84</f>
        <v>43199.197252233535</v>
      </c>
      <c r="U87" s="55">
        <f>+FEE_4_In!S84</f>
        <v>35949.718349456452</v>
      </c>
      <c r="V87" s="55">
        <f>+FEE_4_In!V84</f>
        <v>7058.7893057025021</v>
      </c>
      <c r="W87" s="55">
        <f>+FEE_4_In!Y84</f>
        <v>190.68959707458376</v>
      </c>
      <c r="X87" s="55">
        <f>FEE_1_In!$H84</f>
        <v>38897.02370969404</v>
      </c>
      <c r="Y87" s="55">
        <f>+FEE_1_Out!S84</f>
        <v>34701.879881299901</v>
      </c>
      <c r="Z87" s="55">
        <f>+FEE_1_Out!V84</f>
        <v>2640.9344936775997</v>
      </c>
      <c r="AA87" s="55">
        <f>+FEE_1_Out!Y84</f>
        <v>488.48869250583385</v>
      </c>
      <c r="AB87" s="55">
        <f>+FEE_2_Out!H84</f>
        <v>41455.408549350053</v>
      </c>
      <c r="AC87" s="55">
        <f>+FEE_2_Out!S84</f>
        <v>39208.698773831529</v>
      </c>
      <c r="AD87" s="55">
        <f>+FEE_2_Out!V84</f>
        <v>1932.1710075725264</v>
      </c>
      <c r="AE87" s="55">
        <f>+FEE_2_Out!Y84</f>
        <v>314.53876794599364</v>
      </c>
      <c r="AF87" s="55">
        <f>+FEE_3_Out!H84</f>
        <v>44629.172127911814</v>
      </c>
      <c r="AG87" s="55">
        <f>+FEE_3_Out!S84</f>
        <v>43614.951564338699</v>
      </c>
      <c r="AH87" s="55">
        <f>+FEE_3_Out!V84</f>
        <v>706.46805957094944</v>
      </c>
      <c r="AI87" s="55">
        <f>+FEE_3_Out!Y84</f>
        <v>307.75250400216419</v>
      </c>
      <c r="AJ87" s="55">
        <f>+FEE_4_Out!H84</f>
        <v>47885.468430333938</v>
      </c>
      <c r="AK87" s="55">
        <f>+FEE_4_Out!S84</f>
        <v>44921.746030175047</v>
      </c>
      <c r="AL87" s="55">
        <f>+FEE_4_Out!V84</f>
        <v>2790.7161111552155</v>
      </c>
      <c r="AM87" s="55">
        <f>+FEE_4_Out!Y84</f>
        <v>173.006289003679</v>
      </c>
    </row>
    <row r="88" spans="2:39" x14ac:dyDescent="0.25">
      <c r="B88" s="51">
        <f>ITE_LUC_Rates!A76</f>
        <v>750</v>
      </c>
      <c r="C88" s="11" t="str">
        <f>ITE_LUC_Rates!B76</f>
        <v>Office Park</v>
      </c>
      <c r="D88" s="52" t="str">
        <f>ITE_LUC_Rates!C76</f>
        <v>1000 GSF</v>
      </c>
      <c r="E88" s="112">
        <f>ITE_LUC_Rates!G76</f>
        <v>11.07</v>
      </c>
      <c r="F88" s="53" t="s">
        <v>73</v>
      </c>
      <c r="G88" s="91">
        <f>ITE_LUC_Rates!Q76</f>
        <v>11350.1</v>
      </c>
      <c r="H88" s="91">
        <f>FEE_1_In!$H85</f>
        <v>12671.867347448882</v>
      </c>
      <c r="I88" s="91">
        <f>+FEE_1_In!S85</f>
        <v>9307.6873803483359</v>
      </c>
      <c r="J88" s="91">
        <f>+FEE_1_In!V85</f>
        <v>3165.3118852627103</v>
      </c>
      <c r="K88" s="91">
        <f>+FEE_1_In!Y85</f>
        <v>198.86808183783685</v>
      </c>
      <c r="L88" s="91">
        <f>+FEE_2_In!H85</f>
        <v>15071.990926920756</v>
      </c>
      <c r="M88" s="91">
        <f>+FEE_2_In!S85</f>
        <v>12499.006741013069</v>
      </c>
      <c r="N88" s="91">
        <f>+FEE_2_In!V85</f>
        <v>2466.4133329915867</v>
      </c>
      <c r="O88" s="55">
        <f>+FEE_2_In!Y85</f>
        <v>106.57085291610218</v>
      </c>
      <c r="P88" s="55">
        <f>+FEE_3_In!H85</f>
        <v>14992.442650921761</v>
      </c>
      <c r="Q88" s="55">
        <f>+FEE_3_In!S85</f>
        <v>13484.287510495409</v>
      </c>
      <c r="R88" s="55">
        <f>+FEE_3_In!V85</f>
        <v>1443.3548073003035</v>
      </c>
      <c r="S88" s="55">
        <f>+FEE_3_In!Y85</f>
        <v>64.80033312604867</v>
      </c>
      <c r="T88" s="55">
        <f>+FEE_4_In!H85</f>
        <v>14073.428887057837</v>
      </c>
      <c r="U88" s="55">
        <f>+FEE_4_In!S85</f>
        <v>11711.694588831164</v>
      </c>
      <c r="V88" s="55">
        <f>+FEE_4_In!V85</f>
        <v>2299.6114659837172</v>
      </c>
      <c r="W88" s="55">
        <f>+FEE_4_In!Y85</f>
        <v>62.122832242955923</v>
      </c>
      <c r="X88" s="55">
        <f>FEE_1_In!$H85</f>
        <v>12671.867347448882</v>
      </c>
      <c r="Y88" s="55">
        <f>+FEE_1_Out!S85</f>
        <v>11305.173934255148</v>
      </c>
      <c r="Z88" s="55">
        <f>+FEE_1_Out!V85</f>
        <v>860.36329738113682</v>
      </c>
      <c r="AA88" s="55">
        <f>+FEE_1_Out!Y85</f>
        <v>159.13978299115894</v>
      </c>
      <c r="AB88" s="55">
        <f>+FEE_2_Out!H85</f>
        <v>13505.337629232048</v>
      </c>
      <c r="AC88" s="55">
        <f>+FEE_2_Out!S85</f>
        <v>12773.404809485433</v>
      </c>
      <c r="AD88" s="55">
        <f>+FEE_2_Out!V85</f>
        <v>629.4624206541456</v>
      </c>
      <c r="AE88" s="55">
        <f>+FEE_2_Out!Y85</f>
        <v>102.47039909247056</v>
      </c>
      <c r="AF88" s="55">
        <f>+FEE_3_Out!H85</f>
        <v>14539.285916891811</v>
      </c>
      <c r="AG88" s="55">
        <f>+FEE_3_Out!S85</f>
        <v>14208.873273020288</v>
      </c>
      <c r="AH88" s="55">
        <f>+FEE_3_Out!V85</f>
        <v>230.15307296793435</v>
      </c>
      <c r="AI88" s="55">
        <f>+FEE_3_Out!Y85</f>
        <v>100.25957090358908</v>
      </c>
      <c r="AJ88" s="55">
        <f>+FEE_4_Out!H85</f>
        <v>15600.121704643811</v>
      </c>
      <c r="AK88" s="55">
        <f>+FEE_4_Out!S85</f>
        <v>14634.600604886336</v>
      </c>
      <c r="AL88" s="55">
        <f>+FEE_4_Out!V85</f>
        <v>909.15913332808236</v>
      </c>
      <c r="AM88" s="55">
        <f>+FEE_4_Out!Y85</f>
        <v>56.3619664293916</v>
      </c>
    </row>
    <row r="89" spans="2:39" x14ac:dyDescent="0.25">
      <c r="B89" s="51">
        <f>ITE_LUC_Rates!A77</f>
        <v>760</v>
      </c>
      <c r="C89" s="11" t="str">
        <f>ITE_LUC_Rates!B77</f>
        <v>Research Center</v>
      </c>
      <c r="D89" s="52" t="str">
        <f>ITE_LUC_Rates!C77</f>
        <v>1000 GSF</v>
      </c>
      <c r="E89" s="112">
        <f>ITE_LUC_Rates!G77</f>
        <v>11.26</v>
      </c>
      <c r="F89" s="53" t="s">
        <v>73</v>
      </c>
      <c r="G89" s="91">
        <f>ITE_LUC_Rates!Q77</f>
        <v>8060.1</v>
      </c>
      <c r="H89" s="91">
        <f>FEE_1_In!$H86</f>
        <v>12889.361005625515</v>
      </c>
      <c r="I89" s="91">
        <f>+FEE_1_In!S86</f>
        <v>9467.4399189451015</v>
      </c>
      <c r="J89" s="91">
        <f>+FEE_1_In!V86</f>
        <v>3219.6397315318986</v>
      </c>
      <c r="K89" s="91">
        <f>+FEE_1_In!Y86</f>
        <v>202.2813551485134</v>
      </c>
      <c r="L89" s="91">
        <f>+FEE_2_In!H86</f>
        <v>15330.679118078388</v>
      </c>
      <c r="M89" s="91">
        <f>+FEE_2_In!S86</f>
        <v>12713.533505312302</v>
      </c>
      <c r="N89" s="91">
        <f>+FEE_2_In!V86</f>
        <v>2508.7456304864736</v>
      </c>
      <c r="O89" s="55">
        <f>+FEE_2_In!Y86</f>
        <v>108.39998227961252</v>
      </c>
      <c r="P89" s="55">
        <f>+FEE_3_In!H86</f>
        <v>15249.765514849052</v>
      </c>
      <c r="Q89" s="55">
        <f>+FEE_3_In!S86</f>
        <v>13715.725146176899</v>
      </c>
      <c r="R89" s="55">
        <f>+FEE_3_In!V86</f>
        <v>1468.127834706542</v>
      </c>
      <c r="S89" s="55">
        <f>+FEE_3_In!Y86</f>
        <v>65.912533965610479</v>
      </c>
      <c r="T89" s="55">
        <f>+FEE_4_In!H86</f>
        <v>14314.978253683041</v>
      </c>
      <c r="U89" s="55">
        <f>+FEE_4_In!S86</f>
        <v>11912.708317094754</v>
      </c>
      <c r="V89" s="55">
        <f>+FEE_4_In!V86</f>
        <v>2339.0808588054788</v>
      </c>
      <c r="W89" s="55">
        <f>+FEE_4_In!Y86</f>
        <v>63.189077782807921</v>
      </c>
      <c r="X89" s="55">
        <f>FEE_1_In!$H86</f>
        <v>12889.361005625515</v>
      </c>
      <c r="Y89" s="55">
        <f>+FEE_1_Out!S86</f>
        <v>11499.210343244171</v>
      </c>
      <c r="Z89" s="55">
        <f>+FEE_1_Out!V86</f>
        <v>875.13014711035225</v>
      </c>
      <c r="AA89" s="55">
        <f>+FEE_1_Out!Y86</f>
        <v>161.87117944719509</v>
      </c>
      <c r="AB89" s="55">
        <f>+FEE_2_Out!H86</f>
        <v>13737.136558731065</v>
      </c>
      <c r="AC89" s="55">
        <f>+FEE_2_Out!S86</f>
        <v>12992.641206396203</v>
      </c>
      <c r="AD89" s="55">
        <f>+FEE_2_Out!V86</f>
        <v>640.26620203845334</v>
      </c>
      <c r="AE89" s="55">
        <f>+FEE_2_Out!Y86</f>
        <v>104.22915029640636</v>
      </c>
      <c r="AF89" s="55">
        <f>+FEE_3_Out!H86</f>
        <v>14788.831022963124</v>
      </c>
      <c r="AG89" s="55">
        <f>+FEE_3_Out!S86</f>
        <v>14452.747340036896</v>
      </c>
      <c r="AH89" s="55">
        <f>+FEE_3_Out!V86</f>
        <v>234.10330637930812</v>
      </c>
      <c r="AI89" s="55">
        <f>+FEE_3_Out!Y86</f>
        <v>101.98037654692078</v>
      </c>
      <c r="AJ89" s="55">
        <f>+FEE_4_Out!H86</f>
        <v>15867.874471028845</v>
      </c>
      <c r="AK89" s="55">
        <f>+FEE_4_Out!S86</f>
        <v>14885.781645078605</v>
      </c>
      <c r="AL89" s="55">
        <f>+FEE_4_Out!V86</f>
        <v>924.76349063000964</v>
      </c>
      <c r="AM89" s="55">
        <f>+FEE_4_Out!Y86</f>
        <v>57.329335320230285</v>
      </c>
    </row>
    <row r="90" spans="2:39" x14ac:dyDescent="0.25">
      <c r="B90" s="51">
        <f>ITE_LUC_Rates!A78</f>
        <v>770</v>
      </c>
      <c r="C90" s="11" t="str">
        <f>ITE_LUC_Rates!B78</f>
        <v>Business Park</v>
      </c>
      <c r="D90" s="52" t="str">
        <f>ITE_LUC_Rates!C78</f>
        <v>1000 GSF</v>
      </c>
      <c r="E90" s="112">
        <f>ITE_LUC_Rates!G78</f>
        <v>12.44</v>
      </c>
      <c r="F90" s="53" t="s">
        <v>73</v>
      </c>
      <c r="G90" s="91">
        <f>ITE_LUC_Rates!Q78</f>
        <v>12682.3</v>
      </c>
      <c r="H90" s="91">
        <f>FEE_1_In!$H87</f>
        <v>14240.111093248786</v>
      </c>
      <c r="I90" s="91">
        <f>+FEE_1_In!S87</f>
        <v>10459.587263914478</v>
      </c>
      <c r="J90" s="91">
        <f>+FEE_1_In!V87</f>
        <v>3557.0442504668576</v>
      </c>
      <c r="K90" s="91">
        <f>+FEE_1_In!Y87</f>
        <v>223.47957886745172</v>
      </c>
      <c r="L90" s="91">
        <f>+FEE_2_In!H87</f>
        <v>16937.268936846813</v>
      </c>
      <c r="M90" s="91">
        <f>+FEE_2_In!S87</f>
        <v>14045.857620433837</v>
      </c>
      <c r="N90" s="91">
        <f>+FEE_2_In!V87</f>
        <v>2771.6514780862994</v>
      </c>
      <c r="O90" s="55">
        <f>+FEE_2_In!Y87</f>
        <v>119.75983832667669</v>
      </c>
      <c r="P90" s="55">
        <f>+FEE_3_In!H87</f>
        <v>16847.87593292382</v>
      </c>
      <c r="Q90" s="55">
        <f>+FEE_3_In!S87</f>
        <v>15153.074673040908</v>
      </c>
      <c r="R90" s="55">
        <f>+FEE_3_In!V87</f>
        <v>1621.9813733347585</v>
      </c>
      <c r="S90" s="55">
        <f>+FEE_3_In!Y87</f>
        <v>72.81988654815224</v>
      </c>
      <c r="T90" s="55">
        <f>+FEE_4_In!H87</f>
        <v>15815.126951671133</v>
      </c>
      <c r="U90" s="55">
        <f>+FEE_4_In!S87</f>
        <v>13161.109366310717</v>
      </c>
      <c r="V90" s="55">
        <f>+FEE_4_In!V87</f>
        <v>2584.2065615932643</v>
      </c>
      <c r="W90" s="55">
        <f>+FEE_4_In!Y87</f>
        <v>69.811023767151909</v>
      </c>
      <c r="X90" s="55">
        <f>FEE_1_In!$H87</f>
        <v>14240.111093248786</v>
      </c>
      <c r="Y90" s="55">
        <f>+FEE_1_Out!S87</f>
        <v>12704.278567491781</v>
      </c>
      <c r="Z90" s="55">
        <f>+FEE_1_Out!V87</f>
        <v>966.84005595495387</v>
      </c>
      <c r="AA90" s="55">
        <f>+FEE_1_Out!Y87</f>
        <v>178.8345890162617</v>
      </c>
      <c r="AB90" s="55">
        <f>+FEE_2_Out!H87</f>
        <v>15176.72991035652</v>
      </c>
      <c r="AC90" s="55">
        <f>+FEE_2_Out!S87</f>
        <v>14354.21461878941</v>
      </c>
      <c r="AD90" s="55">
        <f>+FEE_2_Out!V87</f>
        <v>707.36337063573342</v>
      </c>
      <c r="AE90" s="55">
        <f>+FEE_2_Out!Y87</f>
        <v>115.15192093137613</v>
      </c>
      <c r="AF90" s="55">
        <f>+FEE_3_Out!H87</f>
        <v>16338.637471195492</v>
      </c>
      <c r="AG90" s="55">
        <f>+FEE_3_Out!S87</f>
        <v>15967.333650982146</v>
      </c>
      <c r="AH90" s="55">
        <f>+FEE_3_Out!V87</f>
        <v>258.63633493415568</v>
      </c>
      <c r="AI90" s="55">
        <f>+FEE_3_Out!Y87</f>
        <v>112.66748527919134</v>
      </c>
      <c r="AJ90" s="55">
        <f>+FEE_4_Out!H87</f>
        <v>17530.760072788522</v>
      </c>
      <c r="AK90" s="55">
        <f>+FEE_4_Out!S87</f>
        <v>16445.748105220053</v>
      </c>
      <c r="AL90" s="55">
        <f>+FEE_4_Out!V87</f>
        <v>1021.674762294611</v>
      </c>
      <c r="AM90" s="55">
        <f>+FEE_4_Out!Y87</f>
        <v>63.3372052738601</v>
      </c>
    </row>
    <row r="91" spans="2:39" x14ac:dyDescent="0.25">
      <c r="B91" s="92" t="str">
        <f>ITE_LUC_Rates!A79</f>
        <v>Retail</v>
      </c>
      <c r="C91" s="93"/>
      <c r="D91" s="94"/>
      <c r="E91" s="113"/>
      <c r="F91" s="100"/>
      <c r="G91" s="96"/>
      <c r="H91" s="96"/>
      <c r="I91" s="96"/>
      <c r="J91" s="96"/>
      <c r="K91" s="96"/>
      <c r="L91" s="96"/>
      <c r="M91" s="96"/>
      <c r="N91" s="96"/>
      <c r="O91" s="99"/>
      <c r="P91" s="99"/>
      <c r="Q91" s="99"/>
      <c r="R91" s="99"/>
      <c r="S91" s="99"/>
      <c r="T91" s="99"/>
      <c r="U91" s="99"/>
      <c r="V91" s="99"/>
      <c r="W91" s="99"/>
      <c r="X91" s="99"/>
      <c r="Y91" s="99"/>
      <c r="Z91" s="99"/>
      <c r="AA91" s="99"/>
      <c r="AB91" s="99"/>
      <c r="AC91" s="99"/>
      <c r="AD91" s="99"/>
      <c r="AE91" s="99"/>
      <c r="AF91" s="99"/>
      <c r="AG91" s="99"/>
      <c r="AH91" s="99"/>
      <c r="AI91" s="99"/>
      <c r="AJ91" s="99"/>
      <c r="AK91" s="99"/>
      <c r="AL91" s="99"/>
      <c r="AM91" s="99"/>
    </row>
    <row r="92" spans="2:39" x14ac:dyDescent="0.25">
      <c r="B92" s="116">
        <f>ITE_LUC_Rates!A80</f>
        <v>812</v>
      </c>
      <c r="C92" s="117" t="str">
        <f>ITE_LUC_Rates!B80</f>
        <v>Building Materials and Lumber Store</v>
      </c>
      <c r="D92" s="203" t="str">
        <f>ITE_LUC_Rates!C80</f>
        <v>1000 GSF</v>
      </c>
      <c r="E92" s="204">
        <f>ITE_LUC_Rates!G80</f>
        <v>18.05</v>
      </c>
      <c r="F92" s="118" t="s">
        <v>73</v>
      </c>
      <c r="G92" s="119">
        <f>ITE_LUC_Rates!Q80</f>
        <v>0</v>
      </c>
      <c r="H92" s="91">
        <f>FEE_1_In!$H89</f>
        <v>14574.903740433003</v>
      </c>
      <c r="I92" s="91">
        <f>+FEE_1_In!S89</f>
        <v>10705.497768798139</v>
      </c>
      <c r="J92" s="91">
        <f>+FEE_1_In!V89</f>
        <v>3640.6722680410867</v>
      </c>
      <c r="K92" s="91">
        <f>+FEE_1_In!Y89</f>
        <v>228.73370359377631</v>
      </c>
      <c r="L92" s="91">
        <f>+FEE_2_In!H89</f>
        <v>17335.473211118682</v>
      </c>
      <c r="M92" s="91">
        <f>+FEE_2_In!S89</f>
        <v>14376.083264315721</v>
      </c>
      <c r="N92" s="91">
        <f>+FEE_2_In!V89</f>
        <v>2836.8144904633928</v>
      </c>
      <c r="O92" s="55">
        <f>+FEE_2_In!Y89</f>
        <v>122.5754563395692</v>
      </c>
      <c r="P92" s="55">
        <f>+FEE_3_In!H89</f>
        <v>17243.978529741969</v>
      </c>
      <c r="Q92" s="55">
        <f>+FEE_3_In!S89</f>
        <v>15509.331583506488</v>
      </c>
      <c r="R92" s="55">
        <f>+FEE_3_In!V89</f>
        <v>1660.1150251094052</v>
      </c>
      <c r="S92" s="55">
        <f>+FEE_3_In!Y89</f>
        <v>74.531921126075474</v>
      </c>
      <c r="T92" s="55">
        <f>+FEE_4_In!H89</f>
        <v>16186.949066192043</v>
      </c>
      <c r="U92" s="55">
        <f>+FEE_4_In!S89</f>
        <v>13470.534104346443</v>
      </c>
      <c r="V92" s="55">
        <f>+FEE_4_In!V89</f>
        <v>2644.962643477822</v>
      </c>
      <c r="W92" s="55">
        <f>+FEE_4_In!Y89</f>
        <v>71.452318367776584</v>
      </c>
      <c r="X92" s="55">
        <f>FEE_1_In!$H89</f>
        <v>14574.903740433003</v>
      </c>
      <c r="Y92" s="55">
        <f>+FEE_1_Out!S89</f>
        <v>13002.962968499913</v>
      </c>
      <c r="Z92" s="55">
        <f>+FEE_1_Out!V89</f>
        <v>989.570984078847</v>
      </c>
      <c r="AA92" s="55">
        <f>+FEE_1_Out!Y89</f>
        <v>183.03908609306052</v>
      </c>
      <c r="AB92" s="55">
        <f>+FEE_2_Out!H89</f>
        <v>15533.542968135054</v>
      </c>
      <c r="AC92" s="55">
        <f>+FEE_2_Out!S89</f>
        <v>14691.68990104007</v>
      </c>
      <c r="AD92" s="55">
        <f>+FEE_2_Out!V89</f>
        <v>723.99386275939128</v>
      </c>
      <c r="AE92" s="55">
        <f>+FEE_2_Out!Y89</f>
        <v>117.85920433559339</v>
      </c>
      <c r="AF92" s="55">
        <f>+FEE_3_Out!H89</f>
        <v>16722.767598730668</v>
      </c>
      <c r="AG92" s="55">
        <f>+FEE_3_Out!S89</f>
        <v>16342.734226615315</v>
      </c>
      <c r="AH92" s="55">
        <f>+FEE_3_Out!V89</f>
        <v>264.71701384625214</v>
      </c>
      <c r="AI92" s="55">
        <f>+FEE_3_Out!Y89</f>
        <v>115.31635826910025</v>
      </c>
      <c r="AJ92" s="55">
        <f>+FEE_4_Out!H89</f>
        <v>17942.917641889431</v>
      </c>
      <c r="AK92" s="55">
        <f>+FEE_4_Out!S89</f>
        <v>16832.396461192628</v>
      </c>
      <c r="AL92" s="55">
        <f>+FEE_4_Out!V89</f>
        <v>1045.6948837662812</v>
      </c>
      <c r="AM92" s="55">
        <f>+FEE_4_Out!Y89</f>
        <v>64.826296930521309</v>
      </c>
    </row>
    <row r="93" spans="2:39" x14ac:dyDescent="0.25">
      <c r="B93" s="51">
        <f>ITE_LUC_Rates!A81</f>
        <v>813</v>
      </c>
      <c r="C93" s="11" t="str">
        <f>ITE_LUC_Rates!B81</f>
        <v>Discount Superstore (Free standing)</v>
      </c>
      <c r="D93" s="52" t="str">
        <f>ITE_LUC_Rates!C81</f>
        <v>1000 GSF</v>
      </c>
      <c r="E93" s="112">
        <f>ITE_LUC_Rates!G81</f>
        <v>50.7</v>
      </c>
      <c r="F93" s="53" t="s">
        <v>73</v>
      </c>
      <c r="G93" s="91">
        <f>ITE_LUC_Rates!Q81</f>
        <v>20592.7</v>
      </c>
      <c r="H93" s="91">
        <f>FEE_1_In!$H90</f>
        <v>40208.421515320093</v>
      </c>
      <c r="I93" s="91">
        <f>+FEE_1_In!S90</f>
        <v>29533.722793998106</v>
      </c>
      <c r="J93" s="91">
        <f>+FEE_1_In!V90</f>
        <v>10043.681094540354</v>
      </c>
      <c r="K93" s="91">
        <f>+FEE_1_In!Y90</f>
        <v>631.01762678163755</v>
      </c>
      <c r="L93" s="91">
        <f>+FEE_2_In!H90</f>
        <v>47824.124704613074</v>
      </c>
      <c r="M93" s="91">
        <f>+FEE_2_In!S90</f>
        <v>39659.926811549041</v>
      </c>
      <c r="N93" s="91">
        <f>+FEE_2_In!V90</f>
        <v>7826.0436449326016</v>
      </c>
      <c r="O93" s="55">
        <f>+FEE_2_In!Y90</f>
        <v>338.15424813143164</v>
      </c>
      <c r="P93" s="55">
        <f>+FEE_3_In!H90</f>
        <v>47571.714343575899</v>
      </c>
      <c r="Q93" s="55">
        <f>+FEE_3_In!S90</f>
        <v>42786.268289410269</v>
      </c>
      <c r="R93" s="55">
        <f>+FEE_3_In!V90</f>
        <v>4579.8315983616967</v>
      </c>
      <c r="S93" s="55">
        <f>+FEE_3_In!Y90</f>
        <v>205.6144558039326</v>
      </c>
      <c r="T93" s="55">
        <f>+FEE_4_In!H90</f>
        <v>44655.641141210755</v>
      </c>
      <c r="U93" s="55">
        <f>+FEE_4_In!S90</f>
        <v>37161.748917867328</v>
      </c>
      <c r="V93" s="55">
        <f>+FEE_4_In!V90</f>
        <v>7296.7736017494999</v>
      </c>
      <c r="W93" s="55">
        <f>+FEE_4_In!Y90</f>
        <v>197.11862159393286</v>
      </c>
      <c r="X93" s="55">
        <f>FEE_1_In!$H90</f>
        <v>40208.421515320093</v>
      </c>
      <c r="Y93" s="55">
        <f>+FEE_1_Out!S90</f>
        <v>35871.840068153324</v>
      </c>
      <c r="Z93" s="55">
        <f>+FEE_1_Out!V90</f>
        <v>2729.9725580204968</v>
      </c>
      <c r="AA93" s="55">
        <f>+FEE_1_Out!Y90</f>
        <v>504.95789601627212</v>
      </c>
      <c r="AB93" s="55">
        <f>+FEE_2_Out!H90</f>
        <v>42853.061290307713</v>
      </c>
      <c r="AC93" s="55">
        <f>+FEE_2_Out!S90</f>
        <v>40530.604581258151</v>
      </c>
      <c r="AD93" s="55">
        <f>+FEE_2_Out!V90</f>
        <v>1997.313390659112</v>
      </c>
      <c r="AE93" s="55">
        <f>+FEE_2_Out!Y90</f>
        <v>325.14331839045082</v>
      </c>
      <c r="AF93" s="55">
        <f>+FEE_3_Out!H90</f>
        <v>46133.82705555515</v>
      </c>
      <c r="AG93" s="55">
        <f>+FEE_3_Out!S90</f>
        <v>45085.4124458921</v>
      </c>
      <c r="AH93" s="55">
        <f>+FEE_3_Out!V90</f>
        <v>730.28635142743781</v>
      </c>
      <c r="AI93" s="55">
        <f>+FEE_3_Out!Y90</f>
        <v>318.12825823561155</v>
      </c>
      <c r="AJ93" s="55">
        <f>+FEE_4_Out!H90</f>
        <v>49499.908102880545</v>
      </c>
      <c r="AK93" s="55">
        <f>+FEE_4_Out!S90</f>
        <v>46436.264971483681</v>
      </c>
      <c r="AL93" s="55">
        <f>+FEE_4_Out!V90</f>
        <v>2884.8040036276193</v>
      </c>
      <c r="AM93" s="55">
        <f>+FEE_4_Out!Y90</f>
        <v>178.83912776924211</v>
      </c>
    </row>
    <row r="94" spans="2:39" x14ac:dyDescent="0.25">
      <c r="B94" s="51">
        <f>ITE_LUC_Rates!A82</f>
        <v>816</v>
      </c>
      <c r="C94" s="11" t="str">
        <f>ITE_LUC_Rates!B82</f>
        <v>Hardware/Paint Store/Pool Suply</v>
      </c>
      <c r="D94" s="52" t="str">
        <f>ITE_LUC_Rates!C82</f>
        <v>1000 GSF</v>
      </c>
      <c r="E94" s="112">
        <f>ITE_LUC_Rates!G82</f>
        <v>9.14</v>
      </c>
      <c r="F94" s="53" t="s">
        <v>73</v>
      </c>
      <c r="G94" s="91">
        <f>ITE_LUC_Rates!Q82</f>
        <v>14865.5</v>
      </c>
      <c r="H94" s="91">
        <f>FEE_1_In!$H91</f>
        <v>7248.618789941338</v>
      </c>
      <c r="I94" s="91">
        <f>+FEE_1_In!S91</f>
        <v>5324.225371541278</v>
      </c>
      <c r="J94" s="91">
        <f>+FEE_1_In!V91</f>
        <v>1810.6360000808454</v>
      </c>
      <c r="K94" s="91">
        <f>+FEE_1_In!Y91</f>
        <v>113.75741831921435</v>
      </c>
      <c r="L94" s="91">
        <f>+FEE_2_In!H91</f>
        <v>8621.5483195298548</v>
      </c>
      <c r="M94" s="91">
        <f>+FEE_2_In!S91</f>
        <v>7149.7382851589418</v>
      </c>
      <c r="N94" s="91">
        <f>+FEE_2_In!V91</f>
        <v>1410.848893780749</v>
      </c>
      <c r="O94" s="55">
        <f>+FEE_2_In!Y91</f>
        <v>60.961140590163438</v>
      </c>
      <c r="P94" s="55">
        <f>+FEE_3_In!H91</f>
        <v>8576.0447554296588</v>
      </c>
      <c r="Q94" s="55">
        <f>+FEE_3_In!S91</f>
        <v>7713.3430407339229</v>
      </c>
      <c r="R94" s="55">
        <f>+FEE_3_In!V91</f>
        <v>825.63433548374599</v>
      </c>
      <c r="S94" s="55">
        <f>+FEE_3_In!Y91</f>
        <v>37.06737921199101</v>
      </c>
      <c r="T94" s="55">
        <f>+FEE_4_In!H91</f>
        <v>8050.3463516896727</v>
      </c>
      <c r="U94" s="55">
        <f>+FEE_4_In!S91</f>
        <v>6699.3764321362414</v>
      </c>
      <c r="V94" s="55">
        <f>+FEE_4_In!V91</f>
        <v>1315.4341364889631</v>
      </c>
      <c r="W94" s="55">
        <f>+FEE_4_In!Y91</f>
        <v>35.535783064468369</v>
      </c>
      <c r="X94" s="55">
        <f>FEE_1_In!$H91</f>
        <v>7248.618789941338</v>
      </c>
      <c r="Y94" s="55">
        <f>+FEE_1_Out!S91</f>
        <v>6466.8366513396741</v>
      </c>
      <c r="Z94" s="55">
        <f>+FEE_1_Out!V91</f>
        <v>492.14889901986885</v>
      </c>
      <c r="AA94" s="55">
        <f>+FEE_1_Out!Y91</f>
        <v>91.031857388337812</v>
      </c>
      <c r="AB94" s="55">
        <f>+FEE_2_Out!H91</f>
        <v>7725.3842247221428</v>
      </c>
      <c r="AC94" s="55">
        <f>+FEE_2_Out!S91</f>
        <v>7306.7007075483161</v>
      </c>
      <c r="AD94" s="55">
        <f>+FEE_2_Out!V91</f>
        <v>360.06793669870387</v>
      </c>
      <c r="AE94" s="55">
        <f>+FEE_2_Out!Y91</f>
        <v>58.615580475122705</v>
      </c>
      <c r="AF94" s="55">
        <f>+FEE_3_Out!H91</f>
        <v>8316.8279938416981</v>
      </c>
      <c r="AG94" s="55">
        <f>+FEE_3_Out!S91</f>
        <v>8127.8238610543167</v>
      </c>
      <c r="AH94" s="55">
        <f>+FEE_3_Out!V91</f>
        <v>131.65320023760913</v>
      </c>
      <c r="AI94" s="55">
        <f>+FEE_3_Out!Y91</f>
        <v>57.350932549772978</v>
      </c>
      <c r="AJ94" s="55">
        <f>+FEE_4_Out!H91</f>
        <v>8923.6520721958223</v>
      </c>
      <c r="AK94" s="55">
        <f>+FEE_4_Out!S91</f>
        <v>8371.3503321372955</v>
      </c>
      <c r="AL94" s="55">
        <f>+FEE_4_Out!V91</f>
        <v>520.06131347448604</v>
      </c>
      <c r="AM94" s="55">
        <f>+FEE_4_Out!Y91</f>
        <v>32.24042658404089</v>
      </c>
    </row>
    <row r="95" spans="2:39" x14ac:dyDescent="0.25">
      <c r="B95" s="51">
        <f>ITE_LUC_Rates!A83</f>
        <v>817</v>
      </c>
      <c r="C95" s="11" t="str">
        <f>ITE_LUC_Rates!B83</f>
        <v>Nursery Garden Center</v>
      </c>
      <c r="D95" s="52" t="str">
        <f>ITE_LUC_Rates!C83</f>
        <v>1000 GSF</v>
      </c>
      <c r="E95" s="112">
        <f>ITE_LUC_Rates!G83</f>
        <v>68.099999999999994</v>
      </c>
      <c r="F95" s="53" t="s">
        <v>73</v>
      </c>
      <c r="G95" s="91">
        <f>ITE_LUC_Rates!Q83</f>
        <v>17723.2</v>
      </c>
      <c r="H95" s="91">
        <f>FEE_1_In!$H92</f>
        <v>54007.761443654803</v>
      </c>
      <c r="I95" s="91">
        <f>+FEE_1_In!S92</f>
        <v>39669.556652293315</v>
      </c>
      <c r="J95" s="91">
        <f>+FEE_1_In!V92</f>
        <v>13490.624902134085</v>
      </c>
      <c r="K95" s="91">
        <f>+FEE_1_In!Y92</f>
        <v>847.57988922740662</v>
      </c>
      <c r="L95" s="91">
        <f>+FEE_2_In!H92</f>
        <v>64237.137916847154</v>
      </c>
      <c r="M95" s="91">
        <f>+FEE_2_In!S92</f>
        <v>53271.02595397416</v>
      </c>
      <c r="N95" s="91">
        <f>+FEE_2_In!V92</f>
        <v>10511.90477751302</v>
      </c>
      <c r="O95" s="55">
        <f>+FEE_2_In!Y92</f>
        <v>454.20718535997031</v>
      </c>
      <c r="P95" s="55">
        <f>+FEE_3_In!H92</f>
        <v>63898.101514743968</v>
      </c>
      <c r="Q95" s="55">
        <f>+FEE_3_In!S92</f>
        <v>57470.313027787764</v>
      </c>
      <c r="R95" s="55">
        <f>+FEE_3_In!V92</f>
        <v>6151.6081232432271</v>
      </c>
      <c r="S95" s="55">
        <f>+FEE_3_In!Y92</f>
        <v>276.18036371297455</v>
      </c>
      <c r="T95" s="55">
        <f>+FEE_4_In!H92</f>
        <v>59981.245793223927</v>
      </c>
      <c r="U95" s="55">
        <f>+FEE_4_In!S92</f>
        <v>49915.485232875049</v>
      </c>
      <c r="V95" s="55">
        <f>+FEE_4_In!V92</f>
        <v>9800.9917609298027</v>
      </c>
      <c r="W95" s="55">
        <f>+FEE_4_In!Y92</f>
        <v>264.76879941906952</v>
      </c>
      <c r="X95" s="55">
        <f>FEE_1_In!$H92</f>
        <v>54007.761443654803</v>
      </c>
      <c r="Y95" s="55">
        <f>+FEE_1_Out!S92</f>
        <v>48182.885772016591</v>
      </c>
      <c r="Z95" s="55">
        <f>+FEE_1_Out!V92</f>
        <v>3666.8862169861113</v>
      </c>
      <c r="AA95" s="55">
        <f>+FEE_1_Out!Y92</f>
        <v>678.25705559582116</v>
      </c>
      <c r="AB95" s="55">
        <f>+FEE_2_Out!H92</f>
        <v>57560.029070413329</v>
      </c>
      <c r="AC95" s="55">
        <f>+FEE_2_Out!S92</f>
        <v>54440.516212695868</v>
      </c>
      <c r="AD95" s="55">
        <f>+FEE_2_Out!V92</f>
        <v>2682.7818915953749</v>
      </c>
      <c r="AE95" s="55">
        <f>+FEE_2_Out!Y92</f>
        <v>436.73096612208485</v>
      </c>
      <c r="AF95" s="55">
        <f>+FEE_3_Out!H92</f>
        <v>61966.738116041532</v>
      </c>
      <c r="AG95" s="55">
        <f>+FEE_3_Out!S92</f>
        <v>60558.512575251516</v>
      </c>
      <c r="AH95" s="55">
        <f>+FEE_3_Out!V92</f>
        <v>980.91717026052299</v>
      </c>
      <c r="AI95" s="55">
        <f>+FEE_3_Out!Y92</f>
        <v>427.30837052949005</v>
      </c>
      <c r="AJ95" s="55">
        <f>+FEE_4_Out!H92</f>
        <v>66488.042244697514</v>
      </c>
      <c r="AK95" s="55">
        <f>+FEE_4_Out!S92</f>
        <v>62372.971293057948</v>
      </c>
      <c r="AL95" s="55">
        <f>+FEE_4_Out!V92</f>
        <v>3874.855081795678</v>
      </c>
      <c r="AM95" s="55">
        <f>+FEE_4_Out!Y92</f>
        <v>240.21586984389327</v>
      </c>
    </row>
    <row r="96" spans="2:39" x14ac:dyDescent="0.25">
      <c r="B96" s="116">
        <f>ITE_LUC_Rates!A84</f>
        <v>820</v>
      </c>
      <c r="C96" s="117" t="str">
        <f>ITE_LUC_Rates!B84</f>
        <v>Shopping Center/General Retail…</v>
      </c>
      <c r="D96" s="94"/>
      <c r="E96" s="113"/>
      <c r="F96" s="95"/>
      <c r="G96" s="96"/>
      <c r="H96" s="96"/>
      <c r="I96" s="96"/>
      <c r="J96" s="96"/>
      <c r="K96" s="96"/>
      <c r="L96" s="96"/>
      <c r="M96" s="96"/>
      <c r="N96" s="96"/>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row>
    <row r="97" spans="2:39" x14ac:dyDescent="0.25">
      <c r="B97" s="51">
        <f>ITE_LUC_Rates!A85</f>
        <v>820</v>
      </c>
      <c r="C97" s="11" t="str">
        <f>ITE_LUC_Rates!B85</f>
        <v>Shopping Center General, 1 - 10,000gsf</v>
      </c>
      <c r="D97" s="52" t="str">
        <f>ITE_LUC_Rates!C85</f>
        <v>1000 GSF</v>
      </c>
      <c r="E97" s="112">
        <f>ITE_LUC_Rates!G85</f>
        <v>156.80137359044605</v>
      </c>
      <c r="F97" s="53" t="s">
        <v>73</v>
      </c>
      <c r="G97" s="91">
        <f>ITE_LUC_Rates!Q85</f>
        <v>18799.7</v>
      </c>
      <c r="H97" s="91">
        <f>FEE_1_In!$H94</f>
        <v>17484.839081876627</v>
      </c>
      <c r="I97" s="91">
        <f>+FEE_1_In!S94</f>
        <v>12842.891391422922</v>
      </c>
      <c r="J97" s="91">
        <f>+FEE_1_In!V94</f>
        <v>4367.546427079048</v>
      </c>
      <c r="K97" s="91">
        <f>+FEE_1_In!Y94</f>
        <v>274.40126337465796</v>
      </c>
      <c r="L97" s="91">
        <f>+FEE_2_In!H94</f>
        <v>20796.566818052153</v>
      </c>
      <c r="M97" s="91">
        <f>+FEE_2_In!S94</f>
        <v>17246.323336386733</v>
      </c>
      <c r="N97" s="91">
        <f>+FEE_2_In!V94</f>
        <v>3403.1953661063876</v>
      </c>
      <c r="O97" s="55">
        <f>+FEE_2_In!Y94</f>
        <v>147.04811555903211</v>
      </c>
      <c r="P97" s="55">
        <f>+FEE_3_In!H94</f>
        <v>20686.804873190627</v>
      </c>
      <c r="Q97" s="55">
        <f>+FEE_3_In!S94</f>
        <v>18605.829021895228</v>
      </c>
      <c r="R97" s="55">
        <f>+FEE_3_In!V94</f>
        <v>1991.5633467217101</v>
      </c>
      <c r="S97" s="55">
        <f>+FEE_3_In!Y94</f>
        <v>89.412504573689532</v>
      </c>
      <c r="T97" s="55">
        <f>+FEE_4_In!H94</f>
        <v>19418.735429706008</v>
      </c>
      <c r="U97" s="55">
        <f>+FEE_4_In!S94</f>
        <v>16159.977819135245</v>
      </c>
      <c r="V97" s="55">
        <f>+FEE_4_In!V94</f>
        <v>3173.0395632383643</v>
      </c>
      <c r="W97" s="55">
        <f>+FEE_4_In!Y94</f>
        <v>85.718047332398712</v>
      </c>
      <c r="X97" s="55">
        <f>FEE_1_In!$H94</f>
        <v>17484.839081876627</v>
      </c>
      <c r="Y97" s="55">
        <f>+FEE_1_Out!S94</f>
        <v>15599.054315611371</v>
      </c>
      <c r="Z97" s="55">
        <f>+FEE_1_Out!V94</f>
        <v>1187.1426202777036</v>
      </c>
      <c r="AA97" s="55">
        <f>+FEE_1_Out!Y94</f>
        <v>219.58354051783567</v>
      </c>
      <c r="AB97" s="55">
        <f>+FEE_2_Out!H94</f>
        <v>18634.874302174205</v>
      </c>
      <c r="AC97" s="55">
        <f>+FEE_2_Out!S94</f>
        <v>17624.942046642012</v>
      </c>
      <c r="AD97" s="55">
        <f>+FEE_2_Out!V94</f>
        <v>868.54200974902267</v>
      </c>
      <c r="AE97" s="55">
        <f>+FEE_2_Out!Y94</f>
        <v>141.39024578317003</v>
      </c>
      <c r="AF97" s="55">
        <f>+FEE_3_Out!H94</f>
        <v>20061.532184001884</v>
      </c>
      <c r="AG97" s="55">
        <f>+FEE_3_Out!S94</f>
        <v>19605.623693934391</v>
      </c>
      <c r="AH97" s="55">
        <f>+FEE_3_Out!V94</f>
        <v>317.56877930496148</v>
      </c>
      <c r="AI97" s="55">
        <f>+FEE_3_Out!Y94</f>
        <v>138.33971076253221</v>
      </c>
      <c r="AJ97" s="55">
        <f>+FEE_4_Out!H94</f>
        <v>21525.28985542935</v>
      </c>
      <c r="AK97" s="55">
        <f>+FEE_4_Out!S94</f>
        <v>20193.048868641032</v>
      </c>
      <c r="AL97" s="55">
        <f>+FEE_4_Out!V94</f>
        <v>1254.4718714452326</v>
      </c>
      <c r="AM97" s="55">
        <f>+FEE_4_Out!Y94</f>
        <v>77.769115343086568</v>
      </c>
    </row>
    <row r="98" spans="2:39" x14ac:dyDescent="0.25">
      <c r="B98" s="51">
        <f>ITE_LUC_Rates!A86</f>
        <v>820</v>
      </c>
      <c r="C98" s="11" t="str">
        <f>ITE_LUC_Rates!B86</f>
        <v>Shopping Center General, 10,001 - 50,000gsf</v>
      </c>
      <c r="D98" s="52" t="str">
        <f>ITE_LUC_Rates!C86</f>
        <v>1000 GSF</v>
      </c>
      <c r="E98" s="112">
        <f>ITE_LUC_Rates!G86</f>
        <v>88.3774492278785</v>
      </c>
      <c r="F98" s="53" t="s">
        <v>73</v>
      </c>
      <c r="G98" s="91">
        <f>ITE_LUC_Rates!Q86</f>
        <v>14048.1</v>
      </c>
      <c r="H98" s="91">
        <f>FEE_1_In!$H95</f>
        <v>14166.451951739158</v>
      </c>
      <c r="I98" s="91">
        <f>+FEE_1_In!S95</f>
        <v>10405.483457184329</v>
      </c>
      <c r="J98" s="91">
        <f>+FEE_1_In!V95</f>
        <v>3538.6448978153621</v>
      </c>
      <c r="K98" s="91">
        <f>+FEE_1_In!Y95</f>
        <v>222.32359673946715</v>
      </c>
      <c r="L98" s="91">
        <f>+FEE_2_In!H95</f>
        <v>16849.658335971839</v>
      </c>
      <c r="M98" s="91">
        <f>+FEE_2_In!S95</f>
        <v>13973.203284571373</v>
      </c>
      <c r="N98" s="91">
        <f>+FEE_2_In!V95</f>
        <v>2757.3146890610701</v>
      </c>
      <c r="O98" s="55">
        <f>+FEE_2_In!Y95</f>
        <v>119.14036233939612</v>
      </c>
      <c r="P98" s="55">
        <f>+FEE_3_In!H95</f>
        <v>16760.727730964332</v>
      </c>
      <c r="Q98" s="55">
        <f>+FEE_3_In!S95</f>
        <v>15074.693088491562</v>
      </c>
      <c r="R98" s="55">
        <f>+FEE_3_In!V95</f>
        <v>1613.5914278685962</v>
      </c>
      <c r="S98" s="55">
        <f>+FEE_3_In!Y95</f>
        <v>72.443214604173619</v>
      </c>
      <c r="T98" s="55">
        <f>+FEE_4_In!H95</f>
        <v>15733.320800967842</v>
      </c>
      <c r="U98" s="55">
        <f>+FEE_4_In!S95</f>
        <v>13093.031525422495</v>
      </c>
      <c r="V98" s="55">
        <f>+FEE_4_In!V95</f>
        <v>2570.8393599215888</v>
      </c>
      <c r="W98" s="55">
        <f>+FEE_4_In!Y95</f>
        <v>69.449915623758642</v>
      </c>
      <c r="X98" s="55">
        <f>FEE_1_In!$H95</f>
        <v>14166.451951739158</v>
      </c>
      <c r="Y98" s="55">
        <f>+FEE_1_Out!S95</f>
        <v>12638.563753425175</v>
      </c>
      <c r="Z98" s="55">
        <f>+FEE_1_Out!V95</f>
        <v>961.83892864404891</v>
      </c>
      <c r="AA98" s="55">
        <f>+FEE_1_Out!Y95</f>
        <v>177.9095398917917</v>
      </c>
      <c r="AB98" s="55">
        <f>+FEE_2_Out!H95</f>
        <v>15098.225965492606</v>
      </c>
      <c r="AC98" s="55">
        <f>+FEE_2_Out!S95</f>
        <v>14279.96525943109</v>
      </c>
      <c r="AD98" s="55">
        <f>+FEE_2_Out!V95</f>
        <v>703.70442596351882</v>
      </c>
      <c r="AE98" s="55">
        <f>+FEE_2_Out!Y95</f>
        <v>114.55628009799725</v>
      </c>
      <c r="AF98" s="55">
        <f>+FEE_3_Out!H95</f>
        <v>16254.123382668758</v>
      </c>
      <c r="AG98" s="55">
        <f>+FEE_3_Out!S95</f>
        <v>15884.740187965779</v>
      </c>
      <c r="AH98" s="55">
        <f>+FEE_3_Out!V95</f>
        <v>257.29849913570609</v>
      </c>
      <c r="AI98" s="55">
        <f>+FEE_3_Out!Y95</f>
        <v>112.08469556727336</v>
      </c>
      <c r="AJ98" s="55">
        <f>+FEE_4_Out!H95</f>
        <v>17440.079548702925</v>
      </c>
      <c r="AK98" s="55">
        <f>+FEE_4_Out!S95</f>
        <v>16360.679970640087</v>
      </c>
      <c r="AL98" s="55">
        <f>+FEE_4_Out!V95</f>
        <v>1016.3899941211127</v>
      </c>
      <c r="AM98" s="55">
        <f>+FEE_4_Out!Y95</f>
        <v>63.009583941727122</v>
      </c>
    </row>
    <row r="99" spans="2:39" x14ac:dyDescent="0.25">
      <c r="B99" s="51">
        <f>ITE_LUC_Rates!A87</f>
        <v>820</v>
      </c>
      <c r="C99" s="11" t="str">
        <f>ITE_LUC_Rates!B87</f>
        <v>Shopping Center General, 50,001 - 100,000gsf</v>
      </c>
      <c r="D99" s="52" t="str">
        <f>ITE_LUC_Rates!C87</f>
        <v>1000 GSF</v>
      </c>
      <c r="E99" s="112">
        <f>ITE_LUC_Rates!G87</f>
        <v>65.917489686786567</v>
      </c>
      <c r="F99" s="53" t="s">
        <v>73</v>
      </c>
      <c r="G99" s="91">
        <f>ITE_LUC_Rates!Q87</f>
        <v>13383.7</v>
      </c>
      <c r="H99" s="91">
        <f>FEE_1_In!$H96</f>
        <v>13230.76457963447</v>
      </c>
      <c r="I99" s="91">
        <f>+FEE_1_In!S96</f>
        <v>9718.2062543462307</v>
      </c>
      <c r="J99" s="91">
        <f>+FEE_1_In!V96</f>
        <v>3304.919095721209</v>
      </c>
      <c r="K99" s="91">
        <f>+FEE_1_In!Y96</f>
        <v>207.6392295670309</v>
      </c>
      <c r="L99" s="91">
        <f>+FEE_2_In!H96</f>
        <v>15736.746466227929</v>
      </c>
      <c r="M99" s="91">
        <f>+FEE_2_In!S96</f>
        <v>13050.279894454625</v>
      </c>
      <c r="N99" s="91">
        <f>+FEE_2_In!V96</f>
        <v>2575.1953733522087</v>
      </c>
      <c r="O99" s="55">
        <f>+FEE_2_In!Y96</f>
        <v>111.27119842109661</v>
      </c>
      <c r="P99" s="55">
        <f>+FEE_3_In!H96</f>
        <v>15653.689685123727</v>
      </c>
      <c r="Q99" s="55">
        <f>+FEE_3_In!S96</f>
        <v>14079.016823940106</v>
      </c>
      <c r="R99" s="55">
        <f>+FEE_3_In!V96</f>
        <v>1507.0144862365978</v>
      </c>
      <c r="S99" s="55">
        <f>+FEE_3_In!Y96</f>
        <v>67.658374947023376</v>
      </c>
      <c r="T99" s="55">
        <f>+FEE_4_In!H96</f>
        <v>14694.142491191395</v>
      </c>
      <c r="U99" s="55">
        <f>+FEE_4_In!S96</f>
        <v>12228.243058794311</v>
      </c>
      <c r="V99" s="55">
        <f>+FEE_4_In!V96</f>
        <v>2401.036650465252</v>
      </c>
      <c r="W99" s="55">
        <f>+FEE_4_In!Y96</f>
        <v>64.862781931831705</v>
      </c>
      <c r="X99" s="55">
        <f>FEE_1_In!$H96</f>
        <v>13230.76457963447</v>
      </c>
      <c r="Y99" s="55">
        <f>+FEE_1_Out!S96</f>
        <v>11803.792665653398</v>
      </c>
      <c r="Z99" s="55">
        <f>+FEE_1_Out!V96</f>
        <v>898.30992769187719</v>
      </c>
      <c r="AA99" s="55">
        <f>+FEE_1_Out!Y96</f>
        <v>166.15869991994765</v>
      </c>
      <c r="AB99" s="55">
        <f>+FEE_2_Out!H96</f>
        <v>14100.99536567681</v>
      </c>
      <c r="AC99" s="55">
        <f>+FEE_2_Out!S96</f>
        <v>13336.780387674762</v>
      </c>
      <c r="AD99" s="55">
        <f>+FEE_2_Out!V96</f>
        <v>657.22508538400234</v>
      </c>
      <c r="AE99" s="55">
        <f>+FEE_2_Out!Y96</f>
        <v>106.98989261804508</v>
      </c>
      <c r="AF99" s="55">
        <f>+FEE_3_Out!H96</f>
        <v>15180.546311599277</v>
      </c>
      <c r="AG99" s="55">
        <f>+FEE_3_Out!S96</f>
        <v>14835.560700139351</v>
      </c>
      <c r="AH99" s="55">
        <f>+FEE_3_Out!V96</f>
        <v>240.30405639711955</v>
      </c>
      <c r="AI99" s="55">
        <f>+FEE_3_Out!Y96</f>
        <v>104.68155506280708</v>
      </c>
      <c r="AJ99" s="55">
        <f>+FEE_4_Out!H96</f>
        <v>16288.170640402204</v>
      </c>
      <c r="AK99" s="55">
        <f>+FEE_4_Out!S96</f>
        <v>15280.064887927396</v>
      </c>
      <c r="AL99" s="55">
        <f>+FEE_4_Out!V96</f>
        <v>949.25792139940881</v>
      </c>
      <c r="AM99" s="55">
        <f>+FEE_4_Out!Y96</f>
        <v>58.847831075399412</v>
      </c>
    </row>
    <row r="100" spans="2:39" x14ac:dyDescent="0.25">
      <c r="B100" s="51">
        <f>ITE_LUC_Rates!A88</f>
        <v>820</v>
      </c>
      <c r="C100" s="11" t="str">
        <f>ITE_LUC_Rates!B88</f>
        <v>Shopping Center General, 100,001 - 200,000gsf</v>
      </c>
      <c r="D100" s="52" t="str">
        <f>ITE_LUC_Rates!C88</f>
        <v>1000 GSF</v>
      </c>
      <c r="E100" s="112">
        <f>ITE_LUC_Rates!G88</f>
        <v>51.829042350493665</v>
      </c>
      <c r="F100" s="53" t="s">
        <v>73</v>
      </c>
      <c r="G100" s="91">
        <f>ITE_LUC_Rates!Q88</f>
        <v>20241.2</v>
      </c>
      <c r="H100" s="91">
        <f>FEE_1_In!$H97</f>
        <v>12227.105280890966</v>
      </c>
      <c r="I100" s="91">
        <f>+FEE_1_In!S97</f>
        <v>8981.0025942270404</v>
      </c>
      <c r="J100" s="91">
        <f>+FEE_1_In!V97</f>
        <v>3054.2145531340557</v>
      </c>
      <c r="K100" s="91">
        <f>+FEE_1_In!Y97</f>
        <v>191.88813352987012</v>
      </c>
      <c r="L100" s="91">
        <f>+FEE_2_In!H97</f>
        <v>14542.988401247305</v>
      </c>
      <c r="M100" s="91">
        <f>+FEE_2_In!S97</f>
        <v>12060.311802403769</v>
      </c>
      <c r="N100" s="91">
        <f>+FEE_2_In!V97</f>
        <v>2379.8462106496549</v>
      </c>
      <c r="O100" s="55">
        <f>+FEE_2_In!Y97</f>
        <v>102.83038819388049</v>
      </c>
      <c r="P100" s="55">
        <f>+FEE_3_In!H97</f>
        <v>14466.232141188366</v>
      </c>
      <c r="Q100" s="55">
        <f>+FEE_3_In!S97</f>
        <v>13011.01080905989</v>
      </c>
      <c r="R100" s="55">
        <f>+FEE_3_In!V97</f>
        <v>1392.6953859798598</v>
      </c>
      <c r="S100" s="55">
        <f>+FEE_3_In!Y97</f>
        <v>62.525946148616725</v>
      </c>
      <c r="T100" s="55">
        <f>+FEE_4_In!H97</f>
        <v>13579.47427533884</v>
      </c>
      <c r="U100" s="55">
        <f>+FEE_4_In!S97</f>
        <v>11300.633034491866</v>
      </c>
      <c r="V100" s="55">
        <f>+FEE_4_In!V97</f>
        <v>2218.8988196272107</v>
      </c>
      <c r="W100" s="55">
        <f>+FEE_4_In!Y97</f>
        <v>59.942421219763638</v>
      </c>
      <c r="X100" s="55">
        <f>FEE_1_In!$H97</f>
        <v>12227.105280890966</v>
      </c>
      <c r="Y100" s="55">
        <f>+FEE_1_Out!S97</f>
        <v>10908.380597966927</v>
      </c>
      <c r="Z100" s="55">
        <f>+FEE_1_Out!V97</f>
        <v>830.16593596298276</v>
      </c>
      <c r="AA100" s="55">
        <f>+FEE_1_Out!Y97</f>
        <v>153.55423377303399</v>
      </c>
      <c r="AB100" s="55">
        <f>+FEE_2_Out!H97</f>
        <v>13031.322102645205</v>
      </c>
      <c r="AC100" s="55">
        <f>+FEE_2_Out!S97</f>
        <v>12325.078942091368</v>
      </c>
      <c r="AD100" s="55">
        <f>+FEE_2_Out!V97</f>
        <v>607.36930688058249</v>
      </c>
      <c r="AE100" s="55">
        <f>+FEE_2_Out!Y97</f>
        <v>98.873853673254416</v>
      </c>
      <c r="AF100" s="55">
        <f>+FEE_3_Out!H97</f>
        <v>14028.980476235893</v>
      </c>
      <c r="AG100" s="55">
        <f>+FEE_3_Out!S97</f>
        <v>13710.164782227859</v>
      </c>
      <c r="AH100" s="55">
        <f>+FEE_3_Out!V97</f>
        <v>222.07507202685906</v>
      </c>
      <c r="AI100" s="55">
        <f>+FEE_3_Out!Y97</f>
        <v>96.740621981174158</v>
      </c>
      <c r="AJ100" s="55">
        <f>+FEE_4_Out!H97</f>
        <v>15052.582642114936</v>
      </c>
      <c r="AK100" s="55">
        <f>+FEE_4_Out!S97</f>
        <v>14120.949772707338</v>
      </c>
      <c r="AL100" s="55">
        <f>+FEE_4_Out!V97</f>
        <v>877.24911692072089</v>
      </c>
      <c r="AM100" s="55">
        <f>+FEE_4_Out!Y97</f>
        <v>54.383752486878151</v>
      </c>
    </row>
    <row r="101" spans="2:39" x14ac:dyDescent="0.25">
      <c r="B101" s="51">
        <f>ITE_LUC_Rates!A89</f>
        <v>820</v>
      </c>
      <c r="C101" s="11" t="str">
        <f>ITE_LUC_Rates!B89</f>
        <v>Shopping Center General, 200,001 - 300,000gsf</v>
      </c>
      <c r="D101" s="52" t="str">
        <f>ITE_LUC_Rates!C89</f>
        <v>1000 GSF</v>
      </c>
      <c r="E101" s="112">
        <f>ITE_LUC_Rates!G89</f>
        <v>44.841430781139344</v>
      </c>
      <c r="F101" s="53" t="s">
        <v>73</v>
      </c>
      <c r="G101" s="91">
        <f>ITE_LUC_Rates!Q89</f>
        <v>18774.5</v>
      </c>
      <c r="H101" s="91">
        <f>FEE_1_In!$H98</f>
        <v>11375.556172518816</v>
      </c>
      <c r="I101" s="91">
        <f>+FEE_1_In!S98</f>
        <v>8355.5262794565897</v>
      </c>
      <c r="J101" s="91">
        <f>+FEE_1_In!V98</f>
        <v>2841.5056887094393</v>
      </c>
      <c r="K101" s="91">
        <f>+FEE_1_In!Y98</f>
        <v>178.52420435278773</v>
      </c>
      <c r="L101" s="91">
        <f>+FEE_2_In!H98</f>
        <v>13530.151059811878</v>
      </c>
      <c r="M101" s="91">
        <f>+FEE_2_In!S98</f>
        <v>11220.378921636204</v>
      </c>
      <c r="N101" s="91">
        <f>+FEE_2_In!V98</f>
        <v>2214.1033081240066</v>
      </c>
      <c r="O101" s="55">
        <f>+FEE_2_In!Y98</f>
        <v>95.668830051667442</v>
      </c>
      <c r="P101" s="55">
        <f>+FEE_3_In!H98</f>
        <v>13458.740441531074</v>
      </c>
      <c r="Q101" s="55">
        <f>+FEE_3_In!S98</f>
        <v>12104.867089925412</v>
      </c>
      <c r="R101" s="55">
        <f>+FEE_3_In!V98</f>
        <v>1295.7019859133204</v>
      </c>
      <c r="S101" s="55">
        <f>+FEE_3_In!Y98</f>
        <v>58.171365692342135</v>
      </c>
      <c r="T101" s="55">
        <f>+FEE_4_In!H98</f>
        <v>12633.740273244379</v>
      </c>
      <c r="U101" s="55">
        <f>+FEE_4_In!S98</f>
        <v>10513.60750690426</v>
      </c>
      <c r="V101" s="55">
        <f>+FEE_4_In!V98</f>
        <v>2064.3649975970234</v>
      </c>
      <c r="W101" s="55">
        <f>+FEE_4_In!Y98</f>
        <v>55.767768743095175</v>
      </c>
      <c r="X101" s="55">
        <f>FEE_1_In!$H98</f>
        <v>11375.556172518816</v>
      </c>
      <c r="Y101" s="55">
        <f>+FEE_1_Out!S98</f>
        <v>10148.67324626038</v>
      </c>
      <c r="Z101" s="55">
        <f>+FEE_1_Out!V98</f>
        <v>772.34954800114645</v>
      </c>
      <c r="AA101" s="55">
        <f>+FEE_1_Out!Y98</f>
        <v>142.86004509531386</v>
      </c>
      <c r="AB101" s="55">
        <f>+FEE_2_Out!H98</f>
        <v>12123.763816158507</v>
      </c>
      <c r="AC101" s="55">
        <f>+FEE_2_Out!S98</f>
        <v>11466.70651929421</v>
      </c>
      <c r="AD101" s="55">
        <f>+FEE_2_Out!V98</f>
        <v>565.06945095842241</v>
      </c>
      <c r="AE101" s="55">
        <f>+FEE_2_Out!Y98</f>
        <v>91.987845905875247</v>
      </c>
      <c r="AF101" s="55">
        <f>+FEE_3_Out!H98</f>
        <v>13051.940895610114</v>
      </c>
      <c r="AG101" s="55">
        <f>+FEE_3_Out!S98</f>
        <v>12755.328921430346</v>
      </c>
      <c r="AH101" s="55">
        <f>+FEE_3_Out!V98</f>
        <v>206.60879237752138</v>
      </c>
      <c r="AI101" s="55">
        <f>+FEE_3_Out!Y98</f>
        <v>90.003181802247894</v>
      </c>
      <c r="AJ101" s="55">
        <f>+FEE_4_Out!H98</f>
        <v>14004.254928144601</v>
      </c>
      <c r="AK101" s="55">
        <f>+FEE_4_Out!S98</f>
        <v>13137.50504788686</v>
      </c>
      <c r="AL101" s="55">
        <f>+FEE_4_Out!V98</f>
        <v>816.1536502364213</v>
      </c>
      <c r="AM101" s="55">
        <f>+FEE_4_Out!Y98</f>
        <v>50.596230021318895</v>
      </c>
    </row>
    <row r="102" spans="2:39" x14ac:dyDescent="0.25">
      <c r="B102" s="51">
        <f>ITE_LUC_Rates!A90</f>
        <v>820</v>
      </c>
      <c r="C102" s="11" t="str">
        <f>ITE_LUC_Rates!B90</f>
        <v>Shopping Center General, 300,001 - 400,000gsf</v>
      </c>
      <c r="D102" s="52" t="str">
        <f>ITE_LUC_Rates!C90</f>
        <v>1000 GSF</v>
      </c>
      <c r="E102" s="112">
        <f>ITE_LUC_Rates!G90</f>
        <v>40.264145799881483</v>
      </c>
      <c r="F102" s="53" t="s">
        <v>73</v>
      </c>
      <c r="G102" s="91">
        <f>ITE_LUC_Rates!Q90</f>
        <v>25847.3</v>
      </c>
      <c r="H102" s="91">
        <f>FEE_1_In!$H99</f>
        <v>10910.296181225494</v>
      </c>
      <c r="I102" s="91">
        <f>+FEE_1_In!S99</f>
        <v>8013.7854427823768</v>
      </c>
      <c r="J102" s="91">
        <f>+FEE_1_In!V99</f>
        <v>2725.2881700282278</v>
      </c>
      <c r="K102" s="91">
        <f>+FEE_1_In!Y99</f>
        <v>171.2225684148911</v>
      </c>
      <c r="L102" s="91">
        <f>+FEE_2_In!H99</f>
        <v>12976.768186146941</v>
      </c>
      <c r="M102" s="91">
        <f>+FEE_2_In!S99</f>
        <v>10761.465676409594</v>
      </c>
      <c r="N102" s="91">
        <f>+FEE_2_In!V99</f>
        <v>2123.5465326804556</v>
      </c>
      <c r="O102" s="55">
        <f>+FEE_2_In!Y99</f>
        <v>91.755977056891609</v>
      </c>
      <c r="P102" s="55">
        <f>+FEE_3_In!H99</f>
        <v>12908.278260545749</v>
      </c>
      <c r="Q102" s="55">
        <f>+FEE_3_In!S99</f>
        <v>11609.778298533294</v>
      </c>
      <c r="R102" s="55">
        <f>+FEE_3_In!V99</f>
        <v>1242.7078038669856</v>
      </c>
      <c r="S102" s="55">
        <f>+FEE_3_In!Y99</f>
        <v>55.792158145468683</v>
      </c>
      <c r="T102" s="55">
        <f>+FEE_4_In!H99</f>
        <v>12117.020580564049</v>
      </c>
      <c r="U102" s="55">
        <f>+FEE_4_In!S99</f>
        <v>10083.601196624615</v>
      </c>
      <c r="V102" s="55">
        <f>+FEE_4_In!V99</f>
        <v>1979.9325156821144</v>
      </c>
      <c r="W102" s="55">
        <f>+FEE_4_In!Y99</f>
        <v>53.486868257320054</v>
      </c>
      <c r="X102" s="55">
        <f>FEE_1_In!$H99</f>
        <v>10910.296181225494</v>
      </c>
      <c r="Y102" s="55">
        <f>+FEE_1_Out!S99</f>
        <v>9733.5927390232264</v>
      </c>
      <c r="Z102" s="55">
        <f>+FEE_1_Out!V99</f>
        <v>740.76046888020483</v>
      </c>
      <c r="AA102" s="55">
        <f>+FEE_1_Out!Y99</f>
        <v>137.01707246793757</v>
      </c>
      <c r="AB102" s="55">
        <f>+FEE_2_Out!H99</f>
        <v>11627.90214908899</v>
      </c>
      <c r="AC102" s="55">
        <f>+FEE_2_Out!S99</f>
        <v>10997.718480870368</v>
      </c>
      <c r="AD102" s="55">
        <f>+FEE_2_Out!V99</f>
        <v>541.95812313885051</v>
      </c>
      <c r="AE102" s="55">
        <f>+FEE_2_Out!Y99</f>
        <v>88.225545079771351</v>
      </c>
      <c r="AF102" s="55">
        <f>+FEE_3_Out!H99</f>
        <v>12518.116806892358</v>
      </c>
      <c r="AG102" s="55">
        <f>+FEE_3_Out!S99</f>
        <v>12233.636255777226</v>
      </c>
      <c r="AH102" s="55">
        <f>+FEE_3_Out!V99</f>
        <v>198.15849742184153</v>
      </c>
      <c r="AI102" s="55">
        <f>+FEE_3_Out!Y99</f>
        <v>86.322053693290314</v>
      </c>
      <c r="AJ102" s="55">
        <f>+FEE_4_Out!H99</f>
        <v>13431.481216941052</v>
      </c>
      <c r="AK102" s="55">
        <f>+FEE_4_Out!S99</f>
        <v>12600.181387267776</v>
      </c>
      <c r="AL102" s="55">
        <f>+FEE_4_Out!V99</f>
        <v>782.77298432046825</v>
      </c>
      <c r="AM102" s="55">
        <f>+FEE_4_Out!Y99</f>
        <v>48.52684535280811</v>
      </c>
    </row>
    <row r="103" spans="2:39" x14ac:dyDescent="0.25">
      <c r="B103" s="51">
        <f>ITE_LUC_Rates!A91</f>
        <v>820</v>
      </c>
      <c r="C103" s="11" t="str">
        <f>ITE_LUC_Rates!B91</f>
        <v>Shopping Center General, 400,001 - 500,000gsf</v>
      </c>
      <c r="D103" s="52" t="str">
        <f>ITE_LUC_Rates!C91</f>
        <v>1000 GSF</v>
      </c>
      <c r="E103" s="112">
        <f>ITE_LUC_Rates!G91</f>
        <v>37.152860747503944</v>
      </c>
      <c r="F103" s="53" t="s">
        <v>73</v>
      </c>
      <c r="G103" s="91">
        <f>ITE_LUC_Rates!Q91</f>
        <v>24653.1</v>
      </c>
      <c r="H103" s="91">
        <f>FEE_1_In!$H100</f>
        <v>10730.100774769875</v>
      </c>
      <c r="I103" s="91">
        <f>+FEE_1_In!S100</f>
        <v>7881.429061147639</v>
      </c>
      <c r="J103" s="91">
        <f>+FEE_1_In!V100</f>
        <v>2680.2770721304464</v>
      </c>
      <c r="K103" s="91">
        <f>+FEE_1_In!Y100</f>
        <v>168.3946414917898</v>
      </c>
      <c r="L103" s="91">
        <f>+FEE_2_In!H100</f>
        <v>12762.442747227416</v>
      </c>
      <c r="M103" s="91">
        <f>+FEE_2_In!S100</f>
        <v>10583.728367595209</v>
      </c>
      <c r="N103" s="91">
        <f>+FEE_2_In!V100</f>
        <v>2088.4738523216715</v>
      </c>
      <c r="O103" s="55">
        <f>+FEE_2_In!Y100</f>
        <v>90.240527310536322</v>
      </c>
      <c r="P103" s="55">
        <f>+FEE_3_In!H100</f>
        <v>12695.084007230798</v>
      </c>
      <c r="Q103" s="55">
        <f>+FEE_3_In!S100</f>
        <v>11418.030184218684</v>
      </c>
      <c r="R103" s="55">
        <f>+FEE_3_In!V100</f>
        <v>1222.1831330327761</v>
      </c>
      <c r="S103" s="55">
        <f>+FEE_3_In!Y100</f>
        <v>54.870689979337762</v>
      </c>
      <c r="T103" s="55">
        <f>+FEE_4_In!H100</f>
        <v>11916.894808332207</v>
      </c>
      <c r="U103" s="55">
        <f>+FEE_4_In!S100</f>
        <v>9917.0595568761983</v>
      </c>
      <c r="V103" s="55">
        <f>+FEE_4_In!V100</f>
        <v>1947.2317769952965</v>
      </c>
      <c r="W103" s="55">
        <f>+FEE_4_In!Y100</f>
        <v>52.603474460710622</v>
      </c>
      <c r="X103" s="55">
        <f>FEE_1_In!$H100</f>
        <v>10730.100774769875</v>
      </c>
      <c r="Y103" s="55">
        <f>+FEE_1_Out!S100</f>
        <v>9572.8318695887192</v>
      </c>
      <c r="Z103" s="55">
        <f>+FEE_1_Out!V100</f>
        <v>728.52600415450638</v>
      </c>
      <c r="AA103" s="55">
        <f>+FEE_1_Out!Y100</f>
        <v>134.75408650911405</v>
      </c>
      <c r="AB103" s="55">
        <f>+FEE_2_Out!H100</f>
        <v>11435.854699672638</v>
      </c>
      <c r="AC103" s="55">
        <f>+FEE_2_Out!S100</f>
        <v>10816.079200063752</v>
      </c>
      <c r="AD103" s="55">
        <f>+FEE_2_Out!V100</f>
        <v>533.00709535199883</v>
      </c>
      <c r="AE103" s="55">
        <f>+FEE_2_Out!Y100</f>
        <v>86.768404256887436</v>
      </c>
      <c r="AF103" s="55">
        <f>+FEE_3_Out!H100</f>
        <v>12311.366494287782</v>
      </c>
      <c r="AG103" s="55">
        <f>+FEE_3_Out!S100</f>
        <v>12031.584448848886</v>
      </c>
      <c r="AH103" s="55">
        <f>+FEE_3_Out!V100</f>
        <v>194.88569433818105</v>
      </c>
      <c r="AI103" s="55">
        <f>+FEE_3_Out!Y100</f>
        <v>84.896351100714199</v>
      </c>
      <c r="AJ103" s="55">
        <f>+FEE_4_Out!H100</f>
        <v>13209.645697814398</v>
      </c>
      <c r="AK103" s="55">
        <f>+FEE_4_Out!S100</f>
        <v>12392.075688872499</v>
      </c>
      <c r="AL103" s="55">
        <f>+FEE_4_Out!V100</f>
        <v>769.84463721337227</v>
      </c>
      <c r="AM103" s="55">
        <f>+FEE_4_Out!Y100</f>
        <v>47.725371728525971</v>
      </c>
    </row>
    <row r="104" spans="2:39" x14ac:dyDescent="0.25">
      <c r="B104" s="51">
        <f>ITE_LUC_Rates!A92</f>
        <v>820</v>
      </c>
      <c r="C104" s="11" t="str">
        <f>ITE_LUC_Rates!B92</f>
        <v>Shopping Center General, 500,001 - 600,000gsf</v>
      </c>
      <c r="D104" s="52" t="str">
        <f>ITE_LUC_Rates!C92</f>
        <v>1000 GSF</v>
      </c>
      <c r="E104" s="112">
        <f>ITE_LUC_Rates!G92</f>
        <v>34.84209042728628</v>
      </c>
      <c r="F104" s="53" t="s">
        <v>73</v>
      </c>
      <c r="G104" s="91">
        <f>ITE_LUC_Rates!Q92</f>
        <v>23479</v>
      </c>
      <c r="H104" s="91">
        <f>FEE_1_In!$H101</f>
        <v>10703.790090502182</v>
      </c>
      <c r="I104" s="91">
        <f>+FEE_1_In!S101</f>
        <v>7862.1034466022775</v>
      </c>
      <c r="J104" s="91">
        <f>+FEE_1_In!V101</f>
        <v>2673.7049135575671</v>
      </c>
      <c r="K104" s="91">
        <f>+FEE_1_In!Y101</f>
        <v>167.98173034233633</v>
      </c>
      <c r="L104" s="91">
        <f>+FEE_2_In!H101</f>
        <v>12731.14867006494</v>
      </c>
      <c r="M104" s="91">
        <f>+FEE_2_In!S101</f>
        <v>10557.776594979096</v>
      </c>
      <c r="N104" s="91">
        <f>+FEE_2_In!V101</f>
        <v>2083.3528215612737</v>
      </c>
      <c r="O104" s="55">
        <f>+FEE_2_In!Y101</f>
        <v>90.019253524571482</v>
      </c>
      <c r="P104" s="55">
        <f>+FEE_3_In!H101</f>
        <v>12663.955096694235</v>
      </c>
      <c r="Q104" s="55">
        <f>+FEE_3_In!S101</f>
        <v>11390.032666446776</v>
      </c>
      <c r="R104" s="55">
        <f>+FEE_3_In!V101</f>
        <v>1219.186285640053</v>
      </c>
      <c r="S104" s="55">
        <f>+FEE_3_In!Y101</f>
        <v>54.736144607406906</v>
      </c>
      <c r="T104" s="55">
        <f>+FEE_4_In!H101</f>
        <v>11887.674052317447</v>
      </c>
      <c r="U104" s="55">
        <f>+FEE_4_In!S101</f>
        <v>9892.7424858307531</v>
      </c>
      <c r="V104" s="55">
        <f>+FEE_4_In!V101</f>
        <v>1942.4570780846389</v>
      </c>
      <c r="W104" s="55">
        <f>+FEE_4_In!Y101</f>
        <v>52.474488402054604</v>
      </c>
      <c r="X104" s="55">
        <f>FEE_1_In!$H101</f>
        <v>10703.790090502182</v>
      </c>
      <c r="Y104" s="55">
        <f>+FEE_1_Out!S101</f>
        <v>9549.3588601403189</v>
      </c>
      <c r="Z104" s="55">
        <f>+FEE_1_Out!V101</f>
        <v>726.7396259947426</v>
      </c>
      <c r="AA104" s="55">
        <f>+FEE_1_Out!Y101</f>
        <v>134.42366349647472</v>
      </c>
      <c r="AB104" s="55">
        <f>+FEE_2_Out!H101</f>
        <v>11407.813475396179</v>
      </c>
      <c r="AC104" s="55">
        <f>+FEE_2_Out!S101</f>
        <v>10789.557692873772</v>
      </c>
      <c r="AD104" s="55">
        <f>+FEE_2_Out!V101</f>
        <v>531.70013825135152</v>
      </c>
      <c r="AE104" s="55">
        <f>+FEE_2_Out!Y101</f>
        <v>86.55564427105557</v>
      </c>
      <c r="AF104" s="55">
        <f>+FEE_3_Out!H101</f>
        <v>12281.178476156885</v>
      </c>
      <c r="AG104" s="55">
        <f>+FEE_3_Out!S101</f>
        <v>12002.082468735323</v>
      </c>
      <c r="AH104" s="55">
        <f>+FEE_3_Out!V101</f>
        <v>194.40782594909015</v>
      </c>
      <c r="AI104" s="55">
        <f>+FEE_3_Out!Y101</f>
        <v>84.688181472471541</v>
      </c>
      <c r="AJ104" s="55">
        <f>+FEE_4_Out!H101</f>
        <v>13177.25505912995</v>
      </c>
      <c r="AK104" s="55">
        <f>+FEE_4_Out!S101</f>
        <v>12361.689768207343</v>
      </c>
      <c r="AL104" s="55">
        <f>+FEE_4_Out!V101</f>
        <v>767.9569439279071</v>
      </c>
      <c r="AM104" s="55">
        <f>+FEE_4_Out!Y101</f>
        <v>47.608346994698671</v>
      </c>
    </row>
    <row r="105" spans="2:39" x14ac:dyDescent="0.25">
      <c r="B105" s="51">
        <f>ITE_LUC_Rates!A93</f>
        <v>820</v>
      </c>
      <c r="C105" s="11" t="str">
        <f>ITE_LUC_Rates!B93</f>
        <v>Shopping Center General, 600,001 - 800,000gsf</v>
      </c>
      <c r="D105" s="52" t="str">
        <f>ITE_LUC_Rates!C93</f>
        <v>1000 GSF</v>
      </c>
      <c r="E105" s="112">
        <f>ITE_LUC_Rates!G93</f>
        <v>32.254394347161764</v>
      </c>
      <c r="F105" s="53" t="s">
        <v>73</v>
      </c>
      <c r="G105" s="91">
        <f>ITE_LUC_Rates!Q93</f>
        <v>21864.3</v>
      </c>
      <c r="H105" s="91">
        <f>FEE_1_In!$H102</f>
        <v>10520.261587286186</v>
      </c>
      <c r="I105" s="91">
        <f>+FEE_1_In!S102</f>
        <v>7727.2988525767851</v>
      </c>
      <c r="J105" s="91">
        <f>+FEE_1_In!V102</f>
        <v>2627.8612398048576</v>
      </c>
      <c r="K105" s="91">
        <f>+FEE_1_In!Y102</f>
        <v>165.10149490454336</v>
      </c>
      <c r="L105" s="91">
        <f>+FEE_2_In!H102</f>
        <v>12512.85882694567</v>
      </c>
      <c r="M105" s="91">
        <f>+FEE_2_In!S102</f>
        <v>10376.751657140981</v>
      </c>
      <c r="N105" s="91">
        <f>+FEE_2_In!V102</f>
        <v>2047.631397488203</v>
      </c>
      <c r="O105" s="55">
        <f>+FEE_2_In!Y102</f>
        <v>88.475772316485617</v>
      </c>
      <c r="P105" s="55">
        <f>+FEE_3_In!H102</f>
        <v>12446.817362859831</v>
      </c>
      <c r="Q105" s="55">
        <f>+FEE_3_In!S102</f>
        <v>11194.73776350309</v>
      </c>
      <c r="R105" s="55">
        <f>+FEE_3_In!V102</f>
        <v>1198.2819674263083</v>
      </c>
      <c r="S105" s="55">
        <f>+FEE_3_In!Y102</f>
        <v>53.797631930432303</v>
      </c>
      <c r="T105" s="55">
        <f>+FEE_4_In!H102</f>
        <v>11683.846528879993</v>
      </c>
      <c r="U105" s="55">
        <f>+FEE_4_In!S102</f>
        <v>9723.1203047365234</v>
      </c>
      <c r="V105" s="55">
        <f>+FEE_4_In!V102</f>
        <v>1909.1514697825369</v>
      </c>
      <c r="W105" s="55">
        <f>+FEE_4_In!Y102</f>
        <v>51.57475436093214</v>
      </c>
      <c r="X105" s="55">
        <f>FEE_1_In!$H102</f>
        <v>10520.261587286186</v>
      </c>
      <c r="Y105" s="55">
        <f>+FEE_1_Out!S102</f>
        <v>9385.6243769847624</v>
      </c>
      <c r="Z105" s="55">
        <f>+FEE_1_Out!V102</f>
        <v>714.27885885909825</v>
      </c>
      <c r="AA105" s="55">
        <f>+FEE_1_Out!Y102</f>
        <v>132.11881880597491</v>
      </c>
      <c r="AB105" s="55">
        <f>+FEE_2_Out!H102</f>
        <v>11212.213700512284</v>
      </c>
      <c r="AC105" s="55">
        <f>+FEE_2_Out!S102</f>
        <v>10604.558607784014</v>
      </c>
      <c r="AD105" s="55">
        <f>+FEE_2_Out!V102</f>
        <v>522.58354219444686</v>
      </c>
      <c r="AE105" s="55">
        <f>+FEE_2_Out!Y102</f>
        <v>85.071550533823327</v>
      </c>
      <c r="AF105" s="55">
        <f>+FEE_3_Out!H102</f>
        <v>12070.603877402607</v>
      </c>
      <c r="AG105" s="55">
        <f>+FEE_3_Out!S102</f>
        <v>11796.293284498945</v>
      </c>
      <c r="AH105" s="55">
        <f>+FEE_3_Out!V102</f>
        <v>191.07448542127364</v>
      </c>
      <c r="AI105" s="55">
        <f>+FEE_3_Out!Y102</f>
        <v>83.236107482388476</v>
      </c>
      <c r="AJ105" s="55">
        <f>+FEE_4_Out!H102</f>
        <v>12951.316220919414</v>
      </c>
      <c r="AK105" s="55">
        <f>+FEE_4_Out!S102</f>
        <v>12149.734712923453</v>
      </c>
      <c r="AL105" s="55">
        <f>+FEE_4_Out!V102</f>
        <v>754.78945958248073</v>
      </c>
      <c r="AM105" s="55">
        <f>+FEE_4_Out!Y102</f>
        <v>46.792048413481375</v>
      </c>
    </row>
    <row r="106" spans="2:39" x14ac:dyDescent="0.25">
      <c r="B106" s="51">
        <f>ITE_LUC_Rates!A94</f>
        <v>820</v>
      </c>
      <c r="C106" s="11" t="str">
        <f>ITE_LUC_Rates!B94</f>
        <v>Shopping Center General, 800,001 - 1,000,000gsf</v>
      </c>
      <c r="D106" s="52" t="str">
        <f>ITE_LUC_Rates!C94</f>
        <v>1000 GSF</v>
      </c>
      <c r="E106" s="112">
        <f>ITE_LUC_Rates!G94</f>
        <v>29.762037611107274</v>
      </c>
      <c r="F106" s="53" t="s">
        <v>73</v>
      </c>
      <c r="G106" s="91">
        <f>ITE_LUC_Rates!Q94</f>
        <v>20513.7</v>
      </c>
      <c r="H106" s="91">
        <f>FEE_1_In!$H103</f>
        <v>10951.872469790897</v>
      </c>
      <c r="I106" s="91">
        <f>+FEE_1_In!S103</f>
        <v>8044.3238856015241</v>
      </c>
      <c r="J106" s="91">
        <f>+FEE_1_In!V103</f>
        <v>2735.67353129605</v>
      </c>
      <c r="K106" s="91">
        <f>+FEE_1_In!Y103</f>
        <v>171.87505289332134</v>
      </c>
      <c r="L106" s="91">
        <f>+FEE_2_In!H103</f>
        <v>13026.219259682595</v>
      </c>
      <c r="M106" s="91">
        <f>+FEE_2_In!S103</f>
        <v>10802.474810801286</v>
      </c>
      <c r="N106" s="91">
        <f>+FEE_2_In!V103</f>
        <v>2131.6388137659778</v>
      </c>
      <c r="O106" s="55">
        <f>+FEE_2_In!Y103</f>
        <v>92.105635115330202</v>
      </c>
      <c r="P106" s="55">
        <f>+FEE_3_In!H103</f>
        <v>12957.46833686709</v>
      </c>
      <c r="Q106" s="55">
        <f>+FEE_3_In!S103</f>
        <v>11654.020130716617</v>
      </c>
      <c r="R106" s="55">
        <f>+FEE_3_In!V103</f>
        <v>1247.4434386653293</v>
      </c>
      <c r="S106" s="55">
        <f>+FEE_3_In!Y103</f>
        <v>56.00476748514307</v>
      </c>
      <c r="T106" s="55">
        <f>+FEE_4_In!H103</f>
        <v>12163.195380573359</v>
      </c>
      <c r="U106" s="55">
        <f>+FEE_4_In!S103</f>
        <v>10122.027166567641</v>
      </c>
      <c r="V106" s="55">
        <f>+FEE_4_In!V103</f>
        <v>1987.4775212662589</v>
      </c>
      <c r="W106" s="55">
        <f>+FEE_4_In!Y103</f>
        <v>53.690692739459458</v>
      </c>
      <c r="X106" s="55">
        <f>FEE_1_In!$H103</f>
        <v>10951.872469790897</v>
      </c>
      <c r="Y106" s="55">
        <f>+FEE_1_Out!S103</f>
        <v>9770.6849181697544</v>
      </c>
      <c r="Z106" s="55">
        <f>+FEE_1_Out!V103</f>
        <v>743.5833135125074</v>
      </c>
      <c r="AA106" s="55">
        <f>+FEE_1_Out!Y103</f>
        <v>137.53920873708086</v>
      </c>
      <c r="AB106" s="55">
        <f>+FEE_2_Out!H103</f>
        <v>11672.213046532144</v>
      </c>
      <c r="AC106" s="55">
        <f>+FEE_2_Out!S103</f>
        <v>11039.627912981707</v>
      </c>
      <c r="AD106" s="55">
        <f>+FEE_2_Out!V103</f>
        <v>544.02338396621076</v>
      </c>
      <c r="AE106" s="55">
        <f>+FEE_2_Out!Y103</f>
        <v>88.561749584227258</v>
      </c>
      <c r="AF106" s="55">
        <f>+FEE_3_Out!H103</f>
        <v>12565.820079838728</v>
      </c>
      <c r="AG106" s="55">
        <f>+FEE_3_Out!S103</f>
        <v>12280.255447660356</v>
      </c>
      <c r="AH106" s="55">
        <f>+FEE_3_Out!V103</f>
        <v>198.91362768903568</v>
      </c>
      <c r="AI106" s="55">
        <f>+FEE_3_Out!Y103</f>
        <v>86.65100448933616</v>
      </c>
      <c r="AJ106" s="55">
        <f>+FEE_4_Out!H103</f>
        <v>13482.665083048856</v>
      </c>
      <c r="AK106" s="55">
        <f>+FEE_4_Out!S103</f>
        <v>12648.197386891594</v>
      </c>
      <c r="AL106" s="55">
        <f>+FEE_4_Out!V103</f>
        <v>785.75592767385854</v>
      </c>
      <c r="AM106" s="55">
        <f>+FEE_4_Out!Y103</f>
        <v>48.71176848340366</v>
      </c>
    </row>
    <row r="107" spans="2:39" x14ac:dyDescent="0.25">
      <c r="B107" s="51">
        <f>ITE_LUC_Rates!A95</f>
        <v>820</v>
      </c>
      <c r="C107" s="11" t="str">
        <f>ITE_LUC_Rates!B95</f>
        <v>Shopping Center General, 1,000,001 - 1,200,000gsf</v>
      </c>
      <c r="D107" s="52" t="str">
        <f>ITE_LUC_Rates!C95</f>
        <v>1000 GSF</v>
      </c>
      <c r="E107" s="112">
        <f>ITE_LUC_Rates!G95</f>
        <v>27.910949113552771</v>
      </c>
      <c r="F107" s="53" t="s">
        <v>73</v>
      </c>
      <c r="G107" s="91">
        <f>ITE_LUC_Rates!Q95</f>
        <v>19521.3</v>
      </c>
      <c r="H107" s="91">
        <f>FEE_1_In!$H104</f>
        <v>10714.21435277453</v>
      </c>
      <c r="I107" s="91">
        <f>+FEE_1_In!S104</f>
        <v>7869.7602324367117</v>
      </c>
      <c r="J107" s="91">
        <f>+FEE_1_In!V104</f>
        <v>2676.3087950819736</v>
      </c>
      <c r="K107" s="91">
        <f>+FEE_1_In!Y104</f>
        <v>168.14532525584318</v>
      </c>
      <c r="L107" s="91">
        <f>+FEE_2_In!H104</f>
        <v>12743.54734676197</v>
      </c>
      <c r="M107" s="91">
        <f>+FEE_2_In!S104</f>
        <v>10568.05865687571</v>
      </c>
      <c r="N107" s="91">
        <f>+FEE_2_In!V104</f>
        <v>2085.381767947008</v>
      </c>
      <c r="O107" s="55">
        <f>+FEE_2_In!Y104</f>
        <v>90.106921939251379</v>
      </c>
      <c r="P107" s="55">
        <f>+FEE_3_In!H104</f>
        <v>12676.288334567646</v>
      </c>
      <c r="Q107" s="55">
        <f>+FEE_3_In!S104</f>
        <v>11401.12525017663</v>
      </c>
      <c r="R107" s="55">
        <f>+FEE_3_In!V104</f>
        <v>1220.3736330649281</v>
      </c>
      <c r="S107" s="55">
        <f>+FEE_3_In!Y104</f>
        <v>54.789451326086962</v>
      </c>
      <c r="T107" s="55">
        <f>+FEE_4_In!H104</f>
        <v>11899.251281605555</v>
      </c>
      <c r="U107" s="55">
        <f>+FEE_4_In!S104</f>
        <v>9902.3768808808381</v>
      </c>
      <c r="V107" s="55">
        <f>+FEE_4_In!V104</f>
        <v>1944.3488081973862</v>
      </c>
      <c r="W107" s="55">
        <f>+FEE_4_In!Y104</f>
        <v>52.525592527330353</v>
      </c>
      <c r="X107" s="55">
        <f>FEE_1_In!$H104</f>
        <v>10714.21435277453</v>
      </c>
      <c r="Y107" s="55">
        <f>+FEE_1_Out!S104</f>
        <v>9558.6588389748431</v>
      </c>
      <c r="Z107" s="55">
        <f>+FEE_1_Out!V104</f>
        <v>727.44738692811507</v>
      </c>
      <c r="AA107" s="55">
        <f>+FEE_1_Out!Y104</f>
        <v>134.55457670684686</v>
      </c>
      <c r="AB107" s="55">
        <f>+FEE_2_Out!H104</f>
        <v>11418.923375591912</v>
      </c>
      <c r="AC107" s="55">
        <f>+FEE_2_Out!S104</f>
        <v>10800.065482940858</v>
      </c>
      <c r="AD107" s="55">
        <f>+FEE_2_Out!V104</f>
        <v>532.21795312295421</v>
      </c>
      <c r="AE107" s="55">
        <f>+FEE_2_Out!Y104</f>
        <v>86.639939528100442</v>
      </c>
      <c r="AF107" s="55">
        <f>+FEE_3_Out!H104</f>
        <v>12293.138933561833</v>
      </c>
      <c r="AG107" s="55">
        <f>+FEE_3_Out!S104</f>
        <v>12013.7711186818</v>
      </c>
      <c r="AH107" s="55">
        <f>+FEE_3_Out!V104</f>
        <v>194.59715684481543</v>
      </c>
      <c r="AI107" s="55">
        <f>+FEE_3_Out!Y104</f>
        <v>84.770658035219199</v>
      </c>
      <c r="AJ107" s="55">
        <f>+FEE_4_Out!H104</f>
        <v>13190.088192216881</v>
      </c>
      <c r="AK107" s="55">
        <f>+FEE_4_Out!S104</f>
        <v>12373.728634364437</v>
      </c>
      <c r="AL107" s="55">
        <f>+FEE_4_Out!V104</f>
        <v>768.70484579534741</v>
      </c>
      <c r="AM107" s="55">
        <f>+FEE_4_Out!Y104</f>
        <v>47.654712057095225</v>
      </c>
    </row>
    <row r="108" spans="2:39" x14ac:dyDescent="0.25">
      <c r="B108" s="51">
        <f>ITE_LUC_Rates!A96</f>
        <v>820</v>
      </c>
      <c r="C108" s="11" t="str">
        <f>ITE_LUC_Rates!B96</f>
        <v>Shopping Center General, 1,200,001 gsf - more</v>
      </c>
      <c r="D108" s="52" t="str">
        <f>ITE_LUC_Rates!C96</f>
        <v>1000 GSF</v>
      </c>
      <c r="E108" s="112">
        <f>ITE_LUC_Rates!G96</f>
        <v>26.458084032221276</v>
      </c>
      <c r="F108" s="53" t="s">
        <v>73</v>
      </c>
      <c r="G108" s="91">
        <f>ITE_LUC_Rates!Q96</f>
        <v>19248.8</v>
      </c>
      <c r="H108" s="91">
        <f>FEE_1_In!$H105</f>
        <v>10584.29846889438</v>
      </c>
      <c r="I108" s="91">
        <f>+FEE_1_In!S105</f>
        <v>7774.3349569234306</v>
      </c>
      <c r="J108" s="91">
        <f>+FEE_1_In!V105</f>
        <v>2643.8570434928101</v>
      </c>
      <c r="K108" s="91">
        <f>+FEE_1_In!Y105</f>
        <v>166.10646847813919</v>
      </c>
      <c r="L108" s="91">
        <f>+FEE_2_In!H105</f>
        <v>12589.024657294367</v>
      </c>
      <c r="M108" s="91">
        <f>+FEE_2_In!S105</f>
        <v>10439.914993131506</v>
      </c>
      <c r="N108" s="91">
        <f>+FEE_2_In!V105</f>
        <v>2060.0953394054491</v>
      </c>
      <c r="O108" s="55">
        <f>+FEE_2_In!Y105</f>
        <v>89.014324757412695</v>
      </c>
      <c r="P108" s="55">
        <f>+FEE_3_In!H105</f>
        <v>12522.581198506987</v>
      </c>
      <c r="Q108" s="55">
        <f>+FEE_3_In!S105</f>
        <v>11262.880184758331</v>
      </c>
      <c r="R108" s="55">
        <f>+FEE_3_In!V105</f>
        <v>1205.5759153804202</v>
      </c>
      <c r="S108" s="55">
        <f>+FEE_3_In!Y105</f>
        <v>54.125098368233949</v>
      </c>
      <c r="T108" s="55">
        <f>+FEE_4_In!H105</f>
        <v>11754.96615748337</v>
      </c>
      <c r="U108" s="55">
        <f>+FEE_4_In!S105</f>
        <v>9782.3049836202772</v>
      </c>
      <c r="V108" s="55">
        <f>+FEE_4_In!V105</f>
        <v>1920.7724837305473</v>
      </c>
      <c r="W108" s="55">
        <f>+FEE_4_In!Y105</f>
        <v>51.888690132545847</v>
      </c>
      <c r="X108" s="55">
        <f>FEE_1_In!$H105</f>
        <v>10584.29846889438</v>
      </c>
      <c r="Y108" s="55">
        <f>+FEE_1_Out!S105</f>
        <v>9442.7547165738742</v>
      </c>
      <c r="Z108" s="55">
        <f>+FEE_1_Out!V105</f>
        <v>718.62667762201488</v>
      </c>
      <c r="AA108" s="55">
        <f>+FEE_1_Out!Y105</f>
        <v>132.9230266755128</v>
      </c>
      <c r="AB108" s="55">
        <f>+FEE_2_Out!H105</f>
        <v>11280.462497878043</v>
      </c>
      <c r="AC108" s="55">
        <f>+FEE_2_Out!S105</f>
        <v>10669.108605751222</v>
      </c>
      <c r="AD108" s="55">
        <f>+FEE_2_Out!V105</f>
        <v>525.7645106660234</v>
      </c>
      <c r="AE108" s="55">
        <f>+FEE_2_Out!Y105</f>
        <v>85.589381460797924</v>
      </c>
      <c r="AF108" s="55">
        <f>+FEE_3_Out!H105</f>
        <v>12144.077699799829</v>
      </c>
      <c r="AG108" s="55">
        <f>+FEE_3_Out!S105</f>
        <v>11868.097377031001</v>
      </c>
      <c r="AH108" s="55">
        <f>+FEE_3_Out!V105</f>
        <v>192.23755670992441</v>
      </c>
      <c r="AI108" s="55">
        <f>+FEE_3_Out!Y105</f>
        <v>83.742766058903158</v>
      </c>
      <c r="AJ108" s="55">
        <f>+FEE_4_Out!H105</f>
        <v>13030.150943481025</v>
      </c>
      <c r="AK108" s="55">
        <f>+FEE_4_Out!S105</f>
        <v>12223.690205087514</v>
      </c>
      <c r="AL108" s="55">
        <f>+FEE_4_Out!V105</f>
        <v>759.3838665619428</v>
      </c>
      <c r="AM108" s="55">
        <f>+FEE_4_Out!Y105</f>
        <v>47.076871831568255</v>
      </c>
    </row>
    <row r="109" spans="2:39" x14ac:dyDescent="0.25">
      <c r="B109" s="116">
        <f>ITE_LUC_Rates!A97</f>
        <v>823</v>
      </c>
      <c r="C109" s="117" t="str">
        <f>ITE_LUC_Rates!B97</f>
        <v>Factory Outlet Center</v>
      </c>
      <c r="D109" s="203" t="str">
        <f>ITE_LUC_Rates!C97</f>
        <v>1000 GSF</v>
      </c>
      <c r="E109" s="204">
        <f>ITE_LUC_Rates!G97</f>
        <v>26.59</v>
      </c>
      <c r="F109" s="118" t="s">
        <v>73</v>
      </c>
      <c r="G109" s="119">
        <f>ITE_LUC_Rates!Q97</f>
        <v>0</v>
      </c>
      <c r="H109" s="91">
        <f>FEE_1_In!$H106</f>
        <v>24535.681008266765</v>
      </c>
      <c r="I109" s="91">
        <f>+FEE_1_In!S106</f>
        <v>18021.846522475847</v>
      </c>
      <c r="J109" s="91">
        <f>+FEE_1_In!V106</f>
        <v>6128.7796485745703</v>
      </c>
      <c r="K109" s="91">
        <f>+FEE_1_In!Y106</f>
        <v>385.05483721634562</v>
      </c>
      <c r="L109" s="91">
        <f>+FEE_2_In!H106</f>
        <v>29182.878213830707</v>
      </c>
      <c r="M109" s="91">
        <f>+FEE_2_In!S106</f>
        <v>24200.982689375473</v>
      </c>
      <c r="N109" s="91">
        <f>+FEE_2_In!V106</f>
        <v>4775.5495787288673</v>
      </c>
      <c r="O109" s="55">
        <f>+FEE_2_In!Y106</f>
        <v>206.34594572636618</v>
      </c>
      <c r="P109" s="55">
        <f>+FEE_3_In!H106</f>
        <v>29028.854258942796</v>
      </c>
      <c r="Q109" s="55">
        <f>+FEE_3_In!S106</f>
        <v>26108.715306894155</v>
      </c>
      <c r="R109" s="55">
        <f>+FEE_3_In!V106</f>
        <v>2794.6704430107634</v>
      </c>
      <c r="S109" s="55">
        <f>+FEE_3_In!Y106</f>
        <v>125.46850903787569</v>
      </c>
      <c r="T109" s="55">
        <f>+FEE_4_In!H106</f>
        <v>27249.42996936393</v>
      </c>
      <c r="U109" s="55">
        <f>+FEE_4_In!S106</f>
        <v>22676.56333663057</v>
      </c>
      <c r="V109" s="55">
        <f>+FEE_4_In!V106</f>
        <v>4452.5823878426427</v>
      </c>
      <c r="W109" s="55">
        <f>+FEE_4_In!Y106</f>
        <v>120.2842448907181</v>
      </c>
      <c r="X109" s="55">
        <f>FEE_1_In!$H106</f>
        <v>24535.681008266765</v>
      </c>
      <c r="Y109" s="55">
        <f>+FEE_1_Out!S106</f>
        <v>21889.444845687958</v>
      </c>
      <c r="Z109" s="55">
        <f>+FEE_1_Out!V106</f>
        <v>1665.8633520192222</v>
      </c>
      <c r="AA109" s="55">
        <f>+FEE_1_Out!Y106</f>
        <v>308.13161502846322</v>
      </c>
      <c r="AB109" s="55">
        <f>+FEE_2_Out!H106</f>
        <v>26149.473230280433</v>
      </c>
      <c r="AC109" s="55">
        <f>+FEE_2_Out!S106</f>
        <v>24732.281139140086</v>
      </c>
      <c r="AD109" s="55">
        <f>+FEE_2_Out!V106</f>
        <v>1218.7855772472876</v>
      </c>
      <c r="AE109" s="55">
        <f>+FEE_2_Out!Y106</f>
        <v>198.4065138930612</v>
      </c>
      <c r="AF109" s="55">
        <f>+FEE_3_Out!H106</f>
        <v>28151.437476707841</v>
      </c>
      <c r="AG109" s="55">
        <f>+FEE_3_Out!S106</f>
        <v>27511.681787285961</v>
      </c>
      <c r="AH109" s="55">
        <f>+FEE_3_Out!V106</f>
        <v>445.62985285277909</v>
      </c>
      <c r="AI109" s="55">
        <f>+FEE_3_Out!Y106</f>
        <v>194.12583656909914</v>
      </c>
      <c r="AJ109" s="55">
        <f>+FEE_4_Out!H106</f>
        <v>30205.462173839518</v>
      </c>
      <c r="AK109" s="55">
        <f>+FEE_4_Out!S106</f>
        <v>28335.98887043017</v>
      </c>
      <c r="AL109" s="55">
        <f>+FEE_4_Out!V106</f>
        <v>1760.3434339597111</v>
      </c>
      <c r="AM109" s="55">
        <f>+FEE_4_Out!Y106</f>
        <v>109.12986944963524</v>
      </c>
    </row>
    <row r="110" spans="2:39" x14ac:dyDescent="0.25">
      <c r="B110" s="51">
        <f>ITE_LUC_Rates!A98</f>
        <v>840</v>
      </c>
      <c r="C110" s="11" t="str">
        <f>ITE_LUC_Rates!B98</f>
        <v>Auto Sales (New)</v>
      </c>
      <c r="D110" s="52" t="str">
        <f>ITE_LUC_Rates!C98</f>
        <v>1000 GSF</v>
      </c>
      <c r="E110" s="112">
        <f>ITE_LUC_Rates!G98</f>
        <v>27.84</v>
      </c>
      <c r="F110" s="53" t="s">
        <v>73</v>
      </c>
      <c r="G110" s="91">
        <f>ITE_LUC_Rates!Q98</f>
        <v>24316.7</v>
      </c>
      <c r="H110" s="91">
        <f>FEE_1_In!$H107</f>
        <v>14012.593042181881</v>
      </c>
      <c r="I110" s="91">
        <f>+FEE_1_In!S107</f>
        <v>10292.471649881223</v>
      </c>
      <c r="J110" s="91">
        <f>+FEE_1_In!V107</f>
        <v>3500.2124062399785</v>
      </c>
      <c r="K110" s="91">
        <f>+FEE_1_In!Y107</f>
        <v>219.90898606068066</v>
      </c>
      <c r="L110" s="91">
        <f>+FEE_2_In!H107</f>
        <v>16666.657675904167</v>
      </c>
      <c r="M110" s="91">
        <f>+FEE_2_In!S107</f>
        <v>13821.443208886205</v>
      </c>
      <c r="N110" s="91">
        <f>+FEE_2_In!V107</f>
        <v>2727.3680635538194</v>
      </c>
      <c r="O110" s="55">
        <f>+FEE_2_In!Y107</f>
        <v>117.84640346414312</v>
      </c>
      <c r="P110" s="55">
        <f>+FEE_3_In!H107</f>
        <v>16578.692927835244</v>
      </c>
      <c r="Q110" s="55">
        <f>+FEE_3_In!S107</f>
        <v>14910.969959481752</v>
      </c>
      <c r="R110" s="55">
        <f>+FEE_3_In!V107</f>
        <v>1596.0665445450518</v>
      </c>
      <c r="S110" s="55">
        <f>+FEE_3_In!Y107</f>
        <v>71.656423808440636</v>
      </c>
      <c r="T110" s="55">
        <f>+FEE_4_In!H107</f>
        <v>15562.44445236635</v>
      </c>
      <c r="U110" s="55">
        <f>+FEE_4_In!S107</f>
        <v>12950.830813475479</v>
      </c>
      <c r="V110" s="55">
        <f>+FEE_4_In!V107</f>
        <v>2542.9180044606755</v>
      </c>
      <c r="W110" s="55">
        <f>+FEE_4_In!Y107</f>
        <v>68.695634430195256</v>
      </c>
      <c r="X110" s="55">
        <f>FEE_1_In!$H107</f>
        <v>14012.593042181881</v>
      </c>
      <c r="Y110" s="55">
        <f>+FEE_1_Out!S107</f>
        <v>12501.298922111266</v>
      </c>
      <c r="Z110" s="55">
        <f>+FEE_1_Out!V107</f>
        <v>951.39259464065435</v>
      </c>
      <c r="AA110" s="55">
        <f>+FEE_1_Out!Y107</f>
        <v>175.97730111380838</v>
      </c>
      <c r="AB110" s="55">
        <f>+FEE_2_Out!H107</f>
        <v>14934.247250764756</v>
      </c>
      <c r="AC110" s="55">
        <f>+FEE_2_Out!S107</f>
        <v>14124.873505277214</v>
      </c>
      <c r="AD110" s="55">
        <f>+FEE_2_Out!V107</f>
        <v>696.06163749409677</v>
      </c>
      <c r="AE110" s="55">
        <f>+FEE_2_Out!Y107</f>
        <v>113.31210799344629</v>
      </c>
      <c r="AF110" s="55">
        <f>+FEE_3_Out!H107</f>
        <v>16077.590704762784</v>
      </c>
      <c r="AG110" s="55">
        <f>+FEE_3_Out!S107</f>
        <v>15712.219304667191</v>
      </c>
      <c r="AH110" s="55">
        <f>+FEE_3_Out!V107</f>
        <v>254.50403326361572</v>
      </c>
      <c r="AI110" s="55">
        <f>+FEE_3_Out!Y107</f>
        <v>110.86736683197755</v>
      </c>
      <c r="AJ110" s="55">
        <f>+FEE_4_Out!H107</f>
        <v>17250.666445754017</v>
      </c>
      <c r="AK110" s="55">
        <f>+FEE_4_Out!S107</f>
        <v>16182.990003633975</v>
      </c>
      <c r="AL110" s="55">
        <f>+FEE_4_Out!V107</f>
        <v>1005.3511922592817</v>
      </c>
      <c r="AM110" s="55">
        <f>+FEE_4_Out!Y107</f>
        <v>62.325249860761879</v>
      </c>
    </row>
    <row r="111" spans="2:39" x14ac:dyDescent="0.25">
      <c r="B111" s="51">
        <f>ITE_LUC_Rates!A99</f>
        <v>843</v>
      </c>
      <c r="C111" s="11" t="str">
        <f>ITE_LUC_Rates!B99</f>
        <v>Auto Parts Sales</v>
      </c>
      <c r="D111" s="52" t="str">
        <f>ITE_LUC_Rates!C99</f>
        <v>1000 GSF</v>
      </c>
      <c r="E111" s="112">
        <f>ITE_LUC_Rates!G99</f>
        <v>55.34</v>
      </c>
      <c r="F111" s="53" t="s">
        <v>73</v>
      </c>
      <c r="G111" s="91">
        <f>ITE_LUC_Rates!Q99</f>
        <v>15535</v>
      </c>
      <c r="H111" s="91">
        <f>FEE_1_In!$H108</f>
        <v>27854.055278532527</v>
      </c>
      <c r="I111" s="91">
        <f>+FEE_1_In!S108</f>
        <v>20459.245010934879</v>
      </c>
      <c r="J111" s="91">
        <f>+FEE_1_In!V108</f>
        <v>6957.6779655646706</v>
      </c>
      <c r="K111" s="91">
        <f>+FEE_1_In!Y108</f>
        <v>437.13230203297661</v>
      </c>
      <c r="L111" s="91">
        <f>+FEE_2_In!H108</f>
        <v>33129.771400306636</v>
      </c>
      <c r="M111" s="91">
        <f>+FEE_2_In!S108</f>
        <v>27474.09005674435</v>
      </c>
      <c r="N111" s="91">
        <f>+FEE_2_In!V108</f>
        <v>5421.4277527682607</v>
      </c>
      <c r="O111" s="55">
        <f>+FEE_2_In!Y108</f>
        <v>234.25359079402597</v>
      </c>
      <c r="P111" s="55">
        <f>+FEE_3_In!H108</f>
        <v>32954.916186293194</v>
      </c>
      <c r="Q111" s="55">
        <f>+FEE_3_In!S108</f>
        <v>29639.837555952596</v>
      </c>
      <c r="R111" s="55">
        <f>+FEE_3_In!V108</f>
        <v>3172.6408970949415</v>
      </c>
      <c r="S111" s="55">
        <f>+FEE_3_In!Y108</f>
        <v>142.43773324565754</v>
      </c>
      <c r="T111" s="55">
        <f>+FEE_4_In!H108</f>
        <v>30934.830315874784</v>
      </c>
      <c r="U111" s="55">
        <f>+FEE_4_In!S108</f>
        <v>25743.497744889839</v>
      </c>
      <c r="V111" s="55">
        <f>+FEE_4_In!V108</f>
        <v>5054.780257430094</v>
      </c>
      <c r="W111" s="55">
        <f>+FEE_4_In!Y108</f>
        <v>136.55231355484935</v>
      </c>
      <c r="X111" s="55">
        <f>FEE_1_In!$H108</f>
        <v>27854.055278532527</v>
      </c>
      <c r="Y111" s="55">
        <f>+FEE_1_Out!S108</f>
        <v>24849.923934972612</v>
      </c>
      <c r="Z111" s="55">
        <f>+FEE_1_Out!V108</f>
        <v>1891.1661705249221</v>
      </c>
      <c r="AA111" s="55">
        <f>+FEE_1_Out!Y108</f>
        <v>349.80545415366947</v>
      </c>
      <c r="AB111" s="55">
        <f>+FEE_2_Out!H108</f>
        <v>29686.107861254379</v>
      </c>
      <c r="AC111" s="55">
        <f>+FEE_2_Out!S108</f>
        <v>28077.244963435391</v>
      </c>
      <c r="AD111" s="55">
        <f>+FEE_2_Out!V108</f>
        <v>1383.6225222314411</v>
      </c>
      <c r="AE111" s="55">
        <f>+FEE_2_Out!Y108</f>
        <v>225.24037558754739</v>
      </c>
      <c r="AF111" s="55">
        <f>+FEE_3_Out!H108</f>
        <v>31958.831523044999</v>
      </c>
      <c r="AG111" s="55">
        <f>+FEE_3_Out!S108</f>
        <v>31232.550873573371</v>
      </c>
      <c r="AH111" s="55">
        <f>+FEE_3_Out!V108</f>
        <v>505.89989945432814</v>
      </c>
      <c r="AI111" s="55">
        <f>+FEE_3_Out!Y108</f>
        <v>220.38075001730022</v>
      </c>
      <c r="AJ111" s="55">
        <f>+FEE_4_Out!H108</f>
        <v>34290.656648995246</v>
      </c>
      <c r="AK111" s="55">
        <f>+FEE_4_Out!S108</f>
        <v>32168.342916706333</v>
      </c>
      <c r="AL111" s="55">
        <f>+FEE_4_Out!V108</f>
        <v>1998.4243886360871</v>
      </c>
      <c r="AM111" s="55">
        <f>+FEE_4_Out!Y108</f>
        <v>123.88934365282194</v>
      </c>
    </row>
    <row r="112" spans="2:39" x14ac:dyDescent="0.25">
      <c r="B112" s="51">
        <f>ITE_LUC_Rates!A100</f>
        <v>848</v>
      </c>
      <c r="C112" s="11" t="str">
        <f>ITE_LUC_Rates!B100</f>
        <v>Tire sales</v>
      </c>
      <c r="D112" s="52" t="str">
        <f>ITE_LUC_Rates!C100</f>
        <v>1000 GSF</v>
      </c>
      <c r="E112" s="112">
        <f>ITE_LUC_Rates!G100</f>
        <v>28.52</v>
      </c>
      <c r="F112" s="53" t="s">
        <v>73</v>
      </c>
      <c r="G112" s="91">
        <f>ITE_LUC_Rates!Q100</f>
        <v>24027.4</v>
      </c>
      <c r="H112" s="91">
        <f>FEE_1_In!$H109</f>
        <v>22618.228434258956</v>
      </c>
      <c r="I112" s="91">
        <f>+FEE_1_In!S109</f>
        <v>16613.447220608006</v>
      </c>
      <c r="J112" s="91">
        <f>+FEE_1_In!V109</f>
        <v>5649.8182409524825</v>
      </c>
      <c r="K112" s="91">
        <f>+FEE_1_In!Y109</f>
        <v>354.96297269846747</v>
      </c>
      <c r="L112" s="91">
        <f>+FEE_2_In!H109</f>
        <v>26902.249242121601</v>
      </c>
      <c r="M112" s="91">
        <f>+FEE_2_In!S109</f>
        <v>22309.686640342778</v>
      </c>
      <c r="N112" s="91">
        <f>+FEE_2_In!V109</f>
        <v>4402.3425000685947</v>
      </c>
      <c r="O112" s="55">
        <f>+FEE_2_In!Y109</f>
        <v>190.22010171022546</v>
      </c>
      <c r="P112" s="55">
        <f>+FEE_3_In!H109</f>
        <v>26760.262190903049</v>
      </c>
      <c r="Q112" s="55">
        <f>+FEE_3_In!S109</f>
        <v>24068.330801064712</v>
      </c>
      <c r="R112" s="55">
        <f>+FEE_3_In!V109</f>
        <v>2576.26818905869</v>
      </c>
      <c r="S112" s="55">
        <f>+FEE_3_In!Y109</f>
        <v>115.66320077964807</v>
      </c>
      <c r="T112" s="55">
        <f>+FEE_4_In!H109</f>
        <v>25119.899119276743</v>
      </c>
      <c r="U112" s="55">
        <f>+FEE_4_In!S109</f>
        <v>20904.399982989667</v>
      </c>
      <c r="V112" s="55">
        <f>+FEE_4_In!V109</f>
        <v>4104.6150517139195</v>
      </c>
      <c r="W112" s="55">
        <f>+FEE_4_In!Y109</f>
        <v>110.88408457315512</v>
      </c>
      <c r="X112" s="55">
        <f>FEE_1_In!$H109</f>
        <v>22618.228434258956</v>
      </c>
      <c r="Y112" s="55">
        <f>+FEE_1_Out!S109</f>
        <v>20178.794452539107</v>
      </c>
      <c r="Z112" s="55">
        <f>+FEE_1_Out!V109</f>
        <v>1535.6768709022601</v>
      </c>
      <c r="AA112" s="55">
        <f>+FEE_1_Out!Y109</f>
        <v>284.05126616142167</v>
      </c>
      <c r="AB112" s="55">
        <f>+FEE_2_Out!H109</f>
        <v>24105.903510839762</v>
      </c>
      <c r="AC112" s="55">
        <f>+FEE_2_Out!S109</f>
        <v>22799.464352218591</v>
      </c>
      <c r="AD112" s="55">
        <f>+FEE_2_Out!V109</f>
        <v>1123.5380256725418</v>
      </c>
      <c r="AE112" s="55">
        <f>+FEE_2_Out!Y109</f>
        <v>182.90113294863232</v>
      </c>
      <c r="AF112" s="55">
        <f>+FEE_3_Out!H109</f>
        <v>25951.415140521356</v>
      </c>
      <c r="AG112" s="55">
        <f>+FEE_3_Out!S109</f>
        <v>25361.656074099461</v>
      </c>
      <c r="AH112" s="55">
        <f>+FEE_3_Out!V109</f>
        <v>410.80407776549356</v>
      </c>
      <c r="AI112" s="55">
        <f>+FEE_3_Out!Y109</f>
        <v>178.9549886564032</v>
      </c>
      <c r="AJ112" s="55">
        <f>+FEE_4_Out!H109</f>
        <v>27844.918719805773</v>
      </c>
      <c r="AK112" s="55">
        <f>+FEE_4_Out!S109</f>
        <v>26121.543924787264</v>
      </c>
      <c r="AL112" s="55">
        <f>+FEE_4_Out!V109</f>
        <v>1622.7733763995993</v>
      </c>
      <c r="AM112" s="55">
        <f>+FEE_4_Out!Y109</f>
        <v>100.60141861891094</v>
      </c>
    </row>
    <row r="113" spans="2:39" x14ac:dyDescent="0.25">
      <c r="B113" s="51">
        <f>ITE_LUC_Rates!A101</f>
        <v>850</v>
      </c>
      <c r="C113" s="11" t="str">
        <f>ITE_LUC_Rates!B101</f>
        <v>Supermarket (free standing)</v>
      </c>
      <c r="D113" s="52" t="str">
        <f>ITE_LUC_Rates!C101</f>
        <v>1000 GSF</v>
      </c>
      <c r="E113" s="112">
        <f>ITE_LUC_Rates!G101</f>
        <v>106.78</v>
      </c>
      <c r="F113" s="53" t="s">
        <v>73</v>
      </c>
      <c r="G113" s="91">
        <f>ITE_LUC_Rates!Q101</f>
        <v>19750</v>
      </c>
      <c r="H113" s="91">
        <f>FEE_1_In!$H110</f>
        <v>17336.565645714792</v>
      </c>
      <c r="I113" s="91">
        <f>+FEE_1_In!S110</f>
        <v>12733.982202842895</v>
      </c>
      <c r="J113" s="91">
        <f>+FEE_1_In!V110</f>
        <v>4330.5091336097239</v>
      </c>
      <c r="K113" s="91">
        <f>+FEE_1_In!Y110</f>
        <v>272.07430926217313</v>
      </c>
      <c r="L113" s="91">
        <f>+FEE_2_In!H110</f>
        <v>20620.209551734613</v>
      </c>
      <c r="M113" s="91">
        <f>+FEE_2_In!S110</f>
        <v>17100.072541039426</v>
      </c>
      <c r="N113" s="91">
        <f>+FEE_2_In!V110</f>
        <v>3374.3358799824537</v>
      </c>
      <c r="O113" s="55">
        <f>+FEE_2_In!Y110</f>
        <v>145.80113071273402</v>
      </c>
      <c r="P113" s="55">
        <f>+FEE_3_In!H110</f>
        <v>20511.378400725309</v>
      </c>
      <c r="Q113" s="55">
        <f>+FEE_3_In!S110</f>
        <v>18448.04946276989</v>
      </c>
      <c r="R113" s="55">
        <f>+FEE_3_In!V110</f>
        <v>1974.6746616517698</v>
      </c>
      <c r="S113" s="55">
        <f>+FEE_3_In!Y110</f>
        <v>88.654276303649667</v>
      </c>
      <c r="T113" s="55">
        <f>+FEE_4_In!H110</f>
        <v>19254.062331223533</v>
      </c>
      <c r="U113" s="55">
        <f>+FEE_4_In!S110</f>
        <v>16022.939358082102</v>
      </c>
      <c r="V113" s="55">
        <f>+FEE_4_In!V110</f>
        <v>3146.1318246589185</v>
      </c>
      <c r="W113" s="55">
        <f>+FEE_4_In!Y110</f>
        <v>84.991148482512727</v>
      </c>
      <c r="X113" s="55">
        <f>FEE_1_In!$H110</f>
        <v>17336.565645714792</v>
      </c>
      <c r="Y113" s="55">
        <f>+FEE_1_Out!S110</f>
        <v>15466.77255005322</v>
      </c>
      <c r="Z113" s="55">
        <f>+FEE_1_Out!V110</f>
        <v>1177.0755150159121</v>
      </c>
      <c r="AA113" s="55">
        <f>+FEE_1_Out!Y110</f>
        <v>217.72144696783508</v>
      </c>
      <c r="AB113" s="55">
        <f>+FEE_2_Out!H110</f>
        <v>18476.848435748514</v>
      </c>
      <c r="AC113" s="55">
        <f>+FEE_2_Out!S110</f>
        <v>17475.480521307323</v>
      </c>
      <c r="AD113" s="55">
        <f>+FEE_2_Out!V110</f>
        <v>861.17667412120556</v>
      </c>
      <c r="AE113" s="55">
        <f>+FEE_2_Out!Y110</f>
        <v>140.19124031998751</v>
      </c>
      <c r="AF113" s="55">
        <f>+FEE_3_Out!H110</f>
        <v>19891.408095489314</v>
      </c>
      <c r="AG113" s="55">
        <f>+FEE_3_Out!S110</f>
        <v>19439.36576158609</v>
      </c>
      <c r="AH113" s="55">
        <f>+FEE_3_Out!V110</f>
        <v>314.87575971783394</v>
      </c>
      <c r="AI113" s="55">
        <f>+FEE_3_Out!Y110</f>
        <v>137.16657418539</v>
      </c>
      <c r="AJ113" s="55">
        <f>+FEE_4_Out!H110</f>
        <v>21342.752934368855</v>
      </c>
      <c r="AK113" s="55">
        <f>+FEE_4_Out!S110</f>
        <v>20021.809503593591</v>
      </c>
      <c r="AL113" s="55">
        <f>+FEE_4_Out!V110</f>
        <v>1243.8338064292182</v>
      </c>
      <c r="AM113" s="55">
        <f>+FEE_4_Out!Y110</f>
        <v>77.109624346046843</v>
      </c>
    </row>
    <row r="114" spans="2:39" x14ac:dyDescent="0.25">
      <c r="B114" s="51">
        <f>ITE_LUC_Rates!A102</f>
        <v>851</v>
      </c>
      <c r="C114" s="11" t="str">
        <f>ITE_LUC_Rates!B102</f>
        <v>Convenience market</v>
      </c>
      <c r="D114" s="52" t="str">
        <f>ITE_LUC_Rates!C102</f>
        <v>1000 GSF</v>
      </c>
      <c r="E114" s="112">
        <f>ITE_LUC_Rates!G102</f>
        <v>762.28</v>
      </c>
      <c r="F114" s="53" t="s">
        <v>73</v>
      </c>
      <c r="G114" s="91">
        <f>ITE_LUC_Rates!Q102</f>
        <v>52868.6</v>
      </c>
      <c r="H114" s="91">
        <f>FEE_1_In!$H111</f>
        <v>156812.78844446765</v>
      </c>
      <c r="I114" s="91">
        <f>+FEE_1_In!S111</f>
        <v>115181.47815646495</v>
      </c>
      <c r="J114" s="91">
        <f>+FEE_1_In!V111</f>
        <v>39170.342414008024</v>
      </c>
      <c r="K114" s="91">
        <f>+FEE_1_In!Y111</f>
        <v>2460.967873994673</v>
      </c>
      <c r="L114" s="91">
        <f>+FEE_2_In!H111</f>
        <v>186514.02037727137</v>
      </c>
      <c r="M114" s="91">
        <f>+FEE_2_In!S111</f>
        <v>154673.65985637848</v>
      </c>
      <c r="N114" s="91">
        <f>+FEE_2_In!V111</f>
        <v>30521.559419645288</v>
      </c>
      <c r="O114" s="55">
        <f>+FEE_2_In!Y111</f>
        <v>1318.8011012476093</v>
      </c>
      <c r="P114" s="55">
        <f>+FEE_3_In!H111</f>
        <v>185529.62031741245</v>
      </c>
      <c r="Q114" s="55">
        <f>+FEE_3_In!S111</f>
        <v>166866.38730742311</v>
      </c>
      <c r="R114" s="55">
        <f>+FEE_3_In!V111</f>
        <v>17861.336915987704</v>
      </c>
      <c r="S114" s="55">
        <f>+FEE_3_In!Y111</f>
        <v>801.8960940016334</v>
      </c>
      <c r="T114" s="55">
        <f>+FEE_4_In!H111</f>
        <v>174156.9388507492</v>
      </c>
      <c r="U114" s="55">
        <f>+FEE_4_In!S111</f>
        <v>144930.76951711724</v>
      </c>
      <c r="V114" s="55">
        <f>+FEE_4_In!V111</f>
        <v>28457.406981329776</v>
      </c>
      <c r="W114" s="55">
        <f>+FEE_4_In!Y111</f>
        <v>768.76235230216503</v>
      </c>
      <c r="X114" s="55">
        <f>FEE_1_In!$H111</f>
        <v>156812.78844446765</v>
      </c>
      <c r="Y114" s="55">
        <f>+FEE_1_Out!S111</f>
        <v>139900.12678259009</v>
      </c>
      <c r="Z114" s="55">
        <f>+FEE_1_Out!V111</f>
        <v>10646.889210434661</v>
      </c>
      <c r="AA114" s="55">
        <f>+FEE_1_Out!Y111</f>
        <v>1969.3350979021338</v>
      </c>
      <c r="AB114" s="55">
        <f>+FEE_2_Out!H111</f>
        <v>167126.87991878588</v>
      </c>
      <c r="AC114" s="55">
        <f>+FEE_2_Out!S111</f>
        <v>158069.30195719242</v>
      </c>
      <c r="AD114" s="55">
        <f>+FEE_2_Out!V111</f>
        <v>7789.5194683878217</v>
      </c>
      <c r="AE114" s="55">
        <f>+FEE_2_Out!Y111</f>
        <v>1268.0584932056379</v>
      </c>
      <c r="AF114" s="55">
        <f>+FEE_3_Out!H111</f>
        <v>179921.86187761705</v>
      </c>
      <c r="AG114" s="55">
        <f>+FEE_3_Out!S111</f>
        <v>175833.04634616079</v>
      </c>
      <c r="AH114" s="55">
        <f>+FEE_3_Out!V111</f>
        <v>2848.1157631776105</v>
      </c>
      <c r="AI114" s="55">
        <f>+FEE_3_Out!Y111</f>
        <v>1240.6997682786498</v>
      </c>
      <c r="AJ114" s="55">
        <f>+FEE_4_Out!H111</f>
        <v>193049.57331886445</v>
      </c>
      <c r="AK114" s="55">
        <f>+FEE_4_Out!S111</f>
        <v>181101.36933254197</v>
      </c>
      <c r="AL114" s="55">
        <f>+FEE_4_Out!V111</f>
        <v>11250.731634721071</v>
      </c>
      <c r="AM114" s="55">
        <f>+FEE_4_Out!Y111</f>
        <v>697.47235160141611</v>
      </c>
    </row>
    <row r="115" spans="2:39" x14ac:dyDescent="0.25">
      <c r="B115" s="51">
        <f>ITE_LUC_Rates!A103</f>
        <v>853</v>
      </c>
      <c r="C115" s="11" t="str">
        <f>ITE_LUC_Rates!B103</f>
        <v>Convenience market with Gasoline Pump</v>
      </c>
      <c r="D115" s="52" t="str">
        <f>ITE_LUC_Rates!C103</f>
        <v>1000 GSF</v>
      </c>
      <c r="E115" s="112">
        <f>ITE_LUC_Rates!G103</f>
        <v>624.20000000000005</v>
      </c>
      <c r="F115" s="53" t="s">
        <v>73</v>
      </c>
      <c r="G115" s="91">
        <f>ITE_LUC_Rates!Q103</f>
        <v>60577.2</v>
      </c>
      <c r="H115" s="91">
        <f>FEE_1_In!$H112</f>
        <v>128407.59635178246</v>
      </c>
      <c r="I115" s="91">
        <f>+FEE_1_In!S112</f>
        <v>94317.414421558264</v>
      </c>
      <c r="J115" s="91">
        <f>+FEE_1_In!V112</f>
        <v>32074.995716565852</v>
      </c>
      <c r="K115" s="91">
        <f>+FEE_1_In!Y112</f>
        <v>2015.1862136583343</v>
      </c>
      <c r="L115" s="91">
        <f>+FEE_2_In!H112</f>
        <v>152728.72372290082</v>
      </c>
      <c r="M115" s="91">
        <f>+FEE_2_In!S112</f>
        <v>126655.95120211925</v>
      </c>
      <c r="N115" s="91">
        <f>+FEE_2_In!V112</f>
        <v>24992.860090442613</v>
      </c>
      <c r="O115" s="55">
        <f>+FEE_2_In!Y112</f>
        <v>1079.9124303389278</v>
      </c>
      <c r="P115" s="55">
        <f>+FEE_3_In!H112</f>
        <v>151922.63866575123</v>
      </c>
      <c r="Q115" s="55">
        <f>+FEE_3_In!S112</f>
        <v>136640.07839283926</v>
      </c>
      <c r="R115" s="55">
        <f>+FEE_3_In!V112</f>
        <v>14625.920269401697</v>
      </c>
      <c r="S115" s="55">
        <f>+FEE_3_In!Y112</f>
        <v>656.64000351028449</v>
      </c>
      <c r="T115" s="55">
        <f>+FEE_4_In!H112</f>
        <v>142610.01368347279</v>
      </c>
      <c r="U115" s="55">
        <f>+FEE_4_In!S112</f>
        <v>118677.89569788607</v>
      </c>
      <c r="V115" s="55">
        <f>+FEE_4_In!V112</f>
        <v>23302.609851689729</v>
      </c>
      <c r="W115" s="55">
        <f>+FEE_4_In!Y112</f>
        <v>629.50813389700841</v>
      </c>
      <c r="X115" s="55">
        <f>FEE_1_In!$H112</f>
        <v>128407.59635178246</v>
      </c>
      <c r="Y115" s="55">
        <f>+FEE_1_Out!S112</f>
        <v>114558.50755325175</v>
      </c>
      <c r="Z115" s="55">
        <f>+FEE_1_Out!V112</f>
        <v>8718.3033073848401</v>
      </c>
      <c r="AA115" s="55">
        <f>+FEE_1_Out!Y112</f>
        <v>1612.6081861133864</v>
      </c>
      <c r="AB115" s="55">
        <f>+FEE_2_Out!H112</f>
        <v>136853.38516726947</v>
      </c>
      <c r="AC115" s="55">
        <f>+FEE_2_Out!S112</f>
        <v>129436.50401647629</v>
      </c>
      <c r="AD115" s="55">
        <f>+FEE_2_Out!V112</f>
        <v>6378.5197724821319</v>
      </c>
      <c r="AE115" s="55">
        <f>+FEE_2_Out!Y112</f>
        <v>1038.3613783110659</v>
      </c>
      <c r="AF115" s="55">
        <f>+FEE_3_Out!H112</f>
        <v>147330.67400956151</v>
      </c>
      <c r="AG115" s="55">
        <f>+FEE_3_Out!S112</f>
        <v>143982.50974612159</v>
      </c>
      <c r="AH115" s="55">
        <f>+FEE_3_Out!V112</f>
        <v>2332.2058290594855</v>
      </c>
      <c r="AI115" s="55">
        <f>+FEE_3_Out!Y112</f>
        <v>1015.9584343804553</v>
      </c>
      <c r="AJ115" s="55">
        <f>+FEE_4_Out!H112</f>
        <v>158080.42145358029</v>
      </c>
      <c r="AK115" s="55">
        <f>+FEE_4_Out!S112</f>
        <v>148296.52455445859</v>
      </c>
      <c r="AL115" s="55">
        <f>+FEE_4_Out!V112</f>
        <v>9212.7652390104595</v>
      </c>
      <c r="AM115" s="55">
        <f>+FEE_4_Out!Y112</f>
        <v>571.13166011125043</v>
      </c>
    </row>
    <row r="116" spans="2:39" x14ac:dyDescent="0.25">
      <c r="B116" s="116">
        <f>ITE_LUC_Rates!A104</f>
        <v>857</v>
      </c>
      <c r="C116" s="117" t="str">
        <f>ITE_LUC_Rates!B104</f>
        <v>Discount Club</v>
      </c>
      <c r="D116" s="203" t="str">
        <f>ITE_LUC_Rates!C104</f>
        <v>1000 GSF</v>
      </c>
      <c r="E116" s="204">
        <f>ITE_LUC_Rates!G104</f>
        <v>41.8</v>
      </c>
      <c r="F116" s="118" t="s">
        <v>73</v>
      </c>
      <c r="G116" s="119">
        <f>ITE_LUC_Rates!Q104</f>
        <v>0</v>
      </c>
      <c r="H116" s="91">
        <f>FEE_1_In!$H113</f>
        <v>33150.138448528211</v>
      </c>
      <c r="I116" s="91">
        <f>+FEE_1_In!S113</f>
        <v>24349.302027398833</v>
      </c>
      <c r="J116" s="91">
        <f>+FEE_1_In!V113</f>
        <v>8280.5891469780436</v>
      </c>
      <c r="K116" s="91">
        <f>+FEE_1_In!Y113</f>
        <v>520.24727415133043</v>
      </c>
      <c r="L116" s="91">
        <f>+FEE_2_In!H113</f>
        <v>39428.962774217485</v>
      </c>
      <c r="M116" s="91">
        <f>+FEE_2_In!S113</f>
        <v>32697.927824906314</v>
      </c>
      <c r="N116" s="91">
        <f>+FEE_2_In!V113</f>
        <v>6452.2411116012372</v>
      </c>
      <c r="O116" s="55">
        <f>+FEE_2_In!Y113</f>
        <v>278.79383770993775</v>
      </c>
      <c r="P116" s="55">
        <f>+FEE_3_In!H113</f>
        <v>39220.861135334766</v>
      </c>
      <c r="Q116" s="55">
        <f>+FEE_3_In!S113</f>
        <v>35275.463796791897</v>
      </c>
      <c r="R116" s="55">
        <f>+FEE_3_In!V113</f>
        <v>3775.8769390832144</v>
      </c>
      <c r="S116" s="55">
        <f>+FEE_3_In!Y113</f>
        <v>169.52039945965251</v>
      </c>
      <c r="T116" s="55">
        <f>+FEE_4_In!H113</f>
        <v>36816.682439893688</v>
      </c>
      <c r="U116" s="55">
        <f>+FEE_4_In!S113</f>
        <v>30638.286090076024</v>
      </c>
      <c r="V116" s="55">
        <f>+FEE_4_In!V113</f>
        <v>6015.8804053871618</v>
      </c>
      <c r="W116" s="55">
        <f>+FEE_4_In!Y113</f>
        <v>162.51594443050084</v>
      </c>
      <c r="X116" s="55">
        <f>FEE_1_In!$H113</f>
        <v>33150.138448528211</v>
      </c>
      <c r="Y116" s="55">
        <f>+FEE_1_Out!S113</f>
        <v>29574.810943763485</v>
      </c>
      <c r="Z116" s="55">
        <f>+FEE_1_Out!V113</f>
        <v>2250.746606020844</v>
      </c>
      <c r="AA116" s="55">
        <f>+FEE_1_Out!Y113</f>
        <v>416.31637186351423</v>
      </c>
      <c r="AB116" s="55">
        <f>+FEE_2_Out!H113</f>
        <v>35330.531793587033</v>
      </c>
      <c r="AC116" s="55">
        <f>+FEE_2_Out!S113</f>
        <v>33415.764723798638</v>
      </c>
      <c r="AD116" s="55">
        <f>+FEE_2_Out!V113</f>
        <v>1646.7001919043566</v>
      </c>
      <c r="AE116" s="55">
        <f>+FEE_2_Out!Y113</f>
        <v>268.06687788404037</v>
      </c>
      <c r="AF116" s="55">
        <f>+FEE_3_Out!H113</f>
        <v>38035.384041858088</v>
      </c>
      <c r="AG116" s="55">
        <f>+FEE_3_Out!S113</f>
        <v>37171.010655587568</v>
      </c>
      <c r="AH116" s="55">
        <f>+FEE_3_Out!V113</f>
        <v>602.0901280013195</v>
      </c>
      <c r="AI116" s="55">
        <f>+FEE_3_Out!Y113</f>
        <v>262.28325826920241</v>
      </c>
      <c r="AJ116" s="55">
        <f>+FEE_4_Out!H113</f>
        <v>40810.575122295988</v>
      </c>
      <c r="AK116" s="55">
        <f>+FEE_4_Out!S113</f>
        <v>38284.731278264648</v>
      </c>
      <c r="AL116" s="55">
        <f>+FEE_4_Out!V113</f>
        <v>2378.3985670933821</v>
      </c>
      <c r="AM116" s="55">
        <f>+FEE_4_Out!Y113</f>
        <v>147.44527693795501</v>
      </c>
    </row>
    <row r="117" spans="2:39" x14ac:dyDescent="0.25">
      <c r="B117" s="116">
        <f>ITE_LUC_Rates!A105</f>
        <v>861</v>
      </c>
      <c r="C117" s="117" t="str">
        <f>ITE_LUC_Rates!B105</f>
        <v>Sporting Goods Superstore</v>
      </c>
      <c r="D117" s="203" t="str">
        <f>ITE_LUC_Rates!C105</f>
        <v>1000 GSF</v>
      </c>
      <c r="E117" s="204">
        <f>ITE_LUC_Rates!G105</f>
        <v>28.75</v>
      </c>
      <c r="F117" s="118" t="s">
        <v>73</v>
      </c>
      <c r="G117" s="119">
        <f>ITE_LUC_Rates!Q105</f>
        <v>0</v>
      </c>
      <c r="H117" s="91">
        <f>FEE_1_In!$H114</f>
        <v>22800.633502277175</v>
      </c>
      <c r="I117" s="91">
        <f>+FEE_1_In!S114</f>
        <v>16747.426633677427</v>
      </c>
      <c r="J117" s="91">
        <f>+FEE_1_In!V114</f>
        <v>5695.3812912827452</v>
      </c>
      <c r="K117" s="91">
        <f>+FEE_1_In!Y114</f>
        <v>357.82557731700348</v>
      </c>
      <c r="L117" s="91">
        <f>+FEE_2_In!H114</f>
        <v>27119.202865041938</v>
      </c>
      <c r="M117" s="91">
        <f>+FEE_2_In!S114</f>
        <v>22489.60346808748</v>
      </c>
      <c r="N117" s="91">
        <f>+FEE_2_In!V114</f>
        <v>4437.8452621659226</v>
      </c>
      <c r="O117" s="55">
        <f>+FEE_2_In!Y114</f>
        <v>191.75413478853372</v>
      </c>
      <c r="P117" s="55">
        <f>+FEE_3_In!H114</f>
        <v>26976.070756958721</v>
      </c>
      <c r="Q117" s="55">
        <f>+FEE_3_In!S114</f>
        <v>24262.430243008781</v>
      </c>
      <c r="R117" s="55">
        <f>+FEE_3_In!V114</f>
        <v>2597.0445454220671</v>
      </c>
      <c r="S117" s="55">
        <f>+FEE_3_In!Y114</f>
        <v>116.59596852787102</v>
      </c>
      <c r="T117" s="55">
        <f>+FEE_4_In!H114</f>
        <v>25322.478950883818</v>
      </c>
      <c r="U117" s="55">
        <f>+FEE_4_In!S114</f>
        <v>21072.983853820235</v>
      </c>
      <c r="V117" s="55">
        <f>+FEE_4_In!V114</f>
        <v>4137.7167860019354</v>
      </c>
      <c r="W117" s="55">
        <f>+FEE_4_In!Y114</f>
        <v>111.7783110616483</v>
      </c>
      <c r="X117" s="55">
        <f>FEE_1_In!$H114</f>
        <v>22800.633502277175</v>
      </c>
      <c r="Y117" s="55">
        <f>+FEE_1_Out!S114</f>
        <v>20341.526665866037</v>
      </c>
      <c r="Z117" s="55">
        <f>+FEE_1_Out!V114</f>
        <v>1548.061361796633</v>
      </c>
      <c r="AA117" s="55">
        <f>+FEE_1_Out!Y114</f>
        <v>286.34200217885245</v>
      </c>
      <c r="AB117" s="55">
        <f>+FEE_2_Out!H114</f>
        <v>24300.30595850783</v>
      </c>
      <c r="AC117" s="55">
        <f>+FEE_2_Out!S114</f>
        <v>22983.331000220354</v>
      </c>
      <c r="AD117" s="55">
        <f>+FEE_2_Out!V114</f>
        <v>1132.598816202159</v>
      </c>
      <c r="AE117" s="55">
        <f>+FEE_2_Out!Y114</f>
        <v>184.37614208531483</v>
      </c>
      <c r="AF117" s="55">
        <f>+FEE_3_Out!H114</f>
        <v>26160.700746493305</v>
      </c>
      <c r="AG117" s="55">
        <f>+FEE_3_Out!S114</f>
        <v>25566.185558568006</v>
      </c>
      <c r="AH117" s="55">
        <f>+FEE_3_Out!V114</f>
        <v>414.11701387650561</v>
      </c>
      <c r="AI117" s="55">
        <f>+FEE_3_Out!Y114</f>
        <v>180.39817404879349</v>
      </c>
      <c r="AJ117" s="55">
        <f>+FEE_4_Out!H114</f>
        <v>28069.474515933241</v>
      </c>
      <c r="AK117" s="55">
        <f>+FEE_4_Out!S114</f>
        <v>26332.201537083936</v>
      </c>
      <c r="AL117" s="55">
        <f>+FEE_4_Out!V114</f>
        <v>1635.8602584673383</v>
      </c>
      <c r="AM117" s="55">
        <f>+FEE_4_Out!Y114</f>
        <v>101.41272038196666</v>
      </c>
    </row>
    <row r="118" spans="2:39" x14ac:dyDescent="0.25">
      <c r="B118" s="51">
        <f>ITE_LUC_Rates!A106</f>
        <v>862</v>
      </c>
      <c r="C118" s="11" t="str">
        <f>ITE_LUC_Rates!B106</f>
        <v>Home Improvements Superstore</v>
      </c>
      <c r="D118" s="52" t="str">
        <f>ITE_LUC_Rates!C106</f>
        <v>1000 GSF</v>
      </c>
      <c r="E118" s="112">
        <f>ITE_LUC_Rates!G106</f>
        <v>30.74</v>
      </c>
      <c r="F118" s="53" t="s">
        <v>73</v>
      </c>
      <c r="G118" s="91">
        <f>ITE_LUC_Rates!Q106</f>
        <v>22273</v>
      </c>
      <c r="H118" s="91">
        <f>FEE_1_In!$H115</f>
        <v>24378.833873391311</v>
      </c>
      <c r="I118" s="91">
        <f>+FEE_1_In!S115</f>
        <v>17906.639816321531</v>
      </c>
      <c r="J118" s="91">
        <f>+FEE_1_In!V115</f>
        <v>6089.600726748924</v>
      </c>
      <c r="K118" s="91">
        <f>+FEE_1_In!Y115</f>
        <v>382.59333032085874</v>
      </c>
      <c r="L118" s="91">
        <f>+FEE_2_In!H115</f>
        <v>28996.32334161353</v>
      </c>
      <c r="M118" s="91">
        <f>+FEE_2_In!S115</f>
        <v>24046.275151617705</v>
      </c>
      <c r="N118" s="91">
        <f>+FEE_2_In!V115</f>
        <v>4745.0213342254065</v>
      </c>
      <c r="O118" s="55">
        <f>+FEE_2_In!Y115</f>
        <v>205.02685577041834</v>
      </c>
      <c r="P118" s="55">
        <f>+FEE_3_In!H115</f>
        <v>28843.284002396907</v>
      </c>
      <c r="Q118" s="55">
        <f>+FEE_3_In!S115</f>
        <v>25941.812371133565</v>
      </c>
      <c r="R118" s="55">
        <f>+FEE_3_In!V115</f>
        <v>2776.8051939573684</v>
      </c>
      <c r="S118" s="55">
        <f>+FEE_3_In!Y115</f>
        <v>124.66643730597411</v>
      </c>
      <c r="T118" s="55">
        <f>+FEE_4_In!H115</f>
        <v>27075.234885223257</v>
      </c>
      <c r="U118" s="55">
        <f>+FEE_4_In!S115</f>
        <v>22531.600823180313</v>
      </c>
      <c r="V118" s="55">
        <f>+FEE_4_In!V115</f>
        <v>4424.1187478851998</v>
      </c>
      <c r="W118" s="55">
        <f>+FEE_4_In!Y115</f>
        <v>119.51531415774154</v>
      </c>
      <c r="X118" s="55">
        <f>FEE_1_In!$H115</f>
        <v>24378.833873391311</v>
      </c>
      <c r="Y118" s="55">
        <f>+FEE_1_Out!S115</f>
        <v>21749.514076825111</v>
      </c>
      <c r="Z118" s="55">
        <f>+FEE_1_Out!V115</f>
        <v>1655.214130839252</v>
      </c>
      <c r="AA118" s="55">
        <f>+FEE_1_Out!Y115</f>
        <v>306.16184859053658</v>
      </c>
      <c r="AB118" s="55">
        <f>+FEE_2_Out!H115</f>
        <v>25982.309744853243</v>
      </c>
      <c r="AC118" s="55">
        <f>+FEE_2_Out!S115</f>
        <v>24574.177215539956</v>
      </c>
      <c r="AD118" s="55">
        <f>+FEE_2_Out!V115</f>
        <v>1210.9943516540652</v>
      </c>
      <c r="AE118" s="55">
        <f>+FEE_2_Out!Y115</f>
        <v>197.1381776592201</v>
      </c>
      <c r="AF118" s="55">
        <f>+FEE_3_Out!H115</f>
        <v>27971.476206859272</v>
      </c>
      <c r="AG118" s="55">
        <f>+FEE_3_Out!S115</f>
        <v>27335.810228534971</v>
      </c>
      <c r="AH118" s="55">
        <f>+FEE_3_Out!V115</f>
        <v>442.78111327178379</v>
      </c>
      <c r="AI118" s="55">
        <f>+FEE_3_Out!Y115</f>
        <v>192.88486505251873</v>
      </c>
      <c r="AJ118" s="55">
        <f>+FEE_4_Out!H115</f>
        <v>30012.37031721001</v>
      </c>
      <c r="AK118" s="55">
        <f>+FEE_4_Out!S115</f>
        <v>28154.84783478122</v>
      </c>
      <c r="AL118" s="55">
        <f>+FEE_4_Out!V115</f>
        <v>1749.0902380969037</v>
      </c>
      <c r="AM118" s="55">
        <f>+FEE_4_Out!Y115</f>
        <v>108.43224433188368</v>
      </c>
    </row>
    <row r="119" spans="2:39" x14ac:dyDescent="0.25">
      <c r="B119" s="116">
        <f>ITE_LUC_Rates!A107</f>
        <v>863</v>
      </c>
      <c r="C119" s="117" t="str">
        <f>ITE_LUC_Rates!B107</f>
        <v>Electronics Superstore</v>
      </c>
      <c r="D119" s="203" t="str">
        <f>ITE_LUC_Rates!C107</f>
        <v>1000 GSF</v>
      </c>
      <c r="E119" s="204">
        <f>ITE_LUC_Rates!G107</f>
        <v>41.05</v>
      </c>
      <c r="F119" s="118" t="s">
        <v>73</v>
      </c>
      <c r="G119" s="119">
        <f>ITE_LUC_Rates!Q107</f>
        <v>0</v>
      </c>
      <c r="H119" s="91">
        <f>FEE_1_In!$H116</f>
        <v>32555.339313686196</v>
      </c>
      <c r="I119" s="91">
        <f>+FEE_1_In!S116</f>
        <v>23912.412636955076</v>
      </c>
      <c r="J119" s="91">
        <f>+FEE_1_In!V116</f>
        <v>8132.013982857623</v>
      </c>
      <c r="K119" s="91">
        <f>+FEE_1_In!Y116</f>
        <v>510.91269387349541</v>
      </c>
      <c r="L119" s="91">
        <f>+FEE_2_In!H116</f>
        <v>38721.505308172913</v>
      </c>
      <c r="M119" s="91">
        <f>+FEE_2_In!S116</f>
        <v>32111.242517043156</v>
      </c>
      <c r="N119" s="91">
        <f>+FEE_2_In!V116</f>
        <v>6336.4712351969074</v>
      </c>
      <c r="O119" s="55">
        <f>+FEE_2_In!Y116</f>
        <v>273.79155593284554</v>
      </c>
      <c r="P119" s="55">
        <f>+FEE_3_In!H116</f>
        <v>38517.137550370615</v>
      </c>
      <c r="Q119" s="55">
        <f>+FEE_3_In!S116</f>
        <v>34642.530833930796</v>
      </c>
      <c r="R119" s="55">
        <f>+FEE_3_In!V116</f>
        <v>3708.1279509417691</v>
      </c>
      <c r="S119" s="55">
        <f>+FEE_3_In!Y116</f>
        <v>166.47876549805585</v>
      </c>
      <c r="T119" s="55">
        <f>+FEE_4_In!H116</f>
        <v>36156.09603247932</v>
      </c>
      <c r="U119" s="55">
        <f>+FEE_4_In!S116</f>
        <v>30088.556076498102</v>
      </c>
      <c r="V119" s="55">
        <f>+FEE_4_In!V116</f>
        <v>5907.9399674914575</v>
      </c>
      <c r="W119" s="55">
        <f>+FEE_4_In!Y116</f>
        <v>159.59998848976215</v>
      </c>
      <c r="X119" s="55">
        <f>FEE_1_In!$H116</f>
        <v>32555.339313686196</v>
      </c>
      <c r="Y119" s="55">
        <f>+FEE_1_Out!S116</f>
        <v>29044.162422045243</v>
      </c>
      <c r="Z119" s="55">
        <f>+FEE_1_Out!V116</f>
        <v>2210.362396582671</v>
      </c>
      <c r="AA119" s="55">
        <f>+FEE_1_Out!Y116</f>
        <v>408.84658050232679</v>
      </c>
      <c r="AB119" s="55">
        <f>+FEE_2_Out!H116</f>
        <v>34696.610768582475</v>
      </c>
      <c r="AC119" s="55">
        <f>+FEE_2_Out!S116</f>
        <v>32816.199567271149</v>
      </c>
      <c r="AD119" s="55">
        <f>+FEE_2_Out!V116</f>
        <v>1617.1541358295174</v>
      </c>
      <c r="AE119" s="55">
        <f>+FEE_2_Out!Y116</f>
        <v>263.25706548181472</v>
      </c>
      <c r="AF119" s="55">
        <f>+FEE_3_Out!H116</f>
        <v>37352.930978906094</v>
      </c>
      <c r="AG119" s="55">
        <f>+FEE_3_Out!S116</f>
        <v>36504.066684494486</v>
      </c>
      <c r="AH119" s="55">
        <f>+FEE_3_Out!V116</f>
        <v>591.28707546541068</v>
      </c>
      <c r="AI119" s="55">
        <f>+FEE_3_Out!Y116</f>
        <v>257.57721894619044</v>
      </c>
      <c r="AJ119" s="55">
        <f>+FEE_4_Out!H116</f>
        <v>40078.327961010771</v>
      </c>
      <c r="AK119" s="55">
        <f>+FEE_4_Out!S116</f>
        <v>37597.804281645069</v>
      </c>
      <c r="AL119" s="55">
        <f>+FEE_4_Out!V116</f>
        <v>2335.723951655104</v>
      </c>
      <c r="AM119" s="55">
        <f>+FEE_4_Out!Y116</f>
        <v>144.79972771059937</v>
      </c>
    </row>
    <row r="120" spans="2:39" x14ac:dyDescent="0.25">
      <c r="B120" s="116">
        <f>ITE_LUC_Rates!A108</f>
        <v>868</v>
      </c>
      <c r="C120" s="117" t="str">
        <f>ITE_LUC_Rates!B108</f>
        <v>Book Superstore</v>
      </c>
      <c r="D120" s="203" t="str">
        <f>ITE_LUC_Rates!C108</f>
        <v>1000 GSF</v>
      </c>
      <c r="E120" s="204">
        <f>ITE_LUC_Rates!G108</f>
        <v>143.6</v>
      </c>
      <c r="F120" s="118" t="s">
        <v>73</v>
      </c>
      <c r="G120" s="119">
        <f>ITE_LUC_Rates!Q108</f>
        <v>0</v>
      </c>
      <c r="H120" s="91">
        <f>FEE_1_In!$H117</f>
        <v>113884.20768441747</v>
      </c>
      <c r="I120" s="91">
        <f>+FEE_1_In!S117</f>
        <v>83649.755290298388</v>
      </c>
      <c r="J120" s="91">
        <f>+FEE_1_In!V117</f>
        <v>28447.19142358964</v>
      </c>
      <c r="K120" s="91">
        <f>+FEE_1_In!Y117</f>
        <v>1787.2609705294506</v>
      </c>
      <c r="L120" s="91">
        <f>+FEE_2_In!H117</f>
        <v>135454.52283200074</v>
      </c>
      <c r="M120" s="91">
        <f>+FEE_2_In!S117</f>
        <v>112330.68027886476</v>
      </c>
      <c r="N120" s="91">
        <f>+FEE_2_In!V117</f>
        <v>22166.072335548746</v>
      </c>
      <c r="O120" s="55">
        <f>+FEE_2_In!Y117</f>
        <v>957.77021758725027</v>
      </c>
      <c r="P120" s="55">
        <f>+FEE_3_In!H117</f>
        <v>134739.60906780077</v>
      </c>
      <c r="Q120" s="55">
        <f>+FEE_3_In!S117</f>
        <v>121185.56462247169</v>
      </c>
      <c r="R120" s="55">
        <f>+FEE_3_In!V117</f>
        <v>12971.672929482047</v>
      </c>
      <c r="S120" s="55">
        <f>+FEE_3_In!Y117</f>
        <v>582.37151584703588</v>
      </c>
      <c r="T120" s="55">
        <f>+FEE_4_In!H117</f>
        <v>126480.2774729362</v>
      </c>
      <c r="U120" s="55">
        <f>+FEE_4_In!S117</f>
        <v>105254.97326638557</v>
      </c>
      <c r="V120" s="55">
        <f>+FEE_4_In!V117</f>
        <v>20666.995842430537</v>
      </c>
      <c r="W120" s="55">
        <f>+FEE_4_In!Y117</f>
        <v>558.30836412009376</v>
      </c>
      <c r="X120" s="55">
        <f>FEE_1_In!$H117</f>
        <v>113884.20768441747</v>
      </c>
      <c r="Y120" s="55">
        <f>+FEE_1_Out!S117</f>
        <v>101601.50362498652</v>
      </c>
      <c r="Z120" s="55">
        <f>+FEE_1_Out!V117</f>
        <v>7732.2299670955299</v>
      </c>
      <c r="AA120" s="55">
        <f>+FEE_1_Out!Y117</f>
        <v>1430.216052622025</v>
      </c>
      <c r="AB120" s="55">
        <f>+FEE_2_Out!H117</f>
        <v>121374.74558753821</v>
      </c>
      <c r="AC120" s="55">
        <f>+FEE_2_Out!S117</f>
        <v>114796.74196979626</v>
      </c>
      <c r="AD120" s="55">
        <f>+FEE_2_Out!V117</f>
        <v>5657.0848697958272</v>
      </c>
      <c r="AE120" s="55">
        <f>+FEE_2_Out!Y117</f>
        <v>920.91874794612897</v>
      </c>
      <c r="AF120" s="55">
        <f>+FEE_3_Out!H117</f>
        <v>130667.01311987611</v>
      </c>
      <c r="AG120" s="55">
        <f>+FEE_3_Out!S117</f>
        <v>127697.5389986214</v>
      </c>
      <c r="AH120" s="55">
        <f>+FEE_3_Out!V117</f>
        <v>2068.4244588753463</v>
      </c>
      <c r="AI120" s="55">
        <f>+FEE_3_Out!Y117</f>
        <v>901.04966237936526</v>
      </c>
      <c r="AJ120" s="55">
        <f>+FEE_4_Out!H117</f>
        <v>140200.92314740914</v>
      </c>
      <c r="AK120" s="55">
        <f>+FEE_4_Out!S117</f>
        <v>131523.62228609575</v>
      </c>
      <c r="AL120" s="55">
        <f>+FEE_4_Out!V117</f>
        <v>8170.7663692490351</v>
      </c>
      <c r="AM120" s="55">
        <f>+FEE_4_Out!Y117</f>
        <v>506.53449206436215</v>
      </c>
    </row>
    <row r="121" spans="2:39" x14ac:dyDescent="0.25">
      <c r="B121" s="116">
        <f>ITE_LUC_Rates!A109</f>
        <v>869</v>
      </c>
      <c r="C121" s="117" t="str">
        <f>ITE_LUC_Rates!B109</f>
        <v>Discount Home Furnishing Superstore</v>
      </c>
      <c r="D121" s="203" t="str">
        <f>ITE_LUC_Rates!C109</f>
        <v>1000 GSF</v>
      </c>
      <c r="E121" s="204">
        <f>ITE_LUC_Rates!G109</f>
        <v>20</v>
      </c>
      <c r="F121" s="118" t="s">
        <v>73</v>
      </c>
      <c r="G121" s="119">
        <f>ITE_LUC_Rates!Q109</f>
        <v>0</v>
      </c>
      <c r="H121" s="91">
        <f>FEE_1_In!$H118</f>
        <v>15861.31026245369</v>
      </c>
      <c r="I121" s="91">
        <f>+FEE_1_In!S118</f>
        <v>11650.383745166908</v>
      </c>
      <c r="J121" s="91">
        <f>+FEE_1_In!V118</f>
        <v>3962.0043765445184</v>
      </c>
      <c r="K121" s="91">
        <f>+FEE_1_In!Y118</f>
        <v>248.92214074226337</v>
      </c>
      <c r="L121" s="91">
        <f>+FEE_2_In!H118</f>
        <v>18865.532427855262</v>
      </c>
      <c r="M121" s="91">
        <f>+FEE_2_In!S118</f>
        <v>15644.941543017378</v>
      </c>
      <c r="N121" s="91">
        <f>+FEE_2_In!V118</f>
        <v>3087.1967041154244</v>
      </c>
      <c r="O121" s="55">
        <f>+FEE_2_In!Y118</f>
        <v>133.39418072245826</v>
      </c>
      <c r="P121" s="55">
        <f>+FEE_3_In!H118</f>
        <v>18765.962265710416</v>
      </c>
      <c r="Q121" s="55">
        <f>+FEE_3_In!S118</f>
        <v>16878.212342962634</v>
      </c>
      <c r="R121" s="55">
        <f>+FEE_3_In!V118</f>
        <v>1806.6396837718728</v>
      </c>
      <c r="S121" s="55">
        <f>+FEE_3_In!Y118</f>
        <v>81.110238975910306</v>
      </c>
      <c r="T121" s="55">
        <f>+FEE_4_In!H118</f>
        <v>17615.637531049611</v>
      </c>
      <c r="U121" s="55">
        <f>+FEE_4_In!S118</f>
        <v>14659.467028744511</v>
      </c>
      <c r="V121" s="55">
        <f>+FEE_4_In!V118</f>
        <v>2878.4116772187376</v>
      </c>
      <c r="W121" s="55">
        <f>+FEE_4_In!Y118</f>
        <v>77.758825086364055</v>
      </c>
      <c r="X121" s="55">
        <f>FEE_1_In!$H118</f>
        <v>15861.31026245369</v>
      </c>
      <c r="Y121" s="55">
        <f>+FEE_1_Out!S118</f>
        <v>14150.627245819853</v>
      </c>
      <c r="Z121" s="55">
        <f>+FEE_1_Out!V118</f>
        <v>1076.9122516846144</v>
      </c>
      <c r="AA121" s="55">
        <f>+FEE_1_Out!Y118</f>
        <v>199.19443629833216</v>
      </c>
      <c r="AB121" s="55">
        <f>+FEE_2_Out!H118</f>
        <v>16904.560666788053</v>
      </c>
      <c r="AC121" s="55">
        <f>+FEE_2_Out!S118</f>
        <v>15988.404174066334</v>
      </c>
      <c r="AD121" s="55">
        <f>+FEE_2_Out!V118</f>
        <v>787.89482866237154</v>
      </c>
      <c r="AE121" s="55">
        <f>+FEE_2_Out!Y118</f>
        <v>128.26166405934947</v>
      </c>
      <c r="AF121" s="55">
        <f>+FEE_3_Out!H118</f>
        <v>18198.748345386652</v>
      </c>
      <c r="AG121" s="55">
        <f>+FEE_3_Out!S118</f>
        <v>17785.172562482094</v>
      </c>
      <c r="AH121" s="55">
        <f>+FEE_3_Out!V118</f>
        <v>288.08140095756914</v>
      </c>
      <c r="AI121" s="55">
        <f>+FEE_3_Out!Y118</f>
        <v>125.49438194698681</v>
      </c>
      <c r="AJ121" s="55">
        <f>+FEE_4_Out!H118</f>
        <v>19526.590967605734</v>
      </c>
      <c r="AK121" s="55">
        <f>+FEE_4_Out!S118</f>
        <v>18318.053243188828</v>
      </c>
      <c r="AL121" s="55">
        <f>+FEE_4_Out!V118</f>
        <v>1137.9897450207573</v>
      </c>
      <c r="AM121" s="55">
        <f>+FEE_4_Out!Y118</f>
        <v>70.547979396150737</v>
      </c>
    </row>
    <row r="122" spans="2:39" x14ac:dyDescent="0.25">
      <c r="B122" s="51">
        <f>ITE_LUC_Rates!A110</f>
        <v>875</v>
      </c>
      <c r="C122" s="11" t="str">
        <f>ITE_LUC_Rates!B110</f>
        <v>Department Store (free standing)</v>
      </c>
      <c r="D122" s="52" t="str">
        <f>ITE_LUC_Rates!C110</f>
        <v>1000 GSF</v>
      </c>
      <c r="E122" s="112">
        <f>ITE_LUC_Rates!G110</f>
        <v>22.88</v>
      </c>
      <c r="F122" s="53" t="s">
        <v>73</v>
      </c>
      <c r="G122" s="91">
        <f>ITE_LUC_Rates!Q110</f>
        <v>9283</v>
      </c>
      <c r="H122" s="91">
        <f>FEE_1_In!$H119</f>
        <v>18145.338940247017</v>
      </c>
      <c r="I122" s="91">
        <f>+FEE_1_In!S119</f>
        <v>13328.039004470938</v>
      </c>
      <c r="J122" s="91">
        <f>+FEE_1_In!V119</f>
        <v>4532.5330067669283</v>
      </c>
      <c r="K122" s="91">
        <f>+FEE_1_In!Y119</f>
        <v>284.76692900914924</v>
      </c>
      <c r="L122" s="91">
        <f>+FEE_2_In!H119</f>
        <v>21582.169097466416</v>
      </c>
      <c r="M122" s="91">
        <f>+FEE_2_In!S119</f>
        <v>17897.813125211876</v>
      </c>
      <c r="N122" s="91">
        <f>+FEE_2_In!V119</f>
        <v>3531.7530295080455</v>
      </c>
      <c r="O122" s="55">
        <f>+FEE_2_In!Y119</f>
        <v>152.6029427464922</v>
      </c>
      <c r="P122" s="55">
        <f>+FEE_3_In!H119</f>
        <v>21468.260831972711</v>
      </c>
      <c r="Q122" s="55">
        <f>+FEE_3_In!S119</f>
        <v>19308.674920349247</v>
      </c>
      <c r="R122" s="55">
        <f>+FEE_3_In!V119</f>
        <v>2066.7957982350222</v>
      </c>
      <c r="S122" s="55">
        <f>+FEE_3_In!Y119</f>
        <v>92.79011338844137</v>
      </c>
      <c r="T122" s="55">
        <f>+FEE_4_In!H119</f>
        <v>20152.289335520756</v>
      </c>
      <c r="U122" s="55">
        <f>+FEE_4_In!S119</f>
        <v>16770.43028088372</v>
      </c>
      <c r="V122" s="55">
        <f>+FEE_4_In!V119</f>
        <v>3292.9029587382356</v>
      </c>
      <c r="W122" s="55">
        <f>+FEE_4_In!Y119</f>
        <v>88.956095898800456</v>
      </c>
      <c r="X122" s="55">
        <f>FEE_1_In!$H119</f>
        <v>18145.338940247017</v>
      </c>
      <c r="Y122" s="55">
        <f>+FEE_1_Out!S119</f>
        <v>16188.317569217908</v>
      </c>
      <c r="Z122" s="55">
        <f>+FEE_1_Out!V119</f>
        <v>1231.9876159271989</v>
      </c>
      <c r="AA122" s="55">
        <f>+FEE_1_Out!Y119</f>
        <v>227.87843512529199</v>
      </c>
      <c r="AB122" s="55">
        <f>+FEE_2_Out!H119</f>
        <v>19338.817402805533</v>
      </c>
      <c r="AC122" s="55">
        <f>+FEE_2_Out!S119</f>
        <v>18290.734375131884</v>
      </c>
      <c r="AD122" s="55">
        <f>+FEE_2_Out!V119</f>
        <v>901.35168398975304</v>
      </c>
      <c r="AE122" s="55">
        <f>+FEE_2_Out!Y119</f>
        <v>146.73134368389577</v>
      </c>
      <c r="AF122" s="55">
        <f>+FEE_3_Out!H119</f>
        <v>20819.368107122325</v>
      </c>
      <c r="AG122" s="55">
        <f>+FEE_3_Out!S119</f>
        <v>20346.237411479513</v>
      </c>
      <c r="AH122" s="55">
        <f>+FEE_3_Out!V119</f>
        <v>329.56512269545908</v>
      </c>
      <c r="AI122" s="55">
        <f>+FEE_3_Out!Y119</f>
        <v>143.5655729473529</v>
      </c>
      <c r="AJ122" s="55">
        <f>+FEE_4_Out!H119</f>
        <v>22338.420066940958</v>
      </c>
      <c r="AK122" s="55">
        <f>+FEE_4_Out!S119</f>
        <v>20955.852910208017</v>
      </c>
      <c r="AL122" s="55">
        <f>+FEE_4_Out!V119</f>
        <v>1301.8602683037461</v>
      </c>
      <c r="AM122" s="55">
        <f>+FEE_4_Out!Y119</f>
        <v>80.706888429196425</v>
      </c>
    </row>
    <row r="123" spans="2:39" x14ac:dyDescent="0.25">
      <c r="B123" s="116">
        <f>ITE_LUC_Rates!A111</f>
        <v>876</v>
      </c>
      <c r="C123" s="117" t="str">
        <f>ITE_LUC_Rates!B111</f>
        <v>Apparel Store</v>
      </c>
      <c r="D123" s="203" t="str">
        <f>ITE_LUC_Rates!C111</f>
        <v>1000 GSF</v>
      </c>
      <c r="E123" s="204">
        <f>ITE_LUC_Rates!G111</f>
        <v>66.400000000000006</v>
      </c>
      <c r="F123" s="118" t="s">
        <v>73</v>
      </c>
      <c r="G123" s="119">
        <f>ITE_LUC_Rates!Q111</f>
        <v>0</v>
      </c>
      <c r="H123" s="91">
        <f>FEE_1_In!$H120</f>
        <v>52659.550071346253</v>
      </c>
      <c r="I123" s="91">
        <f>+FEE_1_In!S120</f>
        <v>38679.274033954134</v>
      </c>
      <c r="J123" s="91">
        <f>+FEE_1_In!V120</f>
        <v>13153.854530127803</v>
      </c>
      <c r="K123" s="91">
        <f>+FEE_1_In!Y120</f>
        <v>826.4215072643143</v>
      </c>
      <c r="L123" s="91">
        <f>+FEE_2_In!H120</f>
        <v>62633.567660479457</v>
      </c>
      <c r="M123" s="91">
        <f>+FEE_2_In!S120</f>
        <v>51941.205922817688</v>
      </c>
      <c r="N123" s="91">
        <f>+FEE_2_In!V120</f>
        <v>10249.49305766321</v>
      </c>
      <c r="O123" s="55">
        <f>+FEE_2_In!Y120</f>
        <v>442.86867999856145</v>
      </c>
      <c r="P123" s="55">
        <f>+FEE_3_In!H120</f>
        <v>62302.994722158583</v>
      </c>
      <c r="Q123" s="55">
        <f>+FEE_3_In!S120</f>
        <v>56035.664978635941</v>
      </c>
      <c r="R123" s="55">
        <f>+FEE_3_In!V120</f>
        <v>5998.0437501226179</v>
      </c>
      <c r="S123" s="55">
        <f>+FEE_3_In!Y120</f>
        <v>269.28599340002216</v>
      </c>
      <c r="T123" s="55">
        <f>+FEE_4_In!H120</f>
        <v>58483.916603084719</v>
      </c>
      <c r="U123" s="55">
        <f>+FEE_4_In!S120</f>
        <v>48669.430535431777</v>
      </c>
      <c r="V123" s="55">
        <f>+FEE_4_In!V120</f>
        <v>9556.3267683662107</v>
      </c>
      <c r="W123" s="55">
        <f>+FEE_4_In!Y120</f>
        <v>258.15929928672864</v>
      </c>
      <c r="X123" s="55">
        <f>FEE_1_In!$H120</f>
        <v>52659.550071346253</v>
      </c>
      <c r="Y123" s="55">
        <f>+FEE_1_Out!S120</f>
        <v>46980.082456121905</v>
      </c>
      <c r="Z123" s="55">
        <f>+FEE_1_Out!V120</f>
        <v>3575.3486755929198</v>
      </c>
      <c r="AA123" s="55">
        <f>+FEE_1_Out!Y120</f>
        <v>661.32552851046285</v>
      </c>
      <c r="AB123" s="55">
        <f>+FEE_2_Out!H120</f>
        <v>56123.141413736346</v>
      </c>
      <c r="AC123" s="55">
        <f>+FEE_2_Out!S120</f>
        <v>53081.501857900228</v>
      </c>
      <c r="AD123" s="55">
        <f>+FEE_2_Out!V120</f>
        <v>2615.8108311590736</v>
      </c>
      <c r="AE123" s="55">
        <f>+FEE_2_Out!Y120</f>
        <v>425.82872467704021</v>
      </c>
      <c r="AF123" s="55">
        <f>+FEE_3_Out!H120</f>
        <v>60419.844506683672</v>
      </c>
      <c r="AG123" s="55">
        <f>+FEE_3_Out!S120</f>
        <v>59046.772907440543</v>
      </c>
      <c r="AH123" s="55">
        <f>+FEE_3_Out!V120</f>
        <v>956.43025117912953</v>
      </c>
      <c r="AI123" s="55">
        <f>+FEE_3_Out!Y120</f>
        <v>416.64134806399625</v>
      </c>
      <c r="AJ123" s="55">
        <f>+FEE_4_Out!H120</f>
        <v>64828.282012451033</v>
      </c>
      <c r="AK123" s="55">
        <f>+FEE_4_Out!S120</f>
        <v>60815.936767386898</v>
      </c>
      <c r="AL123" s="55">
        <f>+FEE_4_Out!V120</f>
        <v>3778.1259534689138</v>
      </c>
      <c r="AM123" s="55">
        <f>+FEE_4_Out!Y120</f>
        <v>234.21929159522045</v>
      </c>
    </row>
    <row r="124" spans="2:39" x14ac:dyDescent="0.25">
      <c r="B124" s="116">
        <f>ITE_LUC_Rates!A112</f>
        <v>879</v>
      </c>
      <c r="C124" s="117" t="str">
        <f>ITE_LUC_Rates!B112</f>
        <v>Arts &amp; Crafts Store</v>
      </c>
      <c r="D124" s="203" t="str">
        <f>ITE_LUC_Rates!C112</f>
        <v>1000 GSF</v>
      </c>
      <c r="E124" s="204">
        <f>ITE_LUC_Rates!G112</f>
        <v>56.55</v>
      </c>
      <c r="F124" s="118" t="s">
        <v>73</v>
      </c>
      <c r="G124" s="119">
        <f>ITE_LUC_Rates!Q112</f>
        <v>0</v>
      </c>
      <c r="H124" s="91">
        <f>FEE_1_In!$H121</f>
        <v>44847.854767087796</v>
      </c>
      <c r="I124" s="91">
        <f>+FEE_1_In!S121</f>
        <v>32941.460039459424</v>
      </c>
      <c r="J124" s="91">
        <f>+FEE_1_In!V121</f>
        <v>11202.567374679626</v>
      </c>
      <c r="K124" s="91">
        <f>+FEE_1_In!Y121</f>
        <v>703.82735294874954</v>
      </c>
      <c r="L124" s="91">
        <f>+FEE_2_In!H121</f>
        <v>53342.292939760751</v>
      </c>
      <c r="M124" s="91">
        <f>+FEE_2_In!S121</f>
        <v>44236.072212881634</v>
      </c>
      <c r="N124" s="91">
        <f>+FEE_2_In!V121</f>
        <v>8729.0486808863625</v>
      </c>
      <c r="O124" s="55">
        <f>+FEE_2_In!Y121</f>
        <v>377.17204599275072</v>
      </c>
      <c r="P124" s="55">
        <f>+FEE_3_In!H121</f>
        <v>53060.758306296193</v>
      </c>
      <c r="Q124" s="55">
        <f>+FEE_3_In!S121</f>
        <v>47723.145399726833</v>
      </c>
      <c r="R124" s="55">
        <f>+FEE_3_In!V121</f>
        <v>5108.27370586497</v>
      </c>
      <c r="S124" s="55">
        <f>+FEE_3_In!Y121</f>
        <v>229.33920070438634</v>
      </c>
      <c r="T124" s="55">
        <f>+FEE_4_In!H121</f>
        <v>49808.215119042783</v>
      </c>
      <c r="U124" s="55">
        <f>+FEE_4_In!S121</f>
        <v>41449.643023775105</v>
      </c>
      <c r="V124" s="55">
        <f>+FEE_4_In!V121</f>
        <v>8138.7090173359802</v>
      </c>
      <c r="W124" s="55">
        <f>+FEE_4_In!Y121</f>
        <v>219.86307793169431</v>
      </c>
      <c r="X124" s="55">
        <f>FEE_1_In!$H121</f>
        <v>44847.854767087796</v>
      </c>
      <c r="Y124" s="55">
        <f>+FEE_1_Out!S121</f>
        <v>40010.898537555629</v>
      </c>
      <c r="Z124" s="55">
        <f>+FEE_1_Out!V121</f>
        <v>3044.9693916382466</v>
      </c>
      <c r="AA124" s="55">
        <f>+FEE_1_Out!Y121</f>
        <v>563.2222686335341</v>
      </c>
      <c r="AB124" s="55">
        <f>+FEE_2_Out!H121</f>
        <v>47797.645285343213</v>
      </c>
      <c r="AC124" s="55">
        <f>+FEE_2_Out!S121</f>
        <v>45207.212802172551</v>
      </c>
      <c r="AD124" s="55">
        <f>+FEE_2_Out!V121</f>
        <v>2227.7726280428556</v>
      </c>
      <c r="AE124" s="55">
        <f>+FEE_2_Out!Y121</f>
        <v>362.65985512781054</v>
      </c>
      <c r="AF124" s="55">
        <f>+FEE_3_Out!H121</f>
        <v>51456.960946580744</v>
      </c>
      <c r="AG124" s="55">
        <f>+FEE_3_Out!S121</f>
        <v>50287.575420418114</v>
      </c>
      <c r="AH124" s="55">
        <f>+FEE_3_Out!V121</f>
        <v>814.55016120752668</v>
      </c>
      <c r="AI124" s="55">
        <f>+FEE_3_Out!Y121</f>
        <v>354.83536495510521</v>
      </c>
      <c r="AJ124" s="55">
        <f>+FEE_4_Out!H121</f>
        <v>55211.435960905212</v>
      </c>
      <c r="AK124" s="55">
        <f>+FEE_4_Out!S121</f>
        <v>51794.295545116402</v>
      </c>
      <c r="AL124" s="55">
        <f>+FEE_4_Out!V121</f>
        <v>3217.6660040461907</v>
      </c>
      <c r="AM124" s="55">
        <f>+FEE_4_Out!Y121</f>
        <v>199.47441174261621</v>
      </c>
    </row>
    <row r="125" spans="2:39" x14ac:dyDescent="0.25">
      <c r="B125" s="51">
        <f>ITE_LUC_Rates!A113</f>
        <v>880</v>
      </c>
      <c r="C125" s="11" t="str">
        <f>ITE_LUC_Rates!B113</f>
        <v>Pharmacy/Drugstore w/o Drive-Thru</v>
      </c>
      <c r="D125" s="52" t="str">
        <f>ITE_LUC_Rates!C113</f>
        <v>1000 GSF</v>
      </c>
      <c r="E125" s="112">
        <f>ITE_LUC_Rates!G113</f>
        <v>90.08</v>
      </c>
      <c r="F125" s="53" t="s">
        <v>73</v>
      </c>
      <c r="G125" s="91">
        <f>ITE_LUC_Rates!Q113</f>
        <v>11136.5</v>
      </c>
      <c r="H125" s="91">
        <f>FEE_1_In!$H122</f>
        <v>8461.7173161537103</v>
      </c>
      <c r="I125" s="91">
        <f>+FEE_1_In!S122</f>
        <v>6215.2654632621889</v>
      </c>
      <c r="J125" s="91">
        <f>+FEE_1_In!V122</f>
        <v>2113.6564687876726</v>
      </c>
      <c r="K125" s="91">
        <f>+FEE_1_In!Y122</f>
        <v>132.79538410384905</v>
      </c>
      <c r="L125" s="91">
        <f>+FEE_2_In!H122</f>
        <v>10064.414590081111</v>
      </c>
      <c r="M125" s="91">
        <f>+FEE_2_In!S122</f>
        <v>8346.2885836194127</v>
      </c>
      <c r="N125" s="91">
        <f>+FEE_2_In!V122</f>
        <v>1646.9626643281497</v>
      </c>
      <c r="O125" s="55">
        <f>+FEE_2_In!Y122</f>
        <v>71.163342133548923</v>
      </c>
      <c r="P125" s="55">
        <f>+FEE_3_In!H122</f>
        <v>10011.295739793713</v>
      </c>
      <c r="Q125" s="55">
        <f>+FEE_3_In!S122</f>
        <v>9004.2158740341438</v>
      </c>
      <c r="R125" s="55">
        <f>+FEE_3_In!V122</f>
        <v>963.80904498226687</v>
      </c>
      <c r="S125" s="55">
        <f>+FEE_3_In!Y122</f>
        <v>43.270820777302696</v>
      </c>
      <c r="T125" s="55">
        <f>+FEE_4_In!H122</f>
        <v>9397.6186497288054</v>
      </c>
      <c r="U125" s="55">
        <f>+FEE_4_In!S122</f>
        <v>7820.5560543346046</v>
      </c>
      <c r="V125" s="55">
        <f>+FEE_4_In!V122</f>
        <v>1535.5796922903771</v>
      </c>
      <c r="W125" s="55">
        <f>+FEE_4_In!Y122</f>
        <v>41.482903103823908</v>
      </c>
      <c r="X125" s="55">
        <f>FEE_1_In!$H122</f>
        <v>8461.7173161537103</v>
      </c>
      <c r="Y125" s="55">
        <f>+FEE_1_Out!S122</f>
        <v>7549.099388329294</v>
      </c>
      <c r="Z125" s="55">
        <f>+FEE_1_Out!V122</f>
        <v>574.51288054232327</v>
      </c>
      <c r="AA125" s="55">
        <f>+FEE_1_Out!Y122</f>
        <v>106.26656833622327</v>
      </c>
      <c r="AB125" s="55">
        <f>+FEE_2_Out!H122</f>
        <v>9018.2722202171572</v>
      </c>
      <c r="AC125" s="55">
        <f>+FEE_2_Out!S122</f>
        <v>8529.519580586817</v>
      </c>
      <c r="AD125" s="55">
        <f>+FEE_2_Out!V122</f>
        <v>420.32740074331019</v>
      </c>
      <c r="AE125" s="55">
        <f>+FEE_2_Out!Y122</f>
        <v>68.425238887029565</v>
      </c>
      <c r="AF125" s="55">
        <f>+FEE_3_Out!H122</f>
        <v>9708.697545057652</v>
      </c>
      <c r="AG125" s="55">
        <f>+FEE_3_Out!S122</f>
        <v>9488.0624710417724</v>
      </c>
      <c r="AH125" s="55">
        <f>+FEE_3_Out!V122</f>
        <v>153.68612924209862</v>
      </c>
      <c r="AI125" s="55">
        <f>+FEE_3_Out!Y122</f>
        <v>66.948944773781506</v>
      </c>
      <c r="AJ125" s="55">
        <f>+FEE_4_Out!H122</f>
        <v>10417.077163364171</v>
      </c>
      <c r="AK125" s="55">
        <f>+FEE_4_Out!S122</f>
        <v>9772.3445138723509</v>
      </c>
      <c r="AL125" s="55">
        <f>+FEE_4_Out!V122</f>
        <v>607.09659994746607</v>
      </c>
      <c r="AM125" s="55">
        <f>+FEE_4_Out!Y122</f>
        <v>37.636049544353135</v>
      </c>
    </row>
    <row r="126" spans="2:39" x14ac:dyDescent="0.25">
      <c r="B126" s="51">
        <f>ITE_LUC_Rates!A114</f>
        <v>881</v>
      </c>
      <c r="C126" s="11" t="str">
        <f>ITE_LUC_Rates!B114</f>
        <v>Pharmacy/Drugstore w/ Drive-Thru</v>
      </c>
      <c r="D126" s="52" t="str">
        <f>ITE_LUC_Rates!C114</f>
        <v>1000 GSF</v>
      </c>
      <c r="E126" s="112">
        <f>ITE_LUC_Rates!G114</f>
        <v>109.16</v>
      </c>
      <c r="F126" s="53" t="s">
        <v>73</v>
      </c>
      <c r="G126" s="91">
        <f>ITE_LUC_Rates!Q114</f>
        <v>11984.3</v>
      </c>
      <c r="H126" s="91">
        <f>FEE_1_In!$H123</f>
        <v>10254.008239690709</v>
      </c>
      <c r="I126" s="91">
        <f>+FEE_1_In!S123</f>
        <v>7531.7315493972073</v>
      </c>
      <c r="J126" s="91">
        <f>+FEE_1_In!V123</f>
        <v>2561.353687087726</v>
      </c>
      <c r="K126" s="91">
        <f>+FEE_1_In!Y123</f>
        <v>160.92300320577448</v>
      </c>
      <c r="L126" s="91">
        <f>+FEE_2_In!H123</f>
        <v>12196.175584516586</v>
      </c>
      <c r="M126" s="91">
        <f>+FEE_2_In!S123</f>
        <v>10114.130348444662</v>
      </c>
      <c r="N126" s="91">
        <f>+FEE_2_In!V123</f>
        <v>1995.8086638328243</v>
      </c>
      <c r="O126" s="55">
        <f>+FEE_2_In!Y123</f>
        <v>86.236572239100795</v>
      </c>
      <c r="P126" s="55">
        <f>+FEE_3_In!H123</f>
        <v>12131.80553903066</v>
      </c>
      <c r="Q126" s="55">
        <f>+FEE_3_In!S123</f>
        <v>10911.414351793597</v>
      </c>
      <c r="R126" s="55">
        <f>+FEE_3_In!V123</f>
        <v>1167.9550993590615</v>
      </c>
      <c r="S126" s="55">
        <f>+FEE_3_In!Y123</f>
        <v>52.436087878001373</v>
      </c>
      <c r="T126" s="55">
        <f>+FEE_4_In!H123</f>
        <v>11388.144447206889</v>
      </c>
      <c r="U126" s="55">
        <f>+FEE_4_In!S123</f>
        <v>9477.0415063406472</v>
      </c>
      <c r="V126" s="55">
        <f>+FEE_4_In!V123</f>
        <v>1860.8334725845646</v>
      </c>
      <c r="W126" s="55">
        <f>+FEE_4_In!Y123</f>
        <v>50.269468281676488</v>
      </c>
      <c r="X126" s="55">
        <f>FEE_1_In!$H123</f>
        <v>10254.008239690709</v>
      </c>
      <c r="Y126" s="55">
        <f>+FEE_1_Out!S123</f>
        <v>9148.0871362125436</v>
      </c>
      <c r="Z126" s="55">
        <f>+FEE_1_Out!V123</f>
        <v>696.20144360568406</v>
      </c>
      <c r="AA126" s="55">
        <f>+FEE_1_Out!Y123</f>
        <v>128.77507326356721</v>
      </c>
      <c r="AB126" s="55">
        <f>+FEE_2_Out!H123</f>
        <v>10928.447996879491</v>
      </c>
      <c r="AC126" s="55">
        <f>+FEE_2_Out!S123</f>
        <v>10336.17181857079</v>
      </c>
      <c r="AD126" s="55">
        <f>+FEE_2_Out!V123</f>
        <v>509.35767168227954</v>
      </c>
      <c r="AE126" s="55">
        <f>+FEE_2_Out!Y123</f>
        <v>82.918506626422598</v>
      </c>
      <c r="AF126" s="55">
        <f>+FEE_3_Out!H123</f>
        <v>11765.113499317198</v>
      </c>
      <c r="AG126" s="55">
        <f>+FEE_3_Out!S123</f>
        <v>11497.745330138985</v>
      </c>
      <c r="AH126" s="55">
        <f>+FEE_3_Out!V123</f>
        <v>186.23865306469236</v>
      </c>
      <c r="AI126" s="55">
        <f>+FEE_3_Out!Y123</f>
        <v>81.129516113521177</v>
      </c>
      <c r="AJ126" s="55">
        <f>+FEE_4_Out!H123</f>
        <v>12623.536225053649</v>
      </c>
      <c r="AK126" s="55">
        <f>+FEE_4_Out!S123</f>
        <v>11842.241642254727</v>
      </c>
      <c r="AL126" s="55">
        <f>+FEE_4_Out!V123</f>
        <v>735.68677675694266</v>
      </c>
      <c r="AM126" s="55">
        <f>+FEE_4_Out!Y123</f>
        <v>45.607806041980325</v>
      </c>
    </row>
    <row r="127" spans="2:39" x14ac:dyDescent="0.25">
      <c r="B127" s="116">
        <f>ITE_LUC_Rates!A115</f>
        <v>882</v>
      </c>
      <c r="C127" s="117" t="str">
        <f>ITE_LUC_Rates!B115</f>
        <v>Marijuana Dispensary</v>
      </c>
      <c r="D127" s="203" t="str">
        <f>ITE_LUC_Rates!C115</f>
        <v>1000 GSF</v>
      </c>
      <c r="E127" s="204">
        <f>ITE_LUC_Rates!G115</f>
        <v>252.7</v>
      </c>
      <c r="F127" s="118" t="s">
        <v>73</v>
      </c>
      <c r="G127" s="119">
        <f>ITE_LUC_Rates!Q115</f>
        <v>0</v>
      </c>
      <c r="H127" s="91">
        <f>FEE_1_In!$H124</f>
        <v>200407.65516610234</v>
      </c>
      <c r="I127" s="91">
        <f>+FEE_1_In!S124</f>
        <v>147202.59862018385</v>
      </c>
      <c r="J127" s="91">
        <f>+FEE_1_In!V124</f>
        <v>50059.925297639988</v>
      </c>
      <c r="K127" s="91">
        <f>+FEE_1_In!Y124</f>
        <v>3145.1312482784965</v>
      </c>
      <c r="L127" s="91">
        <f>+FEE_2_In!H124</f>
        <v>238366.00222595115</v>
      </c>
      <c r="M127" s="91">
        <f>+FEE_2_In!S124</f>
        <v>197673.8363960245</v>
      </c>
      <c r="N127" s="91">
        <f>+FEE_2_In!V124</f>
        <v>39006.730356498381</v>
      </c>
      <c r="O127" s="55">
        <f>+FEE_2_In!Y124</f>
        <v>1685.4354734282599</v>
      </c>
      <c r="P127" s="55">
        <f>+FEE_3_In!H124</f>
        <v>237107.93322725108</v>
      </c>
      <c r="Q127" s="55">
        <f>+FEE_3_In!S124</f>
        <v>213256.21295333284</v>
      </c>
      <c r="R127" s="55">
        <f>+FEE_3_In!V124</f>
        <v>22826.892404457612</v>
      </c>
      <c r="S127" s="55">
        <f>+FEE_3_In!Y124</f>
        <v>1024.8278694606263</v>
      </c>
      <c r="T127" s="55">
        <f>+FEE_4_In!H124</f>
        <v>222573.58020481179</v>
      </c>
      <c r="U127" s="55">
        <f>+FEE_4_In!S124</f>
        <v>185222.36590818682</v>
      </c>
      <c r="V127" s="55">
        <f>+FEE_4_In!V124</f>
        <v>36368.731541658744</v>
      </c>
      <c r="W127" s="55">
        <f>+FEE_4_In!Y124</f>
        <v>982.48275496620965</v>
      </c>
      <c r="X127" s="55">
        <f>FEE_1_In!$H124</f>
        <v>200407.65516610234</v>
      </c>
      <c r="Y127" s="55">
        <f>+FEE_1_Out!S124</f>
        <v>178793.1752509338</v>
      </c>
      <c r="Z127" s="55">
        <f>+FEE_1_Out!V124</f>
        <v>13606.786300035101</v>
      </c>
      <c r="AA127" s="55">
        <f>+FEE_1_Out!Y124</f>
        <v>2516.8217026294269</v>
      </c>
      <c r="AB127" s="55">
        <f>+FEE_2_Out!H124</f>
        <v>213589.12402486702</v>
      </c>
      <c r="AC127" s="55">
        <f>+FEE_2_Out!S124</f>
        <v>202013.48673932807</v>
      </c>
      <c r="AD127" s="55">
        <f>+FEE_2_Out!V124</f>
        <v>9955.0511601490634</v>
      </c>
      <c r="AE127" s="55">
        <f>+FEE_2_Out!Y124</f>
        <v>1620.58612538988</v>
      </c>
      <c r="AF127" s="55">
        <f>+FEE_3_Out!H124</f>
        <v>229941.1853439603</v>
      </c>
      <c r="AG127" s="55">
        <f>+FEE_3_Out!S124</f>
        <v>224715.65532696122</v>
      </c>
      <c r="AH127" s="55">
        <f>+FEE_3_Out!V124</f>
        <v>3639.9085010988856</v>
      </c>
      <c r="AI127" s="55">
        <f>+FEE_3_Out!Y124</f>
        <v>1585.6215159001781</v>
      </c>
      <c r="AJ127" s="55">
        <f>+FEE_4_Out!H124</f>
        <v>246718.47687569843</v>
      </c>
      <c r="AK127" s="55">
        <f>+FEE_4_Out!S124</f>
        <v>231448.6027276908</v>
      </c>
      <c r="AL127" s="55">
        <f>+FEE_4_Out!V124</f>
        <v>14378.500428337265</v>
      </c>
      <c r="AM127" s="55">
        <f>+FEE_4_Out!Y124</f>
        <v>891.37371967036449</v>
      </c>
    </row>
    <row r="128" spans="2:39" x14ac:dyDescent="0.25">
      <c r="B128" s="51">
        <f>ITE_LUC_Rates!A116</f>
        <v>890</v>
      </c>
      <c r="C128" s="11" t="str">
        <f>ITE_LUC_Rates!B116</f>
        <v>Furniture Store (free standing)</v>
      </c>
      <c r="D128" s="52" t="str">
        <f>ITE_LUC_Rates!C116</f>
        <v>1000 GSF</v>
      </c>
      <c r="E128" s="112">
        <f>ITE_LUC_Rates!G116</f>
        <v>6.3</v>
      </c>
      <c r="F128" s="53" t="s">
        <v>73</v>
      </c>
      <c r="G128" s="91">
        <f>ITE_LUC_Rates!Q116</f>
        <v>1656.8</v>
      </c>
      <c r="H128" s="91">
        <f>FEE_1_In!$H125</f>
        <v>2898.5374672254902</v>
      </c>
      <c r="I128" s="91">
        <f>+FEE_1_In!S125</f>
        <v>2129.0217033871418</v>
      </c>
      <c r="J128" s="91">
        <f>+FEE_1_In!V125</f>
        <v>724.02707851382263</v>
      </c>
      <c r="K128" s="91">
        <f>+FEE_1_In!Y125</f>
        <v>45.488685324525761</v>
      </c>
      <c r="L128" s="91">
        <f>+FEE_2_In!H125</f>
        <v>3447.5369106635676</v>
      </c>
      <c r="M128" s="91">
        <f>+FEE_2_In!S125</f>
        <v>2858.9976795506768</v>
      </c>
      <c r="N128" s="91">
        <f>+FEE_2_In!V125</f>
        <v>564.16242841903306</v>
      </c>
      <c r="O128" s="55">
        <f>+FEE_2_In!Y125</f>
        <v>24.376802693857677</v>
      </c>
      <c r="P128" s="55">
        <f>+FEE_3_In!H125</f>
        <v>3429.3411978996783</v>
      </c>
      <c r="Q128" s="55">
        <f>+FEE_3_In!S125</f>
        <v>3084.3688223961917</v>
      </c>
      <c r="R128" s="55">
        <f>+FEE_3_In!V125</f>
        <v>330.1500775497156</v>
      </c>
      <c r="S128" s="55">
        <f>+FEE_3_In!Y125</f>
        <v>14.822297953770684</v>
      </c>
      <c r="T128" s="55">
        <f>+FEE_4_In!H125</f>
        <v>3219.1278367258983</v>
      </c>
      <c r="U128" s="55">
        <f>+FEE_4_In!S125</f>
        <v>2678.9094803192816</v>
      </c>
      <c r="V128" s="55">
        <f>+FEE_4_In!V125</f>
        <v>526.00850462319966</v>
      </c>
      <c r="W128" s="55">
        <f>+FEE_4_In!Y125</f>
        <v>14.209851783417102</v>
      </c>
      <c r="X128" s="55">
        <f>FEE_1_In!$H125</f>
        <v>2898.5374672254902</v>
      </c>
      <c r="Y128" s="55">
        <f>+FEE_1_Out!S125</f>
        <v>2585.92276287808</v>
      </c>
      <c r="Z128" s="55">
        <f>+FEE_1_Out!V125</f>
        <v>196.79777135505964</v>
      </c>
      <c r="AA128" s="55">
        <f>+FEE_1_Out!Y125</f>
        <v>36.401314098262866</v>
      </c>
      <c r="AB128" s="55">
        <f>+FEE_2_Out!H125</f>
        <v>3089.1837842463083</v>
      </c>
      <c r="AC128" s="55">
        <f>+FEE_2_Out!S125</f>
        <v>2921.7629422064274</v>
      </c>
      <c r="AD128" s="55">
        <f>+FEE_2_Out!V125</f>
        <v>143.98196891193058</v>
      </c>
      <c r="AE128" s="55">
        <f>+FEE_2_Out!Y125</f>
        <v>23.438873127950639</v>
      </c>
      <c r="AF128" s="55">
        <f>+FEE_3_Out!H125</f>
        <v>3325.6870373804099</v>
      </c>
      <c r="AG128" s="55">
        <f>+FEE_3_Out!S125</f>
        <v>3250.1091133343971</v>
      </c>
      <c r="AH128" s="55">
        <f>+FEE_3_Out!V125</f>
        <v>52.644751314331174</v>
      </c>
      <c r="AI128" s="55">
        <f>+FEE_3_Out!Y125</f>
        <v>22.93317273168179</v>
      </c>
      <c r="AJ128" s="55">
        <f>+FEE_4_Out!H125</f>
        <v>3568.3404832430574</v>
      </c>
      <c r="AK128" s="55">
        <f>+FEE_4_Out!S125</f>
        <v>3347.4891275344439</v>
      </c>
      <c r="AL128" s="55">
        <f>+FEE_4_Out!V125</f>
        <v>207.95923279233423</v>
      </c>
      <c r="AM128" s="55">
        <f>+FEE_4_Out!Y125</f>
        <v>12.892122916279275</v>
      </c>
    </row>
    <row r="129" spans="1:39" x14ac:dyDescent="0.25">
      <c r="B129" s="116">
        <f>ITE_LUC_Rates!A117</f>
        <v>899</v>
      </c>
      <c r="C129" s="117" t="str">
        <f>ITE_LUC_Rates!B117</f>
        <v>Liquor Store</v>
      </c>
      <c r="D129" s="203" t="str">
        <f>ITE_LUC_Rates!C117</f>
        <v>1000 GSF</v>
      </c>
      <c r="E129" s="204">
        <f>ITE_LUC_Rates!G117</f>
        <v>101.49</v>
      </c>
      <c r="F129" s="118" t="s">
        <v>73</v>
      </c>
      <c r="G129" s="119">
        <f>ITE_LUC_Rates!Q117</f>
        <v>0</v>
      </c>
      <c r="H129" s="91">
        <f>FEE_1_In!$H126</f>
        <v>57357.264251924214</v>
      </c>
      <c r="I129" s="91">
        <f>+FEE_1_In!S126</f>
        <v>42129.819545216269</v>
      </c>
      <c r="J129" s="91">
        <f>+FEE_1_In!V126</f>
        <v>14327.298831716409</v>
      </c>
      <c r="K129" s="91">
        <f>+FEE_1_In!Y126</f>
        <v>900.14587499154027</v>
      </c>
      <c r="L129" s="91">
        <f>+FEE_2_In!H126</f>
        <v>68221.055563057016</v>
      </c>
      <c r="M129" s="91">
        <f>+FEE_2_In!S126</f>
        <v>56574.837225959272</v>
      </c>
      <c r="N129" s="91">
        <f>+FEE_2_In!V126</f>
        <v>11163.841714563709</v>
      </c>
      <c r="O129" s="55">
        <f>+FEE_2_In!Y126</f>
        <v>482.37662253404358</v>
      </c>
      <c r="P129" s="55">
        <f>+FEE_3_In!H126</f>
        <v>67860.992490886521</v>
      </c>
      <c r="Q129" s="55">
        <f>+FEE_3_In!S126</f>
        <v>61034.559531126477</v>
      </c>
      <c r="R129" s="55">
        <f>+FEE_3_In!V126</f>
        <v>6533.1241893307415</v>
      </c>
      <c r="S129" s="55">
        <f>+FEE_3_In!Y126</f>
        <v>293.30877042930518</v>
      </c>
      <c r="T129" s="55">
        <f>+FEE_4_In!H126</f>
        <v>63701.217624263518</v>
      </c>
      <c r="U129" s="55">
        <f>+FEE_4_In!S126</f>
        <v>53011.189507492585</v>
      </c>
      <c r="V129" s="55">
        <f>+FEE_4_In!V126</f>
        <v>10408.83864348036</v>
      </c>
      <c r="W129" s="55">
        <f>+FEE_4_In!Y126</f>
        <v>281.18947329057454</v>
      </c>
      <c r="X129" s="55">
        <f>FEE_1_In!$H126</f>
        <v>57357.264251924214</v>
      </c>
      <c r="Y129" s="55">
        <f>+FEE_1_Out!S126</f>
        <v>51171.136106596146</v>
      </c>
      <c r="Z129" s="55">
        <f>+FEE_1_Out!V126</f>
        <v>3894.3025244406103</v>
      </c>
      <c r="AA129" s="55">
        <f>+FEE_1_Out!Y126</f>
        <v>720.32182280186225</v>
      </c>
      <c r="AB129" s="55">
        <f>+FEE_2_Out!H126</f>
        <v>61129.839665443469</v>
      </c>
      <c r="AC129" s="55">
        <f>+FEE_2_Out!S126</f>
        <v>57816.858002538473</v>
      </c>
      <c r="AD129" s="55">
        <f>+FEE_2_Out!V126</f>
        <v>2849.1651157778465</v>
      </c>
      <c r="AE129" s="55">
        <f>+FEE_2_Out!Y126</f>
        <v>463.81654712714624</v>
      </c>
      <c r="AF129" s="55">
        <f>+FEE_3_Out!H126</f>
        <v>65809.84802822549</v>
      </c>
      <c r="AG129" s="55">
        <f>+FEE_3_Out!S126</f>
        <v>64314.285866226441</v>
      </c>
      <c r="AH129" s="55">
        <f>+FEE_3_Out!V126</f>
        <v>1041.7525896269615</v>
      </c>
      <c r="AI129" s="55">
        <f>+FEE_3_Out!Y126</f>
        <v>453.80957237209509</v>
      </c>
      <c r="AJ129" s="55">
        <f>+FEE_4_Out!H126</f>
        <v>70611.558536838071</v>
      </c>
      <c r="AK129" s="55">
        <f>+FEE_4_Out!S126</f>
        <v>66241.27534643306</v>
      </c>
      <c r="AL129" s="55">
        <f>+FEE_4_Out!V126</f>
        <v>4115.169392761004</v>
      </c>
      <c r="AM129" s="55">
        <f>+FEE_4_Out!Y126</f>
        <v>255.11379764400081</v>
      </c>
    </row>
    <row r="130" spans="1:39" x14ac:dyDescent="0.25">
      <c r="B130" s="92" t="str">
        <f>ITE_LUC_Rates!A118</f>
        <v>Services</v>
      </c>
      <c r="C130" s="93"/>
      <c r="D130" s="94"/>
      <c r="E130" s="113"/>
      <c r="F130" s="100"/>
      <c r="G130" s="96"/>
      <c r="H130" s="96"/>
      <c r="I130" s="96"/>
      <c r="J130" s="96"/>
      <c r="K130" s="96"/>
      <c r="L130" s="96"/>
      <c r="M130" s="96"/>
      <c r="N130" s="96"/>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row>
    <row r="131" spans="1:39" x14ac:dyDescent="0.25">
      <c r="B131" s="51">
        <f>ITE_LUC_Rates!A119</f>
        <v>911</v>
      </c>
      <c r="C131" s="11" t="str">
        <f>ITE_LUC_Rates!B119</f>
        <v>Bank (Walk-in)</v>
      </c>
      <c r="D131" s="52" t="str">
        <f>ITE_LUC_Rates!C119</f>
        <v>1000 GSF</v>
      </c>
      <c r="E131" s="112">
        <f>ITE_LUC_Rates!G119</f>
        <v>156.47999999999999</v>
      </c>
      <c r="F131" s="53" t="s">
        <v>73</v>
      </c>
      <c r="G131" s="91">
        <f>ITE_LUC_Rates!Q119</f>
        <v>16014.3</v>
      </c>
      <c r="H131" s="91">
        <f>FEE_1_In!$H128</f>
        <v>24788.925942961552</v>
      </c>
      <c r="I131" s="91">
        <f>+FEE_1_In!S128</f>
        <v>18207.858940232916</v>
      </c>
      <c r="J131" s="91">
        <f>+FEE_1_In!V128</f>
        <v>6192.0378235296112</v>
      </c>
      <c r="K131" s="91">
        <f>+FEE_1_In!Y128</f>
        <v>389.02917919902421</v>
      </c>
      <c r="L131" s="91">
        <f>+FEE_2_In!H128</f>
        <v>29484.089176142177</v>
      </c>
      <c r="M131" s="91">
        <f>+FEE_2_In!S128</f>
        <v>24450.773036692728</v>
      </c>
      <c r="N131" s="91">
        <f>+FEE_2_In!V128</f>
        <v>4824.8403948586265</v>
      </c>
      <c r="O131" s="55">
        <f>+FEE_2_In!Y128</f>
        <v>208.47574459081997</v>
      </c>
      <c r="P131" s="55">
        <f>+FEE_3_In!H128</f>
        <v>29328.475463611761</v>
      </c>
      <c r="Q131" s="55">
        <f>+FEE_3_In!S128</f>
        <v>26378.196308894116</v>
      </c>
      <c r="R131" s="55">
        <f>+FEE_3_In!V128</f>
        <v>2823.515622958907</v>
      </c>
      <c r="S131" s="55">
        <f>+FEE_3_In!Y128</f>
        <v>126.76353175873855</v>
      </c>
      <c r="T131" s="55">
        <f>+FEE_4_In!H128</f>
        <v>27530.684853250652</v>
      </c>
      <c r="U131" s="55">
        <f>+FEE_4_In!S128</f>
        <v>22910.619395614722</v>
      </c>
      <c r="V131" s="55">
        <f>+FEE_4_In!V128</f>
        <v>4498.539699386286</v>
      </c>
      <c r="W131" s="55">
        <f>+FEE_4_In!Y128</f>
        <v>121.5257582496462</v>
      </c>
      <c r="X131" s="55">
        <f>FEE_1_In!$H128</f>
        <v>24788.925942961552</v>
      </c>
      <c r="Y131" s="55">
        <f>+FEE_1_Out!S128</f>
        <v>22115.376664274267</v>
      </c>
      <c r="Z131" s="55">
        <f>+FEE_1_Out!V128</f>
        <v>1683.0575540326247</v>
      </c>
      <c r="AA131" s="55">
        <f>+FEE_1_Out!Y128</f>
        <v>311.31199427691331</v>
      </c>
      <c r="AB131" s="55">
        <f>+FEE_2_Out!H128</f>
        <v>26419.374915025768</v>
      </c>
      <c r="AC131" s="55">
        <f>+FEE_2_Out!S128</f>
        <v>24987.555281309778</v>
      </c>
      <c r="AD131" s="55">
        <f>+FEE_2_Out!V128</f>
        <v>1231.3652677728103</v>
      </c>
      <c r="AE131" s="55">
        <f>+FEE_2_Out!Y128</f>
        <v>200.45436594318116</v>
      </c>
      <c r="AF131" s="55">
        <f>+FEE_3_Out!H128</f>
        <v>28442.002427521769</v>
      </c>
      <c r="AG131" s="55">
        <f>+FEE_3_Out!S128</f>
        <v>27795.643502276369</v>
      </c>
      <c r="AH131" s="55">
        <f>+FEE_3_Out!V128</f>
        <v>450.229419620285</v>
      </c>
      <c r="AI131" s="55">
        <f>+FEE_3_Out!Y128</f>
        <v>196.12950562511386</v>
      </c>
      <c r="AJ131" s="55">
        <f>+FEE_4_Out!H128</f>
        <v>30517.227732458512</v>
      </c>
      <c r="AK131" s="55">
        <f>+FEE_4_Out!S128</f>
        <v>28628.458667726056</v>
      </c>
      <c r="AL131" s="55">
        <f>+FEE_4_Out!V128</f>
        <v>1778.5128117659892</v>
      </c>
      <c r="AM131" s="55">
        <f>+FEE_4_Out!Y128</f>
        <v>110.25625296646983</v>
      </c>
    </row>
    <row r="132" spans="1:39" x14ac:dyDescent="0.25">
      <c r="B132" s="51">
        <f>ITE_LUC_Rates!A120</f>
        <v>912</v>
      </c>
      <c r="C132" s="11" t="str">
        <f>ITE_LUC_Rates!B120</f>
        <v>Bank (Drive-in)</v>
      </c>
      <c r="D132" s="52" t="str">
        <f>ITE_LUC_Rates!C120</f>
        <v>1000 GSF</v>
      </c>
      <c r="E132" s="112">
        <f>ITE_LUC_Rates!G120</f>
        <v>100.03</v>
      </c>
      <c r="F132" s="53" t="s">
        <v>73</v>
      </c>
      <c r="G132" s="91">
        <f>ITE_LUC_Rates!Q120</f>
        <v>25226.6</v>
      </c>
      <c r="H132" s="91">
        <f>FEE_1_In!$H129</f>
        <v>15846.346255588216</v>
      </c>
      <c r="I132" s="91">
        <f>+FEE_1_In!S129</f>
        <v>11639.392444986572</v>
      </c>
      <c r="J132" s="91">
        <f>+FEE_1_In!V129</f>
        <v>3958.2665100183217</v>
      </c>
      <c r="K132" s="91">
        <f>+FEE_1_In!Y129</f>
        <v>248.68730058332309</v>
      </c>
      <c r="L132" s="91">
        <f>+FEE_2_In!H129</f>
        <v>18847.734153179335</v>
      </c>
      <c r="M132" s="91">
        <f>+FEE_2_In!S129</f>
        <v>15630.181664496256</v>
      </c>
      <c r="N132" s="91">
        <f>+FEE_2_In!V129</f>
        <v>3084.2841557880142</v>
      </c>
      <c r="O132" s="55">
        <f>+FEE_2_In!Y129</f>
        <v>133.2683328950647</v>
      </c>
      <c r="P132" s="55">
        <f>+FEE_3_In!H129</f>
        <v>18748.25792833004</v>
      </c>
      <c r="Q132" s="55">
        <f>+FEE_3_In!S129</f>
        <v>16862.288962031431</v>
      </c>
      <c r="R132" s="55">
        <f>+FEE_3_In!V129</f>
        <v>1804.9352490067708</v>
      </c>
      <c r="S132" s="55">
        <f>+FEE_3_In!Y129</f>
        <v>81.033717291836766</v>
      </c>
      <c r="T132" s="55">
        <f>+FEE_4_In!H129</f>
        <v>17599.018442424993</v>
      </c>
      <c r="U132" s="55">
        <f>+FEE_4_In!S129</f>
        <v>14645.636874637914</v>
      </c>
      <c r="V132" s="55">
        <f>+FEE_4_In!V129</f>
        <v>2875.6961025665278</v>
      </c>
      <c r="W132" s="55">
        <f>+FEE_4_In!Y129</f>
        <v>77.685465220552857</v>
      </c>
      <c r="X132" s="55">
        <f>FEE_1_In!$H129</f>
        <v>15846.346255588216</v>
      </c>
      <c r="Y132" s="55">
        <f>+FEE_1_Out!S129</f>
        <v>14137.277145496902</v>
      </c>
      <c r="Z132" s="55">
        <f>+FEE_1_Out!V129</f>
        <v>1075.8962623330999</v>
      </c>
      <c r="AA132" s="55">
        <f>+FEE_1_Out!Y129</f>
        <v>199.00651065643942</v>
      </c>
      <c r="AB132" s="55">
        <f>+FEE_2_Out!H129</f>
        <v>16888.612428106007</v>
      </c>
      <c r="AC132" s="55">
        <f>+FEE_2_Out!S129</f>
        <v>15973.320263224805</v>
      </c>
      <c r="AD132" s="55">
        <f>+FEE_2_Out!V129</f>
        <v>787.15150648846009</v>
      </c>
      <c r="AE132" s="55">
        <f>+FEE_2_Out!Y129</f>
        <v>128.14065839274295</v>
      </c>
      <c r="AF132" s="55">
        <f>+FEE_3_Out!H129</f>
        <v>18181.579133595362</v>
      </c>
      <c r="AG132" s="55">
        <f>+FEE_3_Out!S129</f>
        <v>17768.393529733545</v>
      </c>
      <c r="AH132" s="55">
        <f>+FEE_3_Out!V129</f>
        <v>287.80961684954701</v>
      </c>
      <c r="AI132" s="55">
        <f>+FEE_3_Out!Y129</f>
        <v>125.37598701227084</v>
      </c>
      <c r="AJ132" s="55">
        <f>+FEE_4_Out!H129</f>
        <v>19508.169031683447</v>
      </c>
      <c r="AK132" s="55">
        <f>+FEE_4_Out!S129</f>
        <v>18300.771475796508</v>
      </c>
      <c r="AL132" s="55">
        <f>+FEE_4_Out!V129</f>
        <v>1136.916133441666</v>
      </c>
      <c r="AM132" s="55">
        <f>+FEE_4_Out!Y129</f>
        <v>70.481422445270823</v>
      </c>
    </row>
    <row r="133" spans="1:39" x14ac:dyDescent="0.25">
      <c r="B133" s="51">
        <f>ITE_LUC_Rates!A121</f>
        <v>931</v>
      </c>
      <c r="C133" s="11" t="str">
        <f>ITE_LUC_Rates!B121</f>
        <v>Fine Dining Restaurant</v>
      </c>
      <c r="D133" s="52" t="str">
        <f>ITE_LUC_Rates!C121</f>
        <v>1000 GSF</v>
      </c>
      <c r="E133" s="112">
        <f>ITE_LUC_Rates!G121</f>
        <v>83.84</v>
      </c>
      <c r="F133" s="53" t="s">
        <v>73</v>
      </c>
      <c r="G133" s="91">
        <f>ITE_LUC_Rates!Q121</f>
        <v>68047</v>
      </c>
      <c r="H133" s="91">
        <f>FEE_1_In!$H130</f>
        <v>28144.793825073641</v>
      </c>
      <c r="I133" s="91">
        <f>+FEE_1_In!S130</f>
        <v>20672.797080761931</v>
      </c>
      <c r="J133" s="91">
        <f>+FEE_1_In!V130</f>
        <v>7030.3016879914903</v>
      </c>
      <c r="K133" s="91">
        <f>+FEE_1_In!Y130</f>
        <v>441.69505632021998</v>
      </c>
      <c r="L133" s="91">
        <f>+FEE_2_In!H130</f>
        <v>33475.577477297811</v>
      </c>
      <c r="M133" s="91">
        <f>+FEE_2_In!S130</f>
        <v>27760.86255470783</v>
      </c>
      <c r="N133" s="91">
        <f>+FEE_2_In!V130</f>
        <v>5478.0162103287776</v>
      </c>
      <c r="O133" s="55">
        <f>+FEE_2_In!Y130</f>
        <v>236.69871226120358</v>
      </c>
      <c r="P133" s="55">
        <f>+FEE_3_In!H130</f>
        <v>33298.897137633219</v>
      </c>
      <c r="Q133" s="55">
        <f>+FEE_3_In!S130</f>
        <v>29949.215964394763</v>
      </c>
      <c r="R133" s="55">
        <f>+FEE_3_In!V130</f>
        <v>3205.7566855822715</v>
      </c>
      <c r="S133" s="55">
        <f>+FEE_3_In!Y130</f>
        <v>143.92448765618573</v>
      </c>
      <c r="T133" s="55">
        <f>+FEE_4_In!H130</f>
        <v>31257.725761927311</v>
      </c>
      <c r="U133" s="55">
        <f>+FEE_4_In!S130</f>
        <v>26012.20644968667</v>
      </c>
      <c r="V133" s="55">
        <f>+FEE_4_In!V130</f>
        <v>5107.5416758459824</v>
      </c>
      <c r="W133" s="55">
        <f>+FEE_4_In!Y130</f>
        <v>137.97763639465722</v>
      </c>
      <c r="X133" s="55">
        <f>FEE_1_In!$H130</f>
        <v>28144.793825073641</v>
      </c>
      <c r="Y133" s="55">
        <f>+FEE_1_Out!S130</f>
        <v>25109.305583147896</v>
      </c>
      <c r="Z133" s="55">
        <f>+FEE_1_Out!V130</f>
        <v>1910.9060216233688</v>
      </c>
      <c r="AA133" s="55">
        <f>+FEE_1_Out!Y130</f>
        <v>353.45669733157678</v>
      </c>
      <c r="AB133" s="55">
        <f>+FEE_2_Out!H130</f>
        <v>29995.969235683973</v>
      </c>
      <c r="AC133" s="55">
        <f>+FEE_2_Out!S130</f>
        <v>28370.313147221168</v>
      </c>
      <c r="AD133" s="55">
        <f>+FEE_2_Out!V130</f>
        <v>1398.0646706745499</v>
      </c>
      <c r="AE133" s="55">
        <f>+FEE_2_Out!Y130</f>
        <v>227.59141778825591</v>
      </c>
      <c r="AF133" s="55">
        <f>+FEE_3_Out!H130</f>
        <v>32292.415417140433</v>
      </c>
      <c r="AG133" s="55">
        <f>+FEE_3_Out!S130</f>
        <v>31558.553904548633</v>
      </c>
      <c r="AH133" s="55">
        <f>+FEE_3_Out!V130</f>
        <v>511.18044478217519</v>
      </c>
      <c r="AI133" s="55">
        <f>+FEE_3_Out!Y130</f>
        <v>222.68106780962734</v>
      </c>
      <c r="AJ133" s="55">
        <f>+FEE_4_Out!H130</f>
        <v>34648.579959420829</v>
      </c>
      <c r="AK133" s="55">
        <f>+FEE_4_Out!S130</f>
        <v>32504.113675065088</v>
      </c>
      <c r="AL133" s="55">
        <f>+FEE_4_Out!V130</f>
        <v>2019.2837929962191</v>
      </c>
      <c r="AM133" s="55">
        <f>+FEE_4_Out!Y130</f>
        <v>125.18249135951567</v>
      </c>
    </row>
    <row r="134" spans="1:39" x14ac:dyDescent="0.25">
      <c r="B134" s="51">
        <f>ITE_LUC_Rates!A122</f>
        <v>931</v>
      </c>
      <c r="C134" s="11" t="str">
        <f>ITE_LUC_Rates!B122</f>
        <v>Quality Restaurant / Seats</v>
      </c>
      <c r="D134" s="52" t="str">
        <f>ITE_LUC_Rates!C122</f>
        <v>Seat</v>
      </c>
      <c r="E134" s="112">
        <f>ITE_LUC_Rates!G122</f>
        <v>2.6</v>
      </c>
      <c r="F134" s="53" t="s">
        <v>73</v>
      </c>
      <c r="G134" s="91">
        <f>ITE_LUC_Rates!Q122</f>
        <v>2163.0520000000001</v>
      </c>
      <c r="H134" s="91">
        <f>FEE_1_In!$H131</f>
        <v>872.81087720886785</v>
      </c>
      <c r="I134" s="91">
        <f>+FEE_1_In!S131</f>
        <v>641.09342092057523</v>
      </c>
      <c r="J134" s="91">
        <f>+FEE_1_In!V131</f>
        <v>218.01985196538499</v>
      </c>
      <c r="K134" s="91">
        <f>+FEE_1_In!Y131</f>
        <v>13.697604322907587</v>
      </c>
      <c r="L134" s="91">
        <f>+FEE_2_In!H131</f>
        <v>1038.126209935285</v>
      </c>
      <c r="M134" s="91">
        <f>+FEE_2_In!S131</f>
        <v>860.90461166794307</v>
      </c>
      <c r="N134" s="91">
        <f>+FEE_2_In!V131</f>
        <v>169.88122789664629</v>
      </c>
      <c r="O134" s="55">
        <f>+FEE_2_In!Y131</f>
        <v>7.3403703706957222</v>
      </c>
      <c r="P134" s="55">
        <f>+FEE_3_In!H131</f>
        <v>1032.6470963483584</v>
      </c>
      <c r="Q134" s="55">
        <f>+FEE_3_In!S131</f>
        <v>928.76862485002846</v>
      </c>
      <c r="R134" s="55">
        <f>+FEE_3_In!V131</f>
        <v>99.415164390671606</v>
      </c>
      <c r="S134" s="55">
        <f>+FEE_3_In!Y131</f>
        <v>4.463307107658431</v>
      </c>
      <c r="T134" s="55">
        <f>+FEE_4_In!H131</f>
        <v>969.34741151015032</v>
      </c>
      <c r="U134" s="55">
        <f>+FEE_4_In!S131</f>
        <v>806.67624963245873</v>
      </c>
      <c r="V134" s="55">
        <f>+FEE_4_In!V131</f>
        <v>158.3922752528573</v>
      </c>
      <c r="W134" s="55">
        <f>+FEE_4_In!Y131</f>
        <v>4.2788866248343131</v>
      </c>
      <c r="X134" s="55">
        <f>FEE_1_In!$H131</f>
        <v>872.81087720886785</v>
      </c>
      <c r="Y134" s="55">
        <f>+FEE_1_Out!S131</f>
        <v>778.67598421021626</v>
      </c>
      <c r="Z134" s="55">
        <f>+FEE_1_Out!V131</f>
        <v>59.25996727362547</v>
      </c>
      <c r="AA134" s="55">
        <f>+FEE_1_Out!Y131</f>
        <v>10.961204831370463</v>
      </c>
      <c r="AB134" s="55">
        <f>+FEE_2_Out!H131</f>
        <v>930.21851160279482</v>
      </c>
      <c r="AC134" s="55">
        <f>+FEE_2_Out!S131</f>
        <v>879.80455847775545</v>
      </c>
      <c r="AD134" s="55">
        <f>+FEE_2_Out!V131</f>
        <v>43.356013165002743</v>
      </c>
      <c r="AE134" s="55">
        <f>+FEE_2_Out!Y131</f>
        <v>7.0579399600365633</v>
      </c>
      <c r="AF134" s="55">
        <f>+FEE_3_Out!H131</f>
        <v>1001.4346384132293</v>
      </c>
      <c r="AG134" s="55">
        <f>+FEE_3_Out!S131</f>
        <v>978.67652852846447</v>
      </c>
      <c r="AH134" s="55">
        <f>+FEE_3_Out!V131</f>
        <v>15.852446999447229</v>
      </c>
      <c r="AI134" s="55">
        <f>+FEE_3_Out!Y131</f>
        <v>6.9056628853176427</v>
      </c>
      <c r="AJ134" s="55">
        <f>+FEE_4_Out!H131</f>
        <v>1074.5027182072297</v>
      </c>
      <c r="AK134" s="55">
        <f>+FEE_4_Out!S131</f>
        <v>1007.9997084347475</v>
      </c>
      <c r="AL134" s="55">
        <f>+FEE_4_Out!V131</f>
        <v>62.620919153031601</v>
      </c>
      <c r="AM134" s="55">
        <f>+FEE_4_Out!Y131</f>
        <v>3.8820906194506293</v>
      </c>
    </row>
    <row r="135" spans="1:39" x14ac:dyDescent="0.25">
      <c r="B135" s="51">
        <f>ITE_LUC_Rates!A123</f>
        <v>932</v>
      </c>
      <c r="C135" s="11" t="str">
        <f>ITE_LUC_Rates!B123</f>
        <v>High-Turnover (Sit-Down) Restaurant</v>
      </c>
      <c r="D135" s="52" t="str">
        <f>ITE_LUC_Rates!C123</f>
        <v>1000 GSF</v>
      </c>
      <c r="E135" s="112">
        <f>ITE_LUC_Rates!G123</f>
        <v>112.18</v>
      </c>
      <c r="F135" s="53" t="s">
        <v>73</v>
      </c>
      <c r="G135" s="91">
        <f>ITE_LUC_Rates!Q123</f>
        <v>51864.5</v>
      </c>
      <c r="H135" s="91">
        <f>FEE_1_In!$H132</f>
        <v>35093.747378446293</v>
      </c>
      <c r="I135" s="91">
        <f>+FEE_1_In!S132</f>
        <v>25776.913587187839</v>
      </c>
      <c r="J135" s="91">
        <f>+FEE_1_In!V132</f>
        <v>8766.0841634178269</v>
      </c>
      <c r="K135" s="91">
        <f>+FEE_1_In!Y132</f>
        <v>550.74962784062416</v>
      </c>
      <c r="L135" s="91">
        <f>+FEE_2_In!H132</f>
        <v>41740.702264065061</v>
      </c>
      <c r="M135" s="91">
        <f>+FEE_2_In!S132</f>
        <v>34615.02342343545</v>
      </c>
      <c r="N135" s="91">
        <f>+FEE_2_In!V132</f>
        <v>6830.5391830245098</v>
      </c>
      <c r="O135" s="55">
        <f>+FEE_2_In!Y132</f>
        <v>295.13965760509495</v>
      </c>
      <c r="P135" s="55">
        <f>+FEE_3_In!H132</f>
        <v>41520.399523690976</v>
      </c>
      <c r="Q135" s="55">
        <f>+FEE_3_In!S132</f>
        <v>37343.681597719085</v>
      </c>
      <c r="R135" s="55">
        <f>+FEE_3_In!V132</f>
        <v>3997.2584620734965</v>
      </c>
      <c r="S135" s="55">
        <f>+FEE_3_In!Y132</f>
        <v>179.4594638983921</v>
      </c>
      <c r="T135" s="55">
        <f>+FEE_4_In!H132</f>
        <v>38975.262648276279</v>
      </c>
      <c r="U135" s="55">
        <f>+FEE_4_In!S132</f>
        <v>32434.623880173567</v>
      </c>
      <c r="V135" s="55">
        <f>+FEE_4_In!V132</f>
        <v>6368.5944338786121</v>
      </c>
      <c r="W135" s="55">
        <f>+FEE_4_In!Y132</f>
        <v>172.04433422409508</v>
      </c>
      <c r="X135" s="55">
        <f>FEE_1_In!$H132</f>
        <v>35093.747378446293</v>
      </c>
      <c r="Y135" s="55">
        <f>+FEE_1_Out!S132</f>
        <v>31308.796662712721</v>
      </c>
      <c r="Z135" s="55">
        <f>+FEE_1_Out!V132</f>
        <v>2382.7089870901495</v>
      </c>
      <c r="AA135" s="55">
        <f>+FEE_1_Out!Y132</f>
        <v>440.72520560885107</v>
      </c>
      <c r="AB135" s="55">
        <f>+FEE_2_Out!H132</f>
        <v>37401.97825826444</v>
      </c>
      <c r="AC135" s="55">
        <f>+FEE_2_Out!S132</f>
        <v>35374.947452946486</v>
      </c>
      <c r="AD135" s="55">
        <f>+FEE_2_Out!V132</f>
        <v>1743.2470344719243</v>
      </c>
      <c r="AE135" s="55">
        <f>+FEE_2_Out!Y132</f>
        <v>283.78377084603073</v>
      </c>
      <c r="AF135" s="55">
        <f>+FEE_3_Out!H132</f>
        <v>40265.417324868446</v>
      </c>
      <c r="AG135" s="55">
        <f>+FEE_3_Out!S132</f>
        <v>39350.365301615835</v>
      </c>
      <c r="AH135" s="55">
        <f>+FEE_3_Out!V132</f>
        <v>637.39096848546649</v>
      </c>
      <c r="AI135" s="55">
        <f>+FEE_3_Out!Y132</f>
        <v>277.66105476714324</v>
      </c>
      <c r="AJ135" s="55">
        <f>+FEE_4_Out!H132</f>
        <v>43203.319223981889</v>
      </c>
      <c r="AK135" s="55">
        <f>+FEE_4_Out!S132</f>
        <v>40529.383912445512</v>
      </c>
      <c r="AL135" s="55">
        <f>+FEE_4_Out!V132</f>
        <v>2517.8452454559674</v>
      </c>
      <c r="AM135" s="55">
        <f>+FEE_4_Out!Y132</f>
        <v>156.09006608041418</v>
      </c>
    </row>
    <row r="136" spans="1:39" x14ac:dyDescent="0.25">
      <c r="B136" s="51">
        <f>ITE_LUC_Rates!A124</f>
        <v>932</v>
      </c>
      <c r="C136" s="11" t="str">
        <f>ITE_LUC_Rates!B124</f>
        <v>High-Turnover (Sit-Down) Restaurant</v>
      </c>
      <c r="D136" s="52" t="str">
        <f>ITE_LUC_Rates!C124</f>
        <v>Seat</v>
      </c>
      <c r="E136" s="112">
        <f>ITE_LUC_Rates!G124</f>
        <v>4.37</v>
      </c>
      <c r="F136" s="53" t="s">
        <v>73</v>
      </c>
      <c r="G136" s="91">
        <f>ITE_LUC_Rates!Q124</f>
        <v>1581.08</v>
      </c>
      <c r="H136" s="91">
        <f>FEE_1_In!$H133</f>
        <v>1367.0857197701043</v>
      </c>
      <c r="I136" s="91">
        <f>+FEE_1_In!S133</f>
        <v>1004.1461256552938</v>
      </c>
      <c r="J136" s="91">
        <f>+FEE_1_In!V133</f>
        <v>341.4850044048485</v>
      </c>
      <c r="K136" s="91">
        <f>+FEE_1_In!Y133</f>
        <v>21.454589709961919</v>
      </c>
      <c r="L136" s="91">
        <f>+FEE_2_In!H133</f>
        <v>1626.0195123369967</v>
      </c>
      <c r="M136" s="91">
        <f>+FEE_2_In!S133</f>
        <v>1348.4369081869577</v>
      </c>
      <c r="N136" s="91">
        <f>+FEE_2_In!V133</f>
        <v>266.08536485841603</v>
      </c>
      <c r="O136" s="55">
        <f>+FEE_2_In!Y133</f>
        <v>11.497239291622972</v>
      </c>
      <c r="P136" s="55">
        <f>+FEE_3_In!H133</f>
        <v>1617.4375639020286</v>
      </c>
      <c r="Q136" s="55">
        <f>+FEE_3_In!S133</f>
        <v>1454.7324708685364</v>
      </c>
      <c r="R136" s="55">
        <f>+FEE_3_In!V133</f>
        <v>155.71420466447836</v>
      </c>
      <c r="S136" s="55">
        <f>+FEE_3_In!Y133</f>
        <v>6.9908883690138488</v>
      </c>
      <c r="T136" s="55">
        <f>+FEE_4_In!H133</f>
        <v>1518.2911193881919</v>
      </c>
      <c r="U136" s="55">
        <f>+FEE_4_In!S133</f>
        <v>1263.4988978102917</v>
      </c>
      <c r="V136" s="55">
        <f>+FEE_4_In!V133</f>
        <v>248.09019144276638</v>
      </c>
      <c r="W136" s="55">
        <f>+FEE_4_In!Y133</f>
        <v>6.7020301351336755</v>
      </c>
      <c r="X136" s="55">
        <f>FEE_1_In!$H133</f>
        <v>1367.0857197701043</v>
      </c>
      <c r="Y136" s="55">
        <f>+FEE_1_Out!S133</f>
        <v>1219.6420165453253</v>
      </c>
      <c r="Z136" s="55">
        <f>+FEE_1_Out!V133</f>
        <v>92.819025437546401</v>
      </c>
      <c r="AA136" s="55">
        <f>+FEE_1_Out!Y133</f>
        <v>17.168560781874483</v>
      </c>
      <c r="AB136" s="55">
        <f>+FEE_2_Out!H133</f>
        <v>1457.003431882828</v>
      </c>
      <c r="AC136" s="55">
        <f>+FEE_2_Out!S133</f>
        <v>1378.039939110146</v>
      </c>
      <c r="AD136" s="55">
        <f>+FEE_2_Out!V133</f>
        <v>67.908624894297645</v>
      </c>
      <c r="AE136" s="55">
        <f>+FEE_2_Out!Y133</f>
        <v>11.054867878384332</v>
      </c>
      <c r="AF136" s="55">
        <f>+FEE_3_Out!H133</f>
        <v>1568.5494179860505</v>
      </c>
      <c r="AG136" s="55">
        <f>+FEE_3_Out!S133</f>
        <v>1532.9033372086044</v>
      </c>
      <c r="AH136" s="55">
        <f>+FEE_3_Out!V133</f>
        <v>24.82972483759573</v>
      </c>
      <c r="AI136" s="55">
        <f>+FEE_3_Out!Y133</f>
        <v>10.816355939850386</v>
      </c>
      <c r="AJ136" s="55">
        <f>+FEE_4_Out!H133</f>
        <v>1682.9961223818941</v>
      </c>
      <c r="AK136" s="55">
        <f>+FEE_4_Out!S133</f>
        <v>1578.8323025261802</v>
      </c>
      <c r="AL136" s="55">
        <f>+FEE_4_Out!V133</f>
        <v>98.083292232506494</v>
      </c>
      <c r="AM136" s="55">
        <f>+FEE_4_Out!Y133</f>
        <v>6.0805276232074341</v>
      </c>
    </row>
    <row r="137" spans="1:39" x14ac:dyDescent="0.25">
      <c r="B137" s="51">
        <f>ITE_LUC_Rates!A125</f>
        <v>933</v>
      </c>
      <c r="C137" s="11" t="str">
        <f>ITE_LUC_Rates!B125</f>
        <v>Fast-Food Restaurant without Drive-Through Window</v>
      </c>
      <c r="D137" s="52" t="str">
        <f>ITE_LUC_Rates!C125</f>
        <v>1000 GSF</v>
      </c>
      <c r="E137" s="112">
        <f>ITE_LUC_Rates!G125</f>
        <v>346.23</v>
      </c>
      <c r="F137" s="53" t="s">
        <v>73</v>
      </c>
      <c r="G137" s="91">
        <f>ITE_LUC_Rates!Q125</f>
        <v>73276.3</v>
      </c>
      <c r="H137" s="91">
        <f>FEE_1_In!$H134</f>
        <v>57282.097273737534</v>
      </c>
      <c r="I137" s="91">
        <f>+FEE_1_In!S134</f>
        <v>42074.608208551828</v>
      </c>
      <c r="J137" s="91">
        <f>+FEE_1_In!V134</f>
        <v>14308.522835810681</v>
      </c>
      <c r="K137" s="91">
        <f>+FEE_1_In!Y134</f>
        <v>898.9662293750207</v>
      </c>
      <c r="L137" s="91">
        <f>+FEE_2_In!H134</f>
        <v>68131.651532682445</v>
      </c>
      <c r="M137" s="91">
        <f>+FEE_2_In!S134</f>
        <v>56500.695622255836</v>
      </c>
      <c r="N137" s="91">
        <f>+FEE_2_In!V134</f>
        <v>11149.211444839675</v>
      </c>
      <c r="O137" s="55">
        <f>+FEE_2_In!Y134</f>
        <v>481.74446558693876</v>
      </c>
      <c r="P137" s="55">
        <f>+FEE_3_In!H134</f>
        <v>67772.060324946986</v>
      </c>
      <c r="Q137" s="55">
        <f>+FEE_3_In!S134</f>
        <v>60954.573439308006</v>
      </c>
      <c r="R137" s="55">
        <f>+FEE_3_In!V134</f>
        <v>6524.5624978024725</v>
      </c>
      <c r="S137" s="55">
        <f>+FEE_3_In!Y134</f>
        <v>292.92438783650942</v>
      </c>
      <c r="T137" s="55">
        <f>+FEE_4_In!H134</f>
        <v>63617.736863838843</v>
      </c>
      <c r="U137" s="55">
        <f>+FEE_4_In!S134</f>
        <v>52941.718081731073</v>
      </c>
      <c r="V137" s="55">
        <f>+FEE_4_In!V134</f>
        <v>10395.197809011219</v>
      </c>
      <c r="W137" s="55">
        <f>+FEE_4_In!Y134</f>
        <v>280.82097309655683</v>
      </c>
      <c r="X137" s="55">
        <f>FEE_1_In!$H134</f>
        <v>57282.097273737534</v>
      </c>
      <c r="Y137" s="55">
        <f>+FEE_1_Out!S134</f>
        <v>51104.07607990766</v>
      </c>
      <c r="Z137" s="55">
        <f>+FEE_1_Out!V134</f>
        <v>3889.1990217417833</v>
      </c>
      <c r="AA137" s="55">
        <f>+FEE_1_Out!Y134</f>
        <v>719.37783749419259</v>
      </c>
      <c r="AB137" s="55">
        <f>+FEE_2_Out!H134</f>
        <v>61049.72870853822</v>
      </c>
      <c r="AC137" s="55">
        <f>+FEE_2_Out!S134</f>
        <v>57741.088724470887</v>
      </c>
      <c r="AD137" s="55">
        <f>+FEE_2_Out!V134</f>
        <v>2845.4312708167745</v>
      </c>
      <c r="AE137" s="55">
        <f>+FEE_2_Out!Y134</f>
        <v>463.20871325056157</v>
      </c>
      <c r="AF137" s="55">
        <f>+FEE_3_Out!H134</f>
        <v>65723.603897238369</v>
      </c>
      <c r="AG137" s="55">
        <f>+FEE_3_Out!S134</f>
        <v>64230.001676841719</v>
      </c>
      <c r="AH137" s="55">
        <f>+FEE_3_Out!V134</f>
        <v>1040.3873677112774</v>
      </c>
      <c r="AI137" s="55">
        <f>+FEE_3_Out!Y134</f>
        <v>453.21485268536838</v>
      </c>
      <c r="AJ137" s="55">
        <f>+FEE_4_Out!H134</f>
        <v>70519.021740505617</v>
      </c>
      <c r="AK137" s="55">
        <f>+FEE_4_Out!S134</f>
        <v>66154.465827813852</v>
      </c>
      <c r="AL137" s="55">
        <f>+FEE_4_Out!V134</f>
        <v>4109.7764429400095</v>
      </c>
      <c r="AM137" s="55">
        <f>+FEE_4_Out!Y134</f>
        <v>254.77946975174979</v>
      </c>
    </row>
    <row r="138" spans="1:39" x14ac:dyDescent="0.25">
      <c r="B138" s="51">
        <f>ITE_LUC_Rates!A126</f>
        <v>934</v>
      </c>
      <c r="C138" s="11" t="str">
        <f>ITE_LUC_Rates!B126</f>
        <v>Fast Food Rest. w/ Drive-Thru</v>
      </c>
      <c r="D138" s="52" t="str">
        <f>ITE_LUC_Rates!C126</f>
        <v>1000 GSF</v>
      </c>
      <c r="E138" s="112">
        <f>ITE_LUC_Rates!G126</f>
        <v>470.95</v>
      </c>
      <c r="F138" s="53" t="s">
        <v>73</v>
      </c>
      <c r="G138" s="91">
        <f>ITE_LUC_Rates!Q126</f>
        <v>50772.9</v>
      </c>
      <c r="H138" s="91">
        <f>FEE_1_In!$H135</f>
        <v>77916.42466298904</v>
      </c>
      <c r="I138" s="91">
        <f>+FEE_1_In!S135</f>
        <v>57230.848672320382</v>
      </c>
      <c r="J138" s="91">
        <f>+FEE_1_In!V135</f>
        <v>19462.781473370422</v>
      </c>
      <c r="K138" s="91">
        <f>+FEE_1_In!Y135</f>
        <v>1222.7945172982295</v>
      </c>
      <c r="L138" s="91">
        <f>+FEE_2_In!H135</f>
        <v>92674.237614639991</v>
      </c>
      <c r="M138" s="91">
        <f>+FEE_2_In!S135</f>
        <v>76853.544185372128</v>
      </c>
      <c r="N138" s="91">
        <f>+FEE_2_In!V135</f>
        <v>15165.413539979912</v>
      </c>
      <c r="O138" s="55">
        <f>+FEE_2_In!Y135</f>
        <v>655.27988928795537</v>
      </c>
      <c r="P138" s="55">
        <f>+FEE_3_In!H135</f>
        <v>92185.113392928921</v>
      </c>
      <c r="Q138" s="55">
        <f>+FEE_3_In!S135</f>
        <v>82911.811111810355</v>
      </c>
      <c r="R138" s="55">
        <f>+FEE_3_In!V135</f>
        <v>8874.8597993821295</v>
      </c>
      <c r="S138" s="55">
        <f>+FEE_3_In!Y135</f>
        <v>398.44248173642984</v>
      </c>
      <c r="T138" s="55">
        <f>+FEE_4_In!H135</f>
        <v>86534.307183158322</v>
      </c>
      <c r="U138" s="55">
        <f>+FEE_4_In!S135</f>
        <v>72012.541173760939</v>
      </c>
      <c r="V138" s="55">
        <f>+FEE_4_In!V135</f>
        <v>14139.786870444021</v>
      </c>
      <c r="W138" s="55">
        <f>+FEE_4_In!Y135</f>
        <v>381.97913895336455</v>
      </c>
      <c r="X138" s="55">
        <f>FEE_1_In!$H135</f>
        <v>77916.42466298904</v>
      </c>
      <c r="Y138" s="55">
        <f>+FEE_1_Out!S135</f>
        <v>69512.938306422075</v>
      </c>
      <c r="Z138" s="55">
        <f>+FEE_1_Out!V135</f>
        <v>5290.1778565961731</v>
      </c>
      <c r="AA138" s="55">
        <f>+FEE_1_Out!Y135</f>
        <v>978.51426094760711</v>
      </c>
      <c r="AB138" s="55">
        <f>+FEE_2_Out!H135</f>
        <v>83041.243495035291</v>
      </c>
      <c r="AC138" s="55">
        <f>+FEE_2_Out!S135</f>
        <v>78540.755378764283</v>
      </c>
      <c r="AD138" s="55">
        <f>+FEE_2_Out!V135</f>
        <v>3870.420983135949</v>
      </c>
      <c r="AE138" s="55">
        <f>+FEE_2_Out!Y135</f>
        <v>630.06713313506054</v>
      </c>
      <c r="AF138" s="55">
        <f>+FEE_3_Out!H135</f>
        <v>89398.755900425764</v>
      </c>
      <c r="AG138" s="55">
        <f>+FEE_3_Out!S135</f>
        <v>87367.123847467315</v>
      </c>
      <c r="AH138" s="55">
        <f>+FEE_3_Out!V135</f>
        <v>1415.1587985547931</v>
      </c>
      <c r="AI138" s="55">
        <f>+FEE_3_Out!Y135</f>
        <v>616.47325440364557</v>
      </c>
      <c r="AJ138" s="55">
        <f>+FEE_4_Out!H135</f>
        <v>95921.593416778182</v>
      </c>
      <c r="AK138" s="55">
        <f>+FEE_4_Out!S135</f>
        <v>89984.824196658083</v>
      </c>
      <c r="AL138" s="55">
        <f>+FEE_4_Out!V135</f>
        <v>5590.2123322721809</v>
      </c>
      <c r="AM138" s="55">
        <f>+FEE_4_Out!Y135</f>
        <v>346.55688784792352</v>
      </c>
    </row>
    <row r="139" spans="1:39" x14ac:dyDescent="0.25">
      <c r="B139" s="51">
        <f>ITE_LUC_Rates!A127</f>
        <v>937</v>
      </c>
      <c r="C139" s="11" t="str">
        <f>ITE_LUC_Rates!B127</f>
        <v>Coffee/Donut Shop with Drive Through</v>
      </c>
      <c r="D139" s="52" t="str">
        <f>ITE_LUC_Rates!C127</f>
        <v>1000 GSF</v>
      </c>
      <c r="E139" s="112">
        <f>ITE_LUC_Rates!G127</f>
        <v>820.38</v>
      </c>
      <c r="F139" s="53" t="s">
        <v>73</v>
      </c>
      <c r="G139" s="91">
        <f>ITE_LUC_Rates!Q127</f>
        <v>58641.2</v>
      </c>
      <c r="H139" s="91">
        <f>FEE_1_In!$H136</f>
        <v>135727.94662920252</v>
      </c>
      <c r="I139" s="91">
        <f>+FEE_1_In!S136</f>
        <v>99694.327707396078</v>
      </c>
      <c r="J139" s="91">
        <f>+FEE_1_In!V136</f>
        <v>33903.549559663712</v>
      </c>
      <c r="K139" s="91">
        <f>+FEE_1_In!Y136</f>
        <v>2130.0693621427363</v>
      </c>
      <c r="L139" s="91">
        <f>+FEE_2_In!H136</f>
        <v>161435.58988066323</v>
      </c>
      <c r="M139" s="91">
        <f>+FEE_2_In!S136</f>
        <v>133876.44246479578</v>
      </c>
      <c r="N139" s="91">
        <f>+FEE_2_In!V136</f>
        <v>26417.6705805897</v>
      </c>
      <c r="O139" s="55">
        <f>+FEE_2_In!Y136</f>
        <v>1141.4768352777421</v>
      </c>
      <c r="P139" s="55">
        <f>+FEE_3_In!H136</f>
        <v>160583.5509614418</v>
      </c>
      <c r="Q139" s="55">
        <f>+FEE_3_In!S136</f>
        <v>144429.75177812288</v>
      </c>
      <c r="R139" s="55">
        <f>+FEE_3_In!V136</f>
        <v>15459.724986128276</v>
      </c>
      <c r="S139" s="55">
        <f>+FEE_3_In!Y136</f>
        <v>694.0741971906408</v>
      </c>
      <c r="T139" s="55">
        <f>+FEE_4_In!H136</f>
        <v>150740.02532523501</v>
      </c>
      <c r="U139" s="55">
        <f>+FEE_4_In!S136</f>
        <v>125443.56837908483</v>
      </c>
      <c r="V139" s="55">
        <f>+FEE_4_In!V136</f>
        <v>24631.061371217464</v>
      </c>
      <c r="W139" s="55">
        <f>+FEE_4_In!Y136</f>
        <v>665.39557493271309</v>
      </c>
      <c r="X139" s="55">
        <f>FEE_1_In!$H136</f>
        <v>135727.94662920252</v>
      </c>
      <c r="Y139" s="55">
        <f>+FEE_1_Out!S136</f>
        <v>121089.33926706131</v>
      </c>
      <c r="Z139" s="55">
        <f>+FEE_1_Out!V136</f>
        <v>9215.322454601057</v>
      </c>
      <c r="AA139" s="55">
        <f>+FEE_1_Out!Y136</f>
        <v>1704.5408841622207</v>
      </c>
      <c r="AB139" s="55">
        <f>+FEE_2_Out!H136</f>
        <v>144655.21889469598</v>
      </c>
      <c r="AC139" s="55">
        <f>+FEE_2_Out!S136</f>
        <v>136815.51098339664</v>
      </c>
      <c r="AD139" s="55">
        <f>+FEE_2_Out!V136</f>
        <v>6742.1508995542399</v>
      </c>
      <c r="AE139" s="55">
        <f>+FEE_2_Out!Y136</f>
        <v>1097.5570117450704</v>
      </c>
      <c r="AF139" s="55">
        <f>+FEE_3_Out!H136</f>
        <v>155729.80436477601</v>
      </c>
      <c r="AG139" s="55">
        <f>+FEE_3_Out!S136</f>
        <v>152190.76560565922</v>
      </c>
      <c r="AH139" s="55">
        <f>+FEE_3_Out!V136</f>
        <v>2465.1618540362692</v>
      </c>
      <c r="AI139" s="55">
        <f>+FEE_3_Out!Y136</f>
        <v>1073.8769050805026</v>
      </c>
      <c r="AJ139" s="55">
        <f>+FEE_4_Out!H136</f>
        <v>167092.38094756662</v>
      </c>
      <c r="AK139" s="55">
        <f>+FEE_4_Out!S136</f>
        <v>156750.71679467961</v>
      </c>
      <c r="AL139" s="55">
        <f>+FEE_4_Out!V136</f>
        <v>9737.9730186844718</v>
      </c>
      <c r="AM139" s="55">
        <f>+FEE_4_Out!Y136</f>
        <v>603.69113420252563</v>
      </c>
    </row>
    <row r="140" spans="1:39" x14ac:dyDescent="0.25">
      <c r="A140" s="90"/>
      <c r="B140" s="51">
        <f>ITE_LUC_Rates!A128</f>
        <v>944</v>
      </c>
      <c r="C140" s="11" t="str">
        <f>ITE_LUC_Rates!B128</f>
        <v>Gasoline/Service Station</v>
      </c>
      <c r="D140" s="52" t="str">
        <f>ITE_LUC_Rates!C128</f>
        <v>Pump</v>
      </c>
      <c r="E140" s="112">
        <f>ITE_LUC_Rates!G128</f>
        <v>172.01</v>
      </c>
      <c r="F140" s="53" t="s">
        <v>73</v>
      </c>
      <c r="G140" s="91">
        <f>ITE_LUC_Rates!Q128</f>
        <v>12075.078</v>
      </c>
      <c r="H140" s="214">
        <f>FEE_1_In!$H137</f>
        <v>35385.117988577535</v>
      </c>
      <c r="I140" s="214">
        <f>+FEE_1_In!S137</f>
        <v>25990.929917738278</v>
      </c>
      <c r="J140" s="214">
        <f>+FEE_1_In!V137</f>
        <v>8838.865769315109</v>
      </c>
      <c r="K140" s="214">
        <f>+FEE_1_In!Y137</f>
        <v>555.32230152414297</v>
      </c>
      <c r="L140" s="214">
        <f>+FEE_2_In!H137</f>
        <v>42087.260121076841</v>
      </c>
      <c r="M140" s="214">
        <f>+FEE_2_In!S137</f>
        <v>34902.419362826869</v>
      </c>
      <c r="N140" s="214">
        <f>+FEE_2_In!V137</f>
        <v>6887.250663500532</v>
      </c>
      <c r="O140" s="215">
        <f>+FEE_2_In!Y137</f>
        <v>297.59009474943758</v>
      </c>
      <c r="P140" s="55">
        <f>+FEE_3_In!H137</f>
        <v>41865.128287241059</v>
      </c>
      <c r="Q140" s="55">
        <f>+FEE_3_In!S137</f>
        <v>37653.732592682281</v>
      </c>
      <c r="R140" s="55">
        <f>+FEE_3_In!V137</f>
        <v>4030.4462440560483</v>
      </c>
      <c r="S140" s="55">
        <f>+FEE_3_In!Y137</f>
        <v>180.94945050272992</v>
      </c>
      <c r="T140" s="55">
        <f>+FEE_4_In!H137</f>
        <v>39298.860066796144</v>
      </c>
      <c r="U140" s="55">
        <f>+FEE_4_In!S137</f>
        <v>32703.916755836875</v>
      </c>
      <c r="V140" s="55">
        <f>+FEE_4_In!V137</f>
        <v>6421.4705552533651</v>
      </c>
      <c r="W140" s="55">
        <f>+FEE_4_In!Y137</f>
        <v>173.47275570590259</v>
      </c>
      <c r="X140" s="55">
        <f>FEE_1_In!$H137</f>
        <v>35385.117988577535</v>
      </c>
      <c r="Y140" s="55">
        <f>+FEE_1_Out!S137</f>
        <v>31568.742204797869</v>
      </c>
      <c r="Z140" s="55">
        <f>+FEE_1_Out!V137</f>
        <v>2402.4917524884113</v>
      </c>
      <c r="AA140" s="55">
        <f>+FEE_1_Out!Y137</f>
        <v>444.38438656418384</v>
      </c>
      <c r="AB140" s="55">
        <f>+FEE_2_Out!H137</f>
        <v>37712.513269179777</v>
      </c>
      <c r="AC140" s="55">
        <f>+FEE_2_Out!S137</f>
        <v>35668.652764937651</v>
      </c>
      <c r="AD140" s="55">
        <f>+FEE_2_Out!V137</f>
        <v>1757.7205800459008</v>
      </c>
      <c r="AE140" s="55">
        <f>+FEE_2_Out!Y137</f>
        <v>286.13992419622946</v>
      </c>
      <c r="AF140" s="55">
        <f>+FEE_3_Out!H137</f>
        <v>40599.726428043388</v>
      </c>
      <c r="AG140" s="55">
        <f>+FEE_3_Out!S137</f>
        <v>39677.077060926589</v>
      </c>
      <c r="AH140" s="55">
        <f>+FEE_3_Out!V137</f>
        <v>642.68299368234887</v>
      </c>
      <c r="AI140" s="55">
        <f>+FEE_3_Out!Y137</f>
        <v>279.96637343444746</v>
      </c>
      <c r="AJ140" s="55">
        <f>+FEE_4_Out!H137</f>
        <v>43562.020657209796</v>
      </c>
      <c r="AK140" s="55">
        <f>+FEE_4_Out!S137</f>
        <v>40865.88463411155</v>
      </c>
      <c r="AL140" s="55">
        <f>+FEE_4_Out!V137</f>
        <v>2538.7499980169641</v>
      </c>
      <c r="AM140" s="55">
        <f>+FEE_4_Out!Y137</f>
        <v>157.38602508128193</v>
      </c>
    </row>
    <row r="141" spans="1:39" x14ac:dyDescent="0.25">
      <c r="A141" s="90"/>
      <c r="E141" s="104"/>
    </row>
    <row r="142" spans="1:39" x14ac:dyDescent="0.25">
      <c r="G142" s="13">
        <f>+G135/1000</f>
        <v>51.8645</v>
      </c>
    </row>
    <row r="143" spans="1:39" x14ac:dyDescent="0.25">
      <c r="G143" s="13">
        <v>300</v>
      </c>
    </row>
    <row r="144" spans="1:39" x14ac:dyDescent="0.25">
      <c r="G144" s="13">
        <f>+G142*G143</f>
        <v>15559.35</v>
      </c>
    </row>
    <row r="163" spans="1:66" s="30" customFormat="1" x14ac:dyDescent="0.25">
      <c r="A163" s="11"/>
      <c r="B163" s="10"/>
      <c r="C163" s="11"/>
      <c r="F163" s="60"/>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row r="164" spans="1:66" s="30" customFormat="1" x14ac:dyDescent="0.25">
      <c r="A164" s="11"/>
      <c r="B164" s="10"/>
      <c r="C164" s="11"/>
      <c r="F164" s="60"/>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5B01E-0597-409E-B286-EB1848A34F41}">
  <sheetPr>
    <tabColor rgb="FFC00000"/>
  </sheetPr>
  <dimension ref="A1:BW141"/>
  <sheetViews>
    <sheetView tabSelected="1" topLeftCell="AG1" workbookViewId="0">
      <selection activeCell="AM1" sqref="AM1:BR1"/>
    </sheetView>
  </sheetViews>
  <sheetFormatPr defaultRowHeight="15.75" x14ac:dyDescent="0.25"/>
  <cols>
    <col min="71" max="75" width="9.140625" style="904"/>
  </cols>
  <sheetData>
    <row r="1" spans="1:75" ht="63" x14ac:dyDescent="0.25">
      <c r="A1" s="879" t="s">
        <v>122</v>
      </c>
      <c r="B1" s="880" t="s">
        <v>79</v>
      </c>
      <c r="C1" s="881" t="s">
        <v>80</v>
      </c>
      <c r="D1" s="881" t="s">
        <v>82</v>
      </c>
      <c r="E1" s="881" t="s">
        <v>83</v>
      </c>
      <c r="F1" s="881" t="s">
        <v>84</v>
      </c>
      <c r="G1" s="902" t="s">
        <v>123</v>
      </c>
      <c r="H1" s="880" t="s">
        <v>1019</v>
      </c>
      <c r="I1" s="880" t="s">
        <v>1020</v>
      </c>
      <c r="J1" s="881" t="s">
        <v>1021</v>
      </c>
      <c r="K1" s="902" t="s">
        <v>125</v>
      </c>
      <c r="L1" s="880" t="s">
        <v>1019</v>
      </c>
      <c r="M1" s="880" t="s">
        <v>1020</v>
      </c>
      <c r="N1" s="881" t="s">
        <v>1021</v>
      </c>
      <c r="O1" s="902" t="s">
        <v>127</v>
      </c>
      <c r="P1" s="880" t="s">
        <v>1019</v>
      </c>
      <c r="Q1" s="880" t="s">
        <v>1020</v>
      </c>
      <c r="R1" s="881" t="s">
        <v>1021</v>
      </c>
      <c r="S1" s="902" t="s">
        <v>129</v>
      </c>
      <c r="T1" s="880" t="s">
        <v>1019</v>
      </c>
      <c r="U1" s="880" t="s">
        <v>1020</v>
      </c>
      <c r="V1" s="881" t="s">
        <v>1021</v>
      </c>
      <c r="W1" s="902" t="s">
        <v>124</v>
      </c>
      <c r="X1" s="880" t="s">
        <v>1019</v>
      </c>
      <c r="Y1" s="880" t="s">
        <v>1020</v>
      </c>
      <c r="Z1" s="881" t="s">
        <v>1021</v>
      </c>
      <c r="AA1" s="902" t="s">
        <v>126</v>
      </c>
      <c r="AB1" s="880" t="s">
        <v>1019</v>
      </c>
      <c r="AC1" s="880" t="s">
        <v>1020</v>
      </c>
      <c r="AD1" s="881" t="s">
        <v>1021</v>
      </c>
      <c r="AE1" s="902" t="s">
        <v>128</v>
      </c>
      <c r="AF1" s="880" t="s">
        <v>1019</v>
      </c>
      <c r="AG1" s="880" t="s">
        <v>1020</v>
      </c>
      <c r="AH1" s="881" t="s">
        <v>1021</v>
      </c>
      <c r="AI1" s="903" t="s">
        <v>130</v>
      </c>
      <c r="AJ1" s="880" t="s">
        <v>1019</v>
      </c>
      <c r="AK1" s="880" t="s">
        <v>1020</v>
      </c>
      <c r="AL1" s="881" t="s">
        <v>1021</v>
      </c>
      <c r="AM1" s="882" t="s">
        <v>1022</v>
      </c>
      <c r="AN1" s="882" t="s">
        <v>1023</v>
      </c>
      <c r="AO1" s="882" t="s">
        <v>1024</v>
      </c>
      <c r="AP1" s="882" t="s">
        <v>1025</v>
      </c>
      <c r="AQ1" s="883" t="s">
        <v>1026</v>
      </c>
      <c r="AR1" s="883" t="s">
        <v>1027</v>
      </c>
      <c r="AS1" s="883" t="s">
        <v>1028</v>
      </c>
      <c r="AT1" s="883" t="s">
        <v>1029</v>
      </c>
      <c r="AU1" s="883" t="s">
        <v>1030</v>
      </c>
      <c r="AV1" s="883" t="s">
        <v>1031</v>
      </c>
      <c r="AW1" s="883" t="s">
        <v>1032</v>
      </c>
      <c r="AX1" s="883" t="s">
        <v>1033</v>
      </c>
      <c r="AY1" s="883" t="s">
        <v>1034</v>
      </c>
      <c r="AZ1" s="883" t="s">
        <v>1035</v>
      </c>
      <c r="BA1" s="883" t="s">
        <v>1036</v>
      </c>
      <c r="BB1" s="883" t="s">
        <v>1037</v>
      </c>
      <c r="BC1" s="883" t="s">
        <v>1038</v>
      </c>
      <c r="BD1" s="883" t="s">
        <v>1039</v>
      </c>
      <c r="BE1" s="883" t="s">
        <v>1040</v>
      </c>
      <c r="BF1" s="883" t="s">
        <v>1041</v>
      </c>
      <c r="BG1" s="883" t="s">
        <v>1042</v>
      </c>
      <c r="BH1" s="883" t="s">
        <v>1043</v>
      </c>
      <c r="BI1" s="883" t="s">
        <v>1044</v>
      </c>
      <c r="BJ1" s="883" t="s">
        <v>1045</v>
      </c>
      <c r="BK1" s="883" t="s">
        <v>1046</v>
      </c>
      <c r="BL1" s="883" t="s">
        <v>1047</v>
      </c>
      <c r="BM1" s="883" t="s">
        <v>1048</v>
      </c>
      <c r="BN1" s="883" t="s">
        <v>1049</v>
      </c>
      <c r="BO1" s="883" t="s">
        <v>1050</v>
      </c>
      <c r="BP1" s="883" t="s">
        <v>1051</v>
      </c>
      <c r="BQ1" s="883" t="s">
        <v>1052</v>
      </c>
      <c r="BR1" s="883" t="s">
        <v>1053</v>
      </c>
    </row>
    <row r="2" spans="1:75" x14ac:dyDescent="0.25">
      <c r="A2" s="884" t="s">
        <v>131</v>
      </c>
      <c r="B2" s="884" t="s">
        <v>132</v>
      </c>
      <c r="C2" s="884" t="s">
        <v>112</v>
      </c>
      <c r="D2" s="885" t="s">
        <v>133</v>
      </c>
      <c r="E2" s="886" t="s">
        <v>73</v>
      </c>
      <c r="F2" s="887">
        <v>10080</v>
      </c>
      <c r="G2" s="897">
        <v>9089</v>
      </c>
      <c r="H2" s="898">
        <v>6676</v>
      </c>
      <c r="I2" s="898">
        <v>2270</v>
      </c>
      <c r="J2" s="898">
        <v>143</v>
      </c>
      <c r="K2" s="897">
        <v>10811</v>
      </c>
      <c r="L2" s="898">
        <v>8965</v>
      </c>
      <c r="M2" s="898">
        <v>1769</v>
      </c>
      <c r="N2" s="898">
        <v>76</v>
      </c>
      <c r="O2" s="898">
        <v>10753</v>
      </c>
      <c r="P2" s="898">
        <v>9672</v>
      </c>
      <c r="Q2" s="898">
        <v>1035</v>
      </c>
      <c r="R2" s="898">
        <v>46</v>
      </c>
      <c r="S2" s="898">
        <v>10094</v>
      </c>
      <c r="T2" s="898">
        <v>8400</v>
      </c>
      <c r="U2" s="898">
        <v>1649</v>
      </c>
      <c r="V2" s="898">
        <v>45</v>
      </c>
      <c r="W2" s="898">
        <v>9089</v>
      </c>
      <c r="X2" s="898">
        <v>8109</v>
      </c>
      <c r="Y2" s="898">
        <v>617</v>
      </c>
      <c r="Z2" s="898">
        <v>114</v>
      </c>
      <c r="AA2" s="898">
        <v>9687</v>
      </c>
      <c r="AB2" s="898">
        <v>9162</v>
      </c>
      <c r="AC2" s="898">
        <v>451</v>
      </c>
      <c r="AD2" s="898">
        <v>73</v>
      </c>
      <c r="AE2" s="898">
        <v>10428</v>
      </c>
      <c r="AF2" s="898">
        <v>10191</v>
      </c>
      <c r="AG2" s="898">
        <v>165</v>
      </c>
      <c r="AH2" s="898">
        <v>72</v>
      </c>
      <c r="AI2" s="898">
        <v>11189</v>
      </c>
      <c r="AJ2" s="898">
        <v>10497</v>
      </c>
      <c r="AK2" s="898">
        <v>652</v>
      </c>
      <c r="AL2" s="898">
        <v>40</v>
      </c>
      <c r="AM2" s="888">
        <f>IF($BS2="sf",G2/1000,G2)</f>
        <v>9.0890000000000004</v>
      </c>
      <c r="AN2" s="888">
        <f t="shared" ref="AN2:AU2" si="0">IF($BS2="sf",H2/1000,H2)</f>
        <v>6.6760000000000002</v>
      </c>
      <c r="AO2" s="888">
        <f t="shared" si="0"/>
        <v>2.27</v>
      </c>
      <c r="AP2" s="888">
        <f t="shared" si="0"/>
        <v>0.14299999999999999</v>
      </c>
      <c r="AQ2" s="888">
        <f t="shared" si="0"/>
        <v>10.811</v>
      </c>
      <c r="AR2" s="888">
        <f t="shared" si="0"/>
        <v>8.9649999999999999</v>
      </c>
      <c r="AS2" s="888">
        <f t="shared" si="0"/>
        <v>1.7689999999999999</v>
      </c>
      <c r="AT2" s="888">
        <f t="shared" si="0"/>
        <v>7.5999999999999998E-2</v>
      </c>
      <c r="AU2" s="888">
        <f t="shared" si="0"/>
        <v>10.753</v>
      </c>
      <c r="AV2" s="888">
        <f t="shared" ref="AV2" si="1">IF($BS2="sf",P2/1000,P2)</f>
        <v>9.6720000000000006</v>
      </c>
      <c r="AW2" s="888">
        <f t="shared" ref="AW2" si="2">IF($BS2="sf",Q2/1000,Q2)</f>
        <v>1.0349999999999999</v>
      </c>
      <c r="AX2" s="888">
        <f t="shared" ref="AX2" si="3">IF($BS2="sf",R2/1000,R2)</f>
        <v>4.5999999999999999E-2</v>
      </c>
      <c r="AY2" s="888">
        <f t="shared" ref="AY2" si="4">IF($BS2="sf",S2/1000,S2)</f>
        <v>10.093999999999999</v>
      </c>
      <c r="AZ2" s="888">
        <f t="shared" ref="AZ2" si="5">IF($BS2="sf",T2/1000,T2)</f>
        <v>8.4</v>
      </c>
      <c r="BA2" s="888">
        <f t="shared" ref="BA2" si="6">IF($BS2="sf",U2/1000,U2)</f>
        <v>1.649</v>
      </c>
      <c r="BB2" s="888">
        <f t="shared" ref="BB2:BC2" si="7">IF($BS2="sf",V2/1000,V2)</f>
        <v>4.4999999999999998E-2</v>
      </c>
      <c r="BC2" s="888">
        <f t="shared" si="7"/>
        <v>9.0890000000000004</v>
      </c>
      <c r="BD2" s="888">
        <f t="shared" ref="BD2" si="8">IF($BS2="sf",X2/1000,X2)</f>
        <v>8.109</v>
      </c>
      <c r="BE2" s="888">
        <f t="shared" ref="BE2" si="9">IF($BS2="sf",Y2/1000,Y2)</f>
        <v>0.61699999999999999</v>
      </c>
      <c r="BF2" s="888">
        <f t="shared" ref="BF2" si="10">IF($BS2="sf",Z2/1000,Z2)</f>
        <v>0.114</v>
      </c>
      <c r="BG2" s="888">
        <f t="shared" ref="BG2" si="11">IF($BS2="sf",AA2/1000,AA2)</f>
        <v>9.6869999999999994</v>
      </c>
      <c r="BH2" s="888">
        <f t="shared" ref="BH2" si="12">IF($BS2="sf",AB2/1000,AB2)</f>
        <v>9.1620000000000008</v>
      </c>
      <c r="BI2" s="888">
        <f t="shared" ref="BI2" si="13">IF($BS2="sf",AC2/1000,AC2)</f>
        <v>0.45100000000000001</v>
      </c>
      <c r="BJ2" s="888">
        <f t="shared" ref="BJ2:BK2" si="14">IF($BS2="sf",AD2/1000,AD2)</f>
        <v>7.2999999999999995E-2</v>
      </c>
      <c r="BK2" s="888">
        <f t="shared" si="14"/>
        <v>10.428000000000001</v>
      </c>
      <c r="BL2" s="888">
        <f t="shared" ref="BL2" si="15">IF($BS2="sf",AF2/1000,AF2)</f>
        <v>10.191000000000001</v>
      </c>
      <c r="BM2" s="888">
        <f t="shared" ref="BM2" si="16">IF($BS2="sf",AG2/1000,AG2)</f>
        <v>0.16500000000000001</v>
      </c>
      <c r="BN2" s="888">
        <f t="shared" ref="BN2" si="17">IF($BS2="sf",AH2/1000,AH2)</f>
        <v>7.1999999999999995E-2</v>
      </c>
      <c r="BO2" s="888">
        <f t="shared" ref="BO2" si="18">IF($BS2="sf",AI2/1000,AI2)</f>
        <v>11.189</v>
      </c>
      <c r="BP2" s="888">
        <f t="shared" ref="BP2" si="19">IF($BS2="sf",AJ2/1000,AJ2)</f>
        <v>10.497</v>
      </c>
      <c r="BQ2" s="888">
        <f t="shared" ref="BQ2" si="20">IF($BS2="sf",AK2/1000,AK2)</f>
        <v>0.65200000000000002</v>
      </c>
      <c r="BR2" s="888">
        <f t="shared" ref="BR2" si="21">IF($BS2="sf",AL2/1000,AL2)</f>
        <v>0.04</v>
      </c>
      <c r="BS2" s="904" t="s">
        <v>134</v>
      </c>
    </row>
    <row r="3" spans="1:75" x14ac:dyDescent="0.25">
      <c r="A3" s="884" t="s">
        <v>135</v>
      </c>
      <c r="B3" s="884" t="s">
        <v>136</v>
      </c>
      <c r="C3" s="886" t="s">
        <v>112</v>
      </c>
      <c r="D3" s="886">
        <v>4.96</v>
      </c>
      <c r="E3" s="886" t="s">
        <v>73</v>
      </c>
      <c r="F3" s="887">
        <v>0</v>
      </c>
      <c r="G3" s="897">
        <v>4577</v>
      </c>
      <c r="H3" s="898">
        <v>3362</v>
      </c>
      <c r="I3" s="898">
        <v>1143</v>
      </c>
      <c r="J3" s="898">
        <v>72</v>
      </c>
      <c r="K3" s="897">
        <v>5444</v>
      </c>
      <c r="L3" s="898">
        <v>4514</v>
      </c>
      <c r="M3" s="898">
        <v>891</v>
      </c>
      <c r="N3" s="898">
        <v>38</v>
      </c>
      <c r="O3" s="898">
        <v>5415</v>
      </c>
      <c r="P3" s="898">
        <v>4870</v>
      </c>
      <c r="Q3" s="898">
        <v>521</v>
      </c>
      <c r="R3" s="898">
        <v>23</v>
      </c>
      <c r="S3" s="898">
        <v>5083</v>
      </c>
      <c r="T3" s="898">
        <v>4230</v>
      </c>
      <c r="U3" s="898">
        <v>831</v>
      </c>
      <c r="V3" s="898">
        <v>22</v>
      </c>
      <c r="W3" s="898">
        <v>4577</v>
      </c>
      <c r="X3" s="898">
        <v>4083</v>
      </c>
      <c r="Y3" s="898">
        <v>311</v>
      </c>
      <c r="Z3" s="898">
        <v>57</v>
      </c>
      <c r="AA3" s="898">
        <v>4878</v>
      </c>
      <c r="AB3" s="898">
        <v>4613</v>
      </c>
      <c r="AC3" s="898">
        <v>227</v>
      </c>
      <c r="AD3" s="898">
        <v>37</v>
      </c>
      <c r="AE3" s="898">
        <v>5251</v>
      </c>
      <c r="AF3" s="898">
        <v>5132</v>
      </c>
      <c r="AG3" s="898">
        <v>83</v>
      </c>
      <c r="AH3" s="898">
        <v>36</v>
      </c>
      <c r="AI3" s="898">
        <v>5634</v>
      </c>
      <c r="AJ3" s="898">
        <v>5286</v>
      </c>
      <c r="AK3" s="898">
        <v>328</v>
      </c>
      <c r="AL3" s="898">
        <v>20</v>
      </c>
      <c r="AM3" s="888">
        <f t="shared" ref="AM3:AM66" si="22">IF($BS3="sf",G3/1000,G3)</f>
        <v>4.577</v>
      </c>
      <c r="AN3" s="888">
        <f t="shared" ref="AN3:AN66" si="23">IF($BS3="sf",H3/1000,H3)</f>
        <v>3.3620000000000001</v>
      </c>
      <c r="AO3" s="888">
        <f t="shared" ref="AO3:AO66" si="24">IF($BS3="sf",I3/1000,I3)</f>
        <v>1.143</v>
      </c>
      <c r="AP3" s="888">
        <f t="shared" ref="AP3:AP66" si="25">IF($BS3="sf",J3/1000,J3)</f>
        <v>7.1999999999999995E-2</v>
      </c>
      <c r="AQ3" s="888">
        <f t="shared" ref="AQ3:AQ66" si="26">IF($BS3="sf",K3/1000,K3)</f>
        <v>5.444</v>
      </c>
      <c r="AR3" s="888">
        <f t="shared" ref="AR3:AR66" si="27">IF($BS3="sf",L3/1000,L3)</f>
        <v>4.5140000000000002</v>
      </c>
      <c r="AS3" s="888">
        <f t="shared" ref="AS3:AS66" si="28">IF($BS3="sf",M3/1000,M3)</f>
        <v>0.89100000000000001</v>
      </c>
      <c r="AT3" s="888">
        <f t="shared" ref="AT3:AT66" si="29">IF($BS3="sf",N3/1000,N3)</f>
        <v>3.7999999999999999E-2</v>
      </c>
      <c r="AU3" s="888">
        <f t="shared" ref="AU3:AU66" si="30">IF($BS3="sf",O3/1000,O3)</f>
        <v>5.415</v>
      </c>
      <c r="AV3" s="888">
        <f t="shared" ref="AV3:AV66" si="31">IF($BS3="sf",P3/1000,P3)</f>
        <v>4.87</v>
      </c>
      <c r="AW3" s="888">
        <f t="shared" ref="AW3:AW66" si="32">IF($BS3="sf",Q3/1000,Q3)</f>
        <v>0.52100000000000002</v>
      </c>
      <c r="AX3" s="888">
        <f t="shared" ref="AX3:AX66" si="33">IF($BS3="sf",R3/1000,R3)</f>
        <v>2.3E-2</v>
      </c>
      <c r="AY3" s="888">
        <f t="shared" ref="AY3:AY66" si="34">IF($BS3="sf",S3/1000,S3)</f>
        <v>5.0830000000000002</v>
      </c>
      <c r="AZ3" s="888">
        <f t="shared" ref="AZ3:AZ66" si="35">IF($BS3="sf",T3/1000,T3)</f>
        <v>4.2300000000000004</v>
      </c>
      <c r="BA3" s="888">
        <f t="shared" ref="BA3:BA66" si="36">IF($BS3="sf",U3/1000,U3)</f>
        <v>0.83099999999999996</v>
      </c>
      <c r="BB3" s="888">
        <f t="shared" ref="BB3:BB66" si="37">IF($BS3="sf",V3/1000,V3)</f>
        <v>2.1999999999999999E-2</v>
      </c>
      <c r="BC3" s="888">
        <f t="shared" ref="BC3:BC66" si="38">IF($BS3="sf",W3/1000,W3)</f>
        <v>4.577</v>
      </c>
      <c r="BD3" s="888">
        <f t="shared" ref="BD3:BD66" si="39">IF($BS3="sf",X3/1000,X3)</f>
        <v>4.0830000000000002</v>
      </c>
      <c r="BE3" s="888">
        <f t="shared" ref="BE3:BE66" si="40">IF($BS3="sf",Y3/1000,Y3)</f>
        <v>0.311</v>
      </c>
      <c r="BF3" s="888">
        <f t="shared" ref="BF3:BF66" si="41">IF($BS3="sf",Z3/1000,Z3)</f>
        <v>5.7000000000000002E-2</v>
      </c>
      <c r="BG3" s="888">
        <f t="shared" ref="BG3:BG66" si="42">IF($BS3="sf",AA3/1000,AA3)</f>
        <v>4.8780000000000001</v>
      </c>
      <c r="BH3" s="888">
        <f t="shared" ref="BH3:BH66" si="43">IF($BS3="sf",AB3/1000,AB3)</f>
        <v>4.6130000000000004</v>
      </c>
      <c r="BI3" s="888">
        <f t="shared" ref="BI3:BI66" si="44">IF($BS3="sf",AC3/1000,AC3)</f>
        <v>0.22700000000000001</v>
      </c>
      <c r="BJ3" s="888">
        <f t="shared" ref="BJ3:BJ66" si="45">IF($BS3="sf",AD3/1000,AD3)</f>
        <v>3.6999999999999998E-2</v>
      </c>
      <c r="BK3" s="888">
        <f t="shared" ref="BK3:BK66" si="46">IF($BS3="sf",AE3/1000,AE3)</f>
        <v>5.2510000000000003</v>
      </c>
      <c r="BL3" s="888">
        <f t="shared" ref="BL3:BL66" si="47">IF($BS3="sf",AF3/1000,AF3)</f>
        <v>5.1319999999999997</v>
      </c>
      <c r="BM3" s="888">
        <f t="shared" ref="BM3:BM66" si="48">IF($BS3="sf",AG3/1000,AG3)</f>
        <v>8.3000000000000004E-2</v>
      </c>
      <c r="BN3" s="888">
        <f t="shared" ref="BN3:BN66" si="49">IF($BS3="sf",AH3/1000,AH3)</f>
        <v>3.5999999999999997E-2</v>
      </c>
      <c r="BO3" s="888">
        <f t="shared" ref="BO3:BO66" si="50">IF($BS3="sf",AI3/1000,AI3)</f>
        <v>5.6340000000000003</v>
      </c>
      <c r="BP3" s="888">
        <f t="shared" ref="BP3:BP66" si="51">IF($BS3="sf",AJ3/1000,AJ3)</f>
        <v>5.2859999999999996</v>
      </c>
      <c r="BQ3" s="888">
        <f t="shared" ref="BQ3:BQ66" si="52">IF($BS3="sf",AK3/1000,AK3)</f>
        <v>0.32800000000000001</v>
      </c>
      <c r="BR3" s="888">
        <f t="shared" ref="BR3:BR66" si="53">IF($BS3="sf",AL3/1000,AL3)</f>
        <v>0.02</v>
      </c>
      <c r="BS3" s="904" t="s">
        <v>134</v>
      </c>
    </row>
    <row r="4" spans="1:75" x14ac:dyDescent="0.25">
      <c r="A4" s="884" t="s">
        <v>137</v>
      </c>
      <c r="B4" s="884" t="s">
        <v>138</v>
      </c>
      <c r="C4" s="886" t="s">
        <v>112</v>
      </c>
      <c r="D4" s="886">
        <v>3.37</v>
      </c>
      <c r="E4" s="886" t="s">
        <v>73</v>
      </c>
      <c r="F4" s="887">
        <v>7021</v>
      </c>
      <c r="G4" s="897">
        <v>3110</v>
      </c>
      <c r="H4" s="898">
        <v>2284</v>
      </c>
      <c r="I4" s="898">
        <v>777</v>
      </c>
      <c r="J4" s="898">
        <v>49</v>
      </c>
      <c r="K4" s="897">
        <v>3699</v>
      </c>
      <c r="L4" s="898">
        <v>3067</v>
      </c>
      <c r="M4" s="898">
        <v>605</v>
      </c>
      <c r="N4" s="898">
        <v>26</v>
      </c>
      <c r="O4" s="898">
        <v>3679</v>
      </c>
      <c r="P4" s="898">
        <v>3309</v>
      </c>
      <c r="Q4" s="898">
        <v>354</v>
      </c>
      <c r="R4" s="898">
        <v>16</v>
      </c>
      <c r="S4" s="898">
        <v>3454</v>
      </c>
      <c r="T4" s="898">
        <v>2874</v>
      </c>
      <c r="U4" s="898">
        <v>564</v>
      </c>
      <c r="V4" s="898">
        <v>15</v>
      </c>
      <c r="W4" s="898">
        <v>3110</v>
      </c>
      <c r="X4" s="898">
        <v>2774</v>
      </c>
      <c r="Y4" s="898">
        <v>211</v>
      </c>
      <c r="Z4" s="898">
        <v>39</v>
      </c>
      <c r="AA4" s="898">
        <v>3314</v>
      </c>
      <c r="AB4" s="898">
        <v>3135</v>
      </c>
      <c r="AC4" s="898">
        <v>154</v>
      </c>
      <c r="AD4" s="898">
        <v>25</v>
      </c>
      <c r="AE4" s="898">
        <v>3568</v>
      </c>
      <c r="AF4" s="898">
        <v>3487</v>
      </c>
      <c r="AG4" s="898">
        <v>56</v>
      </c>
      <c r="AH4" s="898">
        <v>25</v>
      </c>
      <c r="AI4" s="898">
        <v>3828</v>
      </c>
      <c r="AJ4" s="898">
        <v>3591</v>
      </c>
      <c r="AK4" s="898">
        <v>223</v>
      </c>
      <c r="AL4" s="898">
        <v>14</v>
      </c>
      <c r="AM4" s="888">
        <f t="shared" si="22"/>
        <v>3.11</v>
      </c>
      <c r="AN4" s="888">
        <f t="shared" si="23"/>
        <v>2.2839999999999998</v>
      </c>
      <c r="AO4" s="888">
        <f t="shared" si="24"/>
        <v>0.77700000000000002</v>
      </c>
      <c r="AP4" s="888">
        <f t="shared" si="25"/>
        <v>4.9000000000000002E-2</v>
      </c>
      <c r="AQ4" s="888">
        <f t="shared" si="26"/>
        <v>3.6989999999999998</v>
      </c>
      <c r="AR4" s="888">
        <f t="shared" si="27"/>
        <v>3.0670000000000002</v>
      </c>
      <c r="AS4" s="888">
        <f t="shared" si="28"/>
        <v>0.60499999999999998</v>
      </c>
      <c r="AT4" s="888">
        <f t="shared" si="29"/>
        <v>2.5999999999999999E-2</v>
      </c>
      <c r="AU4" s="888">
        <f t="shared" si="30"/>
        <v>3.6789999999999998</v>
      </c>
      <c r="AV4" s="888">
        <f t="shared" si="31"/>
        <v>3.3090000000000002</v>
      </c>
      <c r="AW4" s="888">
        <f t="shared" si="32"/>
        <v>0.35399999999999998</v>
      </c>
      <c r="AX4" s="888">
        <f t="shared" si="33"/>
        <v>1.6E-2</v>
      </c>
      <c r="AY4" s="888">
        <f t="shared" si="34"/>
        <v>3.4540000000000002</v>
      </c>
      <c r="AZ4" s="888">
        <f t="shared" si="35"/>
        <v>2.8740000000000001</v>
      </c>
      <c r="BA4" s="888">
        <f t="shared" si="36"/>
        <v>0.56399999999999995</v>
      </c>
      <c r="BB4" s="888">
        <f t="shared" si="37"/>
        <v>1.4999999999999999E-2</v>
      </c>
      <c r="BC4" s="888">
        <f t="shared" si="38"/>
        <v>3.11</v>
      </c>
      <c r="BD4" s="888">
        <f t="shared" si="39"/>
        <v>2.774</v>
      </c>
      <c r="BE4" s="888">
        <f t="shared" si="40"/>
        <v>0.21099999999999999</v>
      </c>
      <c r="BF4" s="888">
        <f t="shared" si="41"/>
        <v>3.9E-2</v>
      </c>
      <c r="BG4" s="888">
        <f t="shared" si="42"/>
        <v>3.3140000000000001</v>
      </c>
      <c r="BH4" s="888">
        <f t="shared" si="43"/>
        <v>3.1349999999999998</v>
      </c>
      <c r="BI4" s="888">
        <f t="shared" si="44"/>
        <v>0.154</v>
      </c>
      <c r="BJ4" s="888">
        <f t="shared" si="45"/>
        <v>2.5000000000000001E-2</v>
      </c>
      <c r="BK4" s="888">
        <f t="shared" si="46"/>
        <v>3.5680000000000001</v>
      </c>
      <c r="BL4" s="888">
        <f t="shared" si="47"/>
        <v>3.4870000000000001</v>
      </c>
      <c r="BM4" s="888">
        <f t="shared" si="48"/>
        <v>5.6000000000000001E-2</v>
      </c>
      <c r="BN4" s="888">
        <f t="shared" si="49"/>
        <v>2.5000000000000001E-2</v>
      </c>
      <c r="BO4" s="888">
        <f t="shared" si="50"/>
        <v>3.8279999999999998</v>
      </c>
      <c r="BP4" s="888">
        <f t="shared" si="51"/>
        <v>3.5910000000000002</v>
      </c>
      <c r="BQ4" s="888">
        <f t="shared" si="52"/>
        <v>0.223</v>
      </c>
      <c r="BR4" s="888">
        <f t="shared" si="53"/>
        <v>1.4E-2</v>
      </c>
      <c r="BS4" s="904" t="s">
        <v>134</v>
      </c>
    </row>
    <row r="5" spans="1:75" x14ac:dyDescent="0.25">
      <c r="A5" s="884" t="s">
        <v>139</v>
      </c>
      <c r="B5" s="884" t="s">
        <v>140</v>
      </c>
      <c r="C5" s="886" t="s">
        <v>112</v>
      </c>
      <c r="D5" s="886">
        <v>3.93</v>
      </c>
      <c r="E5" s="886" t="s">
        <v>73</v>
      </c>
      <c r="F5" s="887">
        <v>3854</v>
      </c>
      <c r="G5" s="897">
        <v>3626</v>
      </c>
      <c r="H5" s="898">
        <v>2664</v>
      </c>
      <c r="I5" s="898">
        <v>906</v>
      </c>
      <c r="J5" s="898">
        <v>57</v>
      </c>
      <c r="K5" s="897">
        <v>4313</v>
      </c>
      <c r="L5" s="898">
        <v>3577</v>
      </c>
      <c r="M5" s="898">
        <v>706</v>
      </c>
      <c r="N5" s="898">
        <v>30</v>
      </c>
      <c r="O5" s="898">
        <v>4290</v>
      </c>
      <c r="P5" s="898">
        <v>3859</v>
      </c>
      <c r="Q5" s="898">
        <v>413</v>
      </c>
      <c r="R5" s="898">
        <v>19</v>
      </c>
      <c r="S5" s="898">
        <v>4027</v>
      </c>
      <c r="T5" s="898">
        <v>3352</v>
      </c>
      <c r="U5" s="898">
        <v>658</v>
      </c>
      <c r="V5" s="898">
        <v>18</v>
      </c>
      <c r="W5" s="898">
        <v>3626</v>
      </c>
      <c r="X5" s="898">
        <v>3235</v>
      </c>
      <c r="Y5" s="898">
        <v>246</v>
      </c>
      <c r="Z5" s="898">
        <v>46</v>
      </c>
      <c r="AA5" s="898">
        <v>3865</v>
      </c>
      <c r="AB5" s="898">
        <v>3655</v>
      </c>
      <c r="AC5" s="898">
        <v>180</v>
      </c>
      <c r="AD5" s="898">
        <v>29</v>
      </c>
      <c r="AE5" s="898">
        <v>4161</v>
      </c>
      <c r="AF5" s="898">
        <v>4066</v>
      </c>
      <c r="AG5" s="898">
        <v>66</v>
      </c>
      <c r="AH5" s="898">
        <v>29</v>
      </c>
      <c r="AI5" s="898">
        <v>4464</v>
      </c>
      <c r="AJ5" s="898">
        <v>4188</v>
      </c>
      <c r="AK5" s="898">
        <v>260</v>
      </c>
      <c r="AL5" s="898">
        <v>16</v>
      </c>
      <c r="AM5" s="888">
        <f t="shared" si="22"/>
        <v>3.6259999999999999</v>
      </c>
      <c r="AN5" s="888">
        <f t="shared" si="23"/>
        <v>2.6640000000000001</v>
      </c>
      <c r="AO5" s="888">
        <f t="shared" si="24"/>
        <v>0.90600000000000003</v>
      </c>
      <c r="AP5" s="888">
        <f t="shared" si="25"/>
        <v>5.7000000000000002E-2</v>
      </c>
      <c r="AQ5" s="888">
        <f t="shared" si="26"/>
        <v>4.3129999999999997</v>
      </c>
      <c r="AR5" s="888">
        <f t="shared" si="27"/>
        <v>3.577</v>
      </c>
      <c r="AS5" s="888">
        <f t="shared" si="28"/>
        <v>0.70599999999999996</v>
      </c>
      <c r="AT5" s="888">
        <f t="shared" si="29"/>
        <v>0.03</v>
      </c>
      <c r="AU5" s="888">
        <f t="shared" si="30"/>
        <v>4.29</v>
      </c>
      <c r="AV5" s="888">
        <f t="shared" si="31"/>
        <v>3.859</v>
      </c>
      <c r="AW5" s="888">
        <f t="shared" si="32"/>
        <v>0.41299999999999998</v>
      </c>
      <c r="AX5" s="888">
        <f t="shared" si="33"/>
        <v>1.9E-2</v>
      </c>
      <c r="AY5" s="888">
        <f t="shared" si="34"/>
        <v>4.0270000000000001</v>
      </c>
      <c r="AZ5" s="888">
        <f t="shared" si="35"/>
        <v>3.3519999999999999</v>
      </c>
      <c r="BA5" s="888">
        <f t="shared" si="36"/>
        <v>0.65800000000000003</v>
      </c>
      <c r="BB5" s="888">
        <f t="shared" si="37"/>
        <v>1.7999999999999999E-2</v>
      </c>
      <c r="BC5" s="888">
        <f t="shared" si="38"/>
        <v>3.6259999999999999</v>
      </c>
      <c r="BD5" s="888">
        <f t="shared" si="39"/>
        <v>3.2349999999999999</v>
      </c>
      <c r="BE5" s="888">
        <f t="shared" si="40"/>
        <v>0.246</v>
      </c>
      <c r="BF5" s="888">
        <f t="shared" si="41"/>
        <v>4.5999999999999999E-2</v>
      </c>
      <c r="BG5" s="888">
        <f t="shared" si="42"/>
        <v>3.8650000000000002</v>
      </c>
      <c r="BH5" s="888">
        <f t="shared" si="43"/>
        <v>3.6549999999999998</v>
      </c>
      <c r="BI5" s="888">
        <f t="shared" si="44"/>
        <v>0.18</v>
      </c>
      <c r="BJ5" s="888">
        <f t="shared" si="45"/>
        <v>2.9000000000000001E-2</v>
      </c>
      <c r="BK5" s="888">
        <f t="shared" si="46"/>
        <v>4.1609999999999996</v>
      </c>
      <c r="BL5" s="888">
        <f t="shared" si="47"/>
        <v>4.0659999999999998</v>
      </c>
      <c r="BM5" s="888">
        <f t="shared" si="48"/>
        <v>6.6000000000000003E-2</v>
      </c>
      <c r="BN5" s="888">
        <f t="shared" si="49"/>
        <v>2.9000000000000001E-2</v>
      </c>
      <c r="BO5" s="888">
        <f t="shared" si="50"/>
        <v>4.4640000000000004</v>
      </c>
      <c r="BP5" s="888">
        <f t="shared" si="51"/>
        <v>4.1879999999999997</v>
      </c>
      <c r="BQ5" s="888">
        <f t="shared" si="52"/>
        <v>0.26</v>
      </c>
      <c r="BR5" s="888">
        <f t="shared" si="53"/>
        <v>1.6E-2</v>
      </c>
      <c r="BS5" s="904" t="s">
        <v>134</v>
      </c>
    </row>
    <row r="6" spans="1:75" x14ac:dyDescent="0.25">
      <c r="A6" s="884" t="s">
        <v>141</v>
      </c>
      <c r="B6" s="884" t="s">
        <v>142</v>
      </c>
      <c r="C6" s="886" t="s">
        <v>112</v>
      </c>
      <c r="D6" s="886">
        <v>1.74</v>
      </c>
      <c r="E6" s="886" t="s">
        <v>73</v>
      </c>
      <c r="F6" s="887">
        <v>5002</v>
      </c>
      <c r="G6" s="897">
        <v>1606</v>
      </c>
      <c r="H6" s="898">
        <v>1179</v>
      </c>
      <c r="I6" s="898">
        <v>401</v>
      </c>
      <c r="J6" s="898">
        <v>25</v>
      </c>
      <c r="K6" s="897">
        <v>1910</v>
      </c>
      <c r="L6" s="898">
        <v>1584</v>
      </c>
      <c r="M6" s="898">
        <v>313</v>
      </c>
      <c r="N6" s="898">
        <v>14</v>
      </c>
      <c r="O6" s="898">
        <v>1900</v>
      </c>
      <c r="P6" s="898">
        <v>1709</v>
      </c>
      <c r="Q6" s="898">
        <v>183</v>
      </c>
      <c r="R6" s="898">
        <v>8</v>
      </c>
      <c r="S6" s="898">
        <v>1783</v>
      </c>
      <c r="T6" s="898">
        <v>1484</v>
      </c>
      <c r="U6" s="898">
        <v>291</v>
      </c>
      <c r="V6" s="898">
        <v>8</v>
      </c>
      <c r="W6" s="898">
        <v>1606</v>
      </c>
      <c r="X6" s="898">
        <v>1432</v>
      </c>
      <c r="Y6" s="898">
        <v>109</v>
      </c>
      <c r="Z6" s="898">
        <v>20</v>
      </c>
      <c r="AA6" s="898">
        <v>1711</v>
      </c>
      <c r="AB6" s="898">
        <v>1618</v>
      </c>
      <c r="AC6" s="898">
        <v>80</v>
      </c>
      <c r="AD6" s="898">
        <v>13</v>
      </c>
      <c r="AE6" s="898">
        <v>1842</v>
      </c>
      <c r="AF6" s="898">
        <v>1800</v>
      </c>
      <c r="AG6" s="898">
        <v>29</v>
      </c>
      <c r="AH6" s="898">
        <v>13</v>
      </c>
      <c r="AI6" s="898">
        <v>1977</v>
      </c>
      <c r="AJ6" s="898">
        <v>1854</v>
      </c>
      <c r="AK6" s="898">
        <v>115</v>
      </c>
      <c r="AL6" s="898">
        <v>7</v>
      </c>
      <c r="AM6" s="888">
        <f t="shared" si="22"/>
        <v>1.6060000000000001</v>
      </c>
      <c r="AN6" s="888">
        <f t="shared" si="23"/>
        <v>1.179</v>
      </c>
      <c r="AO6" s="888">
        <f t="shared" si="24"/>
        <v>0.40100000000000002</v>
      </c>
      <c r="AP6" s="888">
        <f t="shared" si="25"/>
        <v>2.5000000000000001E-2</v>
      </c>
      <c r="AQ6" s="888">
        <f t="shared" si="26"/>
        <v>1.91</v>
      </c>
      <c r="AR6" s="888">
        <f t="shared" si="27"/>
        <v>1.5840000000000001</v>
      </c>
      <c r="AS6" s="888">
        <f t="shared" si="28"/>
        <v>0.313</v>
      </c>
      <c r="AT6" s="888">
        <f t="shared" si="29"/>
        <v>1.4E-2</v>
      </c>
      <c r="AU6" s="888">
        <f t="shared" si="30"/>
        <v>1.9</v>
      </c>
      <c r="AV6" s="888">
        <f t="shared" si="31"/>
        <v>1.7090000000000001</v>
      </c>
      <c r="AW6" s="888">
        <f t="shared" si="32"/>
        <v>0.183</v>
      </c>
      <c r="AX6" s="888">
        <f t="shared" si="33"/>
        <v>8.0000000000000002E-3</v>
      </c>
      <c r="AY6" s="888">
        <f t="shared" si="34"/>
        <v>1.7829999999999999</v>
      </c>
      <c r="AZ6" s="888">
        <f t="shared" si="35"/>
        <v>1.484</v>
      </c>
      <c r="BA6" s="888">
        <f t="shared" si="36"/>
        <v>0.29099999999999998</v>
      </c>
      <c r="BB6" s="888">
        <f t="shared" si="37"/>
        <v>8.0000000000000002E-3</v>
      </c>
      <c r="BC6" s="888">
        <f t="shared" si="38"/>
        <v>1.6060000000000001</v>
      </c>
      <c r="BD6" s="888">
        <f t="shared" si="39"/>
        <v>1.4319999999999999</v>
      </c>
      <c r="BE6" s="888">
        <f t="shared" si="40"/>
        <v>0.109</v>
      </c>
      <c r="BF6" s="888">
        <f t="shared" si="41"/>
        <v>0.02</v>
      </c>
      <c r="BG6" s="888">
        <f t="shared" si="42"/>
        <v>1.7110000000000001</v>
      </c>
      <c r="BH6" s="888">
        <f t="shared" si="43"/>
        <v>1.6180000000000001</v>
      </c>
      <c r="BI6" s="888">
        <f t="shared" si="44"/>
        <v>0.08</v>
      </c>
      <c r="BJ6" s="888">
        <f t="shared" si="45"/>
        <v>1.2999999999999999E-2</v>
      </c>
      <c r="BK6" s="888">
        <f t="shared" si="46"/>
        <v>1.8420000000000001</v>
      </c>
      <c r="BL6" s="888">
        <f t="shared" si="47"/>
        <v>1.8</v>
      </c>
      <c r="BM6" s="888">
        <f t="shared" si="48"/>
        <v>2.9000000000000001E-2</v>
      </c>
      <c r="BN6" s="888">
        <f t="shared" si="49"/>
        <v>1.2999999999999999E-2</v>
      </c>
      <c r="BO6" s="888">
        <f t="shared" si="50"/>
        <v>1.9770000000000001</v>
      </c>
      <c r="BP6" s="888">
        <f t="shared" si="51"/>
        <v>1.8540000000000001</v>
      </c>
      <c r="BQ6" s="888">
        <f t="shared" si="52"/>
        <v>0.115</v>
      </c>
      <c r="BR6" s="888">
        <f t="shared" si="53"/>
        <v>7.0000000000000001E-3</v>
      </c>
      <c r="BS6" s="904" t="s">
        <v>134</v>
      </c>
    </row>
    <row r="7" spans="1:75" x14ac:dyDescent="0.25">
      <c r="A7" s="884" t="s">
        <v>143</v>
      </c>
      <c r="B7" s="884" t="s">
        <v>144</v>
      </c>
      <c r="C7" s="886" t="s">
        <v>112</v>
      </c>
      <c r="D7" s="886">
        <v>1.51</v>
      </c>
      <c r="E7" s="886" t="s">
        <v>73</v>
      </c>
      <c r="F7" s="887">
        <v>2415</v>
      </c>
      <c r="G7" s="897">
        <v>1393</v>
      </c>
      <c r="H7" s="898">
        <v>1023</v>
      </c>
      <c r="I7" s="898">
        <v>348</v>
      </c>
      <c r="J7" s="898">
        <v>22</v>
      </c>
      <c r="K7" s="897">
        <v>1657</v>
      </c>
      <c r="L7" s="898">
        <v>1374</v>
      </c>
      <c r="M7" s="898">
        <v>271</v>
      </c>
      <c r="N7" s="898">
        <v>12</v>
      </c>
      <c r="O7" s="898">
        <v>1648</v>
      </c>
      <c r="P7" s="898">
        <v>1483</v>
      </c>
      <c r="Q7" s="898">
        <v>159</v>
      </c>
      <c r="R7" s="898">
        <v>7</v>
      </c>
      <c r="S7" s="898">
        <v>1547</v>
      </c>
      <c r="T7" s="898">
        <v>1288</v>
      </c>
      <c r="U7" s="898">
        <v>253</v>
      </c>
      <c r="V7" s="898">
        <v>7</v>
      </c>
      <c r="W7" s="898">
        <v>1393</v>
      </c>
      <c r="X7" s="898">
        <v>1243</v>
      </c>
      <c r="Y7" s="898">
        <v>95</v>
      </c>
      <c r="Z7" s="898">
        <v>17</v>
      </c>
      <c r="AA7" s="898">
        <v>1485</v>
      </c>
      <c r="AB7" s="898">
        <v>1405</v>
      </c>
      <c r="AC7" s="898">
        <v>69</v>
      </c>
      <c r="AD7" s="898">
        <v>11</v>
      </c>
      <c r="AE7" s="898">
        <v>1599</v>
      </c>
      <c r="AF7" s="898">
        <v>1562</v>
      </c>
      <c r="AG7" s="898">
        <v>25</v>
      </c>
      <c r="AH7" s="898">
        <v>11</v>
      </c>
      <c r="AI7" s="898">
        <v>1715</v>
      </c>
      <c r="AJ7" s="898">
        <v>1609</v>
      </c>
      <c r="AK7" s="898">
        <v>100</v>
      </c>
      <c r="AL7" s="898">
        <v>6</v>
      </c>
      <c r="AM7" s="888">
        <f t="shared" si="22"/>
        <v>1.393</v>
      </c>
      <c r="AN7" s="888">
        <f t="shared" si="23"/>
        <v>1.0229999999999999</v>
      </c>
      <c r="AO7" s="888">
        <f t="shared" si="24"/>
        <v>0.34799999999999998</v>
      </c>
      <c r="AP7" s="888">
        <f t="shared" si="25"/>
        <v>2.1999999999999999E-2</v>
      </c>
      <c r="AQ7" s="888">
        <f t="shared" si="26"/>
        <v>1.657</v>
      </c>
      <c r="AR7" s="888">
        <f t="shared" si="27"/>
        <v>1.3740000000000001</v>
      </c>
      <c r="AS7" s="888">
        <f t="shared" si="28"/>
        <v>0.27100000000000002</v>
      </c>
      <c r="AT7" s="888">
        <f t="shared" si="29"/>
        <v>1.2E-2</v>
      </c>
      <c r="AU7" s="888">
        <f t="shared" si="30"/>
        <v>1.6479999999999999</v>
      </c>
      <c r="AV7" s="888">
        <f t="shared" si="31"/>
        <v>1.4830000000000001</v>
      </c>
      <c r="AW7" s="888">
        <f t="shared" si="32"/>
        <v>0.159</v>
      </c>
      <c r="AX7" s="888">
        <f t="shared" si="33"/>
        <v>7.0000000000000001E-3</v>
      </c>
      <c r="AY7" s="888">
        <f t="shared" si="34"/>
        <v>1.5469999999999999</v>
      </c>
      <c r="AZ7" s="888">
        <f t="shared" si="35"/>
        <v>1.288</v>
      </c>
      <c r="BA7" s="888">
        <f t="shared" si="36"/>
        <v>0.253</v>
      </c>
      <c r="BB7" s="888">
        <f t="shared" si="37"/>
        <v>7.0000000000000001E-3</v>
      </c>
      <c r="BC7" s="888">
        <f t="shared" si="38"/>
        <v>1.393</v>
      </c>
      <c r="BD7" s="888">
        <f t="shared" si="39"/>
        <v>1.2430000000000001</v>
      </c>
      <c r="BE7" s="888">
        <f t="shared" si="40"/>
        <v>9.5000000000000001E-2</v>
      </c>
      <c r="BF7" s="888">
        <f t="shared" si="41"/>
        <v>1.7000000000000001E-2</v>
      </c>
      <c r="BG7" s="888">
        <f t="shared" si="42"/>
        <v>1.4850000000000001</v>
      </c>
      <c r="BH7" s="888">
        <f t="shared" si="43"/>
        <v>1.405</v>
      </c>
      <c r="BI7" s="888">
        <f t="shared" si="44"/>
        <v>6.9000000000000006E-2</v>
      </c>
      <c r="BJ7" s="888">
        <f t="shared" si="45"/>
        <v>1.0999999999999999E-2</v>
      </c>
      <c r="BK7" s="888">
        <f t="shared" si="46"/>
        <v>1.599</v>
      </c>
      <c r="BL7" s="888">
        <f t="shared" si="47"/>
        <v>1.5620000000000001</v>
      </c>
      <c r="BM7" s="888">
        <f t="shared" si="48"/>
        <v>2.5000000000000001E-2</v>
      </c>
      <c r="BN7" s="888">
        <f t="shared" si="49"/>
        <v>1.0999999999999999E-2</v>
      </c>
      <c r="BO7" s="888">
        <f t="shared" si="50"/>
        <v>1.7150000000000001</v>
      </c>
      <c r="BP7" s="888">
        <f t="shared" si="51"/>
        <v>1.609</v>
      </c>
      <c r="BQ7" s="888">
        <f t="shared" si="52"/>
        <v>0.1</v>
      </c>
      <c r="BR7" s="888">
        <f t="shared" si="53"/>
        <v>6.0000000000000001E-3</v>
      </c>
      <c r="BS7" s="904" t="s">
        <v>134</v>
      </c>
    </row>
    <row r="8" spans="1:75" x14ac:dyDescent="0.25">
      <c r="A8" s="890" t="s">
        <v>145</v>
      </c>
      <c r="B8" s="890" t="s">
        <v>146</v>
      </c>
      <c r="C8" s="891" t="s">
        <v>112</v>
      </c>
      <c r="D8" s="891">
        <v>0.99</v>
      </c>
      <c r="E8" s="891" t="s">
        <v>73</v>
      </c>
      <c r="F8" s="887">
        <v>0</v>
      </c>
      <c r="G8" s="897">
        <v>914</v>
      </c>
      <c r="H8" s="898">
        <v>671</v>
      </c>
      <c r="I8" s="898">
        <v>228</v>
      </c>
      <c r="J8" s="898">
        <v>14</v>
      </c>
      <c r="K8" s="897">
        <v>1087</v>
      </c>
      <c r="L8" s="898">
        <v>901</v>
      </c>
      <c r="M8" s="898">
        <v>178</v>
      </c>
      <c r="N8" s="898">
        <v>8</v>
      </c>
      <c r="O8" s="898">
        <v>1081</v>
      </c>
      <c r="P8" s="898">
        <v>972</v>
      </c>
      <c r="Q8" s="898">
        <v>104</v>
      </c>
      <c r="R8" s="898">
        <v>5</v>
      </c>
      <c r="S8" s="898">
        <v>1015</v>
      </c>
      <c r="T8" s="898">
        <v>844</v>
      </c>
      <c r="U8" s="898">
        <v>166</v>
      </c>
      <c r="V8" s="898">
        <v>4</v>
      </c>
      <c r="W8" s="898">
        <v>914</v>
      </c>
      <c r="X8" s="898">
        <v>815</v>
      </c>
      <c r="Y8" s="898">
        <v>62</v>
      </c>
      <c r="Z8" s="898">
        <v>11</v>
      </c>
      <c r="AA8" s="898">
        <v>974</v>
      </c>
      <c r="AB8" s="898">
        <v>921</v>
      </c>
      <c r="AC8" s="898">
        <v>45</v>
      </c>
      <c r="AD8" s="898">
        <v>7</v>
      </c>
      <c r="AE8" s="898">
        <v>1048</v>
      </c>
      <c r="AF8" s="898">
        <v>1024</v>
      </c>
      <c r="AG8" s="898">
        <v>17</v>
      </c>
      <c r="AH8" s="898">
        <v>7</v>
      </c>
      <c r="AI8" s="898">
        <v>1125</v>
      </c>
      <c r="AJ8" s="898">
        <v>1055</v>
      </c>
      <c r="AK8" s="898">
        <v>66</v>
      </c>
      <c r="AL8" s="898">
        <v>4</v>
      </c>
      <c r="AM8" s="888">
        <f t="shared" si="22"/>
        <v>0.91400000000000003</v>
      </c>
      <c r="AN8" s="888">
        <f t="shared" si="23"/>
        <v>0.67100000000000004</v>
      </c>
      <c r="AO8" s="888">
        <f t="shared" si="24"/>
        <v>0.22800000000000001</v>
      </c>
      <c r="AP8" s="888">
        <f t="shared" si="25"/>
        <v>1.4E-2</v>
      </c>
      <c r="AQ8" s="888">
        <f t="shared" si="26"/>
        <v>1.087</v>
      </c>
      <c r="AR8" s="888">
        <f t="shared" si="27"/>
        <v>0.90100000000000002</v>
      </c>
      <c r="AS8" s="888">
        <f t="shared" si="28"/>
        <v>0.17799999999999999</v>
      </c>
      <c r="AT8" s="888">
        <f t="shared" si="29"/>
        <v>8.0000000000000002E-3</v>
      </c>
      <c r="AU8" s="888">
        <f t="shared" si="30"/>
        <v>1.081</v>
      </c>
      <c r="AV8" s="888">
        <f t="shared" si="31"/>
        <v>0.97199999999999998</v>
      </c>
      <c r="AW8" s="888">
        <f t="shared" si="32"/>
        <v>0.104</v>
      </c>
      <c r="AX8" s="888">
        <f t="shared" si="33"/>
        <v>5.0000000000000001E-3</v>
      </c>
      <c r="AY8" s="888">
        <f t="shared" si="34"/>
        <v>1.0149999999999999</v>
      </c>
      <c r="AZ8" s="888">
        <f t="shared" si="35"/>
        <v>0.84399999999999997</v>
      </c>
      <c r="BA8" s="888">
        <f t="shared" si="36"/>
        <v>0.16600000000000001</v>
      </c>
      <c r="BB8" s="888">
        <f t="shared" si="37"/>
        <v>4.0000000000000001E-3</v>
      </c>
      <c r="BC8" s="888">
        <f t="shared" si="38"/>
        <v>0.91400000000000003</v>
      </c>
      <c r="BD8" s="888">
        <f t="shared" si="39"/>
        <v>0.81499999999999995</v>
      </c>
      <c r="BE8" s="888">
        <f t="shared" si="40"/>
        <v>6.2E-2</v>
      </c>
      <c r="BF8" s="888">
        <f t="shared" si="41"/>
        <v>1.0999999999999999E-2</v>
      </c>
      <c r="BG8" s="888">
        <f t="shared" si="42"/>
        <v>0.97399999999999998</v>
      </c>
      <c r="BH8" s="888">
        <f t="shared" si="43"/>
        <v>0.92100000000000004</v>
      </c>
      <c r="BI8" s="888">
        <f t="shared" si="44"/>
        <v>4.4999999999999998E-2</v>
      </c>
      <c r="BJ8" s="888">
        <f t="shared" si="45"/>
        <v>7.0000000000000001E-3</v>
      </c>
      <c r="BK8" s="888">
        <f t="shared" si="46"/>
        <v>1.048</v>
      </c>
      <c r="BL8" s="888">
        <f t="shared" si="47"/>
        <v>1.024</v>
      </c>
      <c r="BM8" s="888">
        <f t="shared" si="48"/>
        <v>1.7000000000000001E-2</v>
      </c>
      <c r="BN8" s="888">
        <f t="shared" si="49"/>
        <v>7.0000000000000001E-3</v>
      </c>
      <c r="BO8" s="888">
        <f t="shared" si="50"/>
        <v>1.125</v>
      </c>
      <c r="BP8" s="888">
        <f t="shared" si="51"/>
        <v>1.0549999999999999</v>
      </c>
      <c r="BQ8" s="888">
        <f t="shared" si="52"/>
        <v>6.6000000000000003E-2</v>
      </c>
      <c r="BR8" s="888">
        <f t="shared" si="53"/>
        <v>4.0000000000000001E-3</v>
      </c>
      <c r="BS8" s="904" t="s">
        <v>134</v>
      </c>
      <c r="BT8" s="904" t="s">
        <v>133</v>
      </c>
      <c r="BU8" s="904" t="s">
        <v>133</v>
      </c>
      <c r="BV8" s="904" t="s">
        <v>133</v>
      </c>
      <c r="BW8" s="904" t="s">
        <v>133</v>
      </c>
    </row>
    <row r="9" spans="1:75" x14ac:dyDescent="0.25">
      <c r="A9" s="890" t="s">
        <v>147</v>
      </c>
      <c r="B9" s="890" t="s">
        <v>148</v>
      </c>
      <c r="C9" s="891" t="s">
        <v>112</v>
      </c>
      <c r="D9" s="891">
        <v>13.24</v>
      </c>
      <c r="E9" s="891" t="s">
        <v>73</v>
      </c>
      <c r="F9" s="887">
        <v>0</v>
      </c>
      <c r="G9" s="897">
        <v>12217</v>
      </c>
      <c r="H9" s="898">
        <v>8974</v>
      </c>
      <c r="I9" s="898">
        <v>3052</v>
      </c>
      <c r="J9" s="898">
        <v>192</v>
      </c>
      <c r="K9" s="897">
        <v>14531</v>
      </c>
      <c r="L9" s="898">
        <v>12050</v>
      </c>
      <c r="M9" s="898">
        <v>2378</v>
      </c>
      <c r="N9" s="898">
        <v>103</v>
      </c>
      <c r="O9" s="898">
        <v>14454</v>
      </c>
      <c r="P9" s="898">
        <v>13000</v>
      </c>
      <c r="Q9" s="898">
        <v>1392</v>
      </c>
      <c r="R9" s="898">
        <v>62</v>
      </c>
      <c r="S9" s="898">
        <v>13568</v>
      </c>
      <c r="T9" s="898">
        <v>11291</v>
      </c>
      <c r="U9" s="898">
        <v>2217</v>
      </c>
      <c r="V9" s="898">
        <v>60</v>
      </c>
      <c r="W9" s="898">
        <v>12217</v>
      </c>
      <c r="X9" s="898">
        <v>10899</v>
      </c>
      <c r="Y9" s="898">
        <v>829</v>
      </c>
      <c r="Z9" s="898">
        <v>153</v>
      </c>
      <c r="AA9" s="898">
        <v>13021</v>
      </c>
      <c r="AB9" s="898">
        <v>12315</v>
      </c>
      <c r="AC9" s="898">
        <v>607</v>
      </c>
      <c r="AD9" s="898">
        <v>99</v>
      </c>
      <c r="AE9" s="898">
        <v>14017</v>
      </c>
      <c r="AF9" s="898">
        <v>13699</v>
      </c>
      <c r="AG9" s="898">
        <v>222</v>
      </c>
      <c r="AH9" s="898">
        <v>97</v>
      </c>
      <c r="AI9" s="898">
        <v>15040</v>
      </c>
      <c r="AJ9" s="898">
        <v>14109</v>
      </c>
      <c r="AK9" s="898">
        <v>877</v>
      </c>
      <c r="AL9" s="898">
        <v>54</v>
      </c>
      <c r="AM9" s="888">
        <f t="shared" si="22"/>
        <v>12.217000000000001</v>
      </c>
      <c r="AN9" s="888">
        <f t="shared" si="23"/>
        <v>8.9740000000000002</v>
      </c>
      <c r="AO9" s="888">
        <f t="shared" si="24"/>
        <v>3.052</v>
      </c>
      <c r="AP9" s="888">
        <f t="shared" si="25"/>
        <v>0.192</v>
      </c>
      <c r="AQ9" s="888">
        <f t="shared" si="26"/>
        <v>14.531000000000001</v>
      </c>
      <c r="AR9" s="888">
        <f t="shared" si="27"/>
        <v>12.05</v>
      </c>
      <c r="AS9" s="888">
        <f t="shared" si="28"/>
        <v>2.3780000000000001</v>
      </c>
      <c r="AT9" s="888">
        <f t="shared" si="29"/>
        <v>0.10299999999999999</v>
      </c>
      <c r="AU9" s="888">
        <f t="shared" si="30"/>
        <v>14.454000000000001</v>
      </c>
      <c r="AV9" s="888">
        <f t="shared" si="31"/>
        <v>13</v>
      </c>
      <c r="AW9" s="888">
        <f t="shared" si="32"/>
        <v>1.3919999999999999</v>
      </c>
      <c r="AX9" s="888">
        <f t="shared" si="33"/>
        <v>6.2E-2</v>
      </c>
      <c r="AY9" s="888">
        <f t="shared" si="34"/>
        <v>13.568</v>
      </c>
      <c r="AZ9" s="888">
        <f t="shared" si="35"/>
        <v>11.291</v>
      </c>
      <c r="BA9" s="888">
        <f t="shared" si="36"/>
        <v>2.2170000000000001</v>
      </c>
      <c r="BB9" s="888">
        <f t="shared" si="37"/>
        <v>0.06</v>
      </c>
      <c r="BC9" s="888">
        <f t="shared" si="38"/>
        <v>12.217000000000001</v>
      </c>
      <c r="BD9" s="888">
        <f t="shared" si="39"/>
        <v>10.898999999999999</v>
      </c>
      <c r="BE9" s="888">
        <f t="shared" si="40"/>
        <v>0.82899999999999996</v>
      </c>
      <c r="BF9" s="888">
        <f t="shared" si="41"/>
        <v>0.153</v>
      </c>
      <c r="BG9" s="888">
        <f t="shared" si="42"/>
        <v>13.021000000000001</v>
      </c>
      <c r="BH9" s="888">
        <f t="shared" si="43"/>
        <v>12.315</v>
      </c>
      <c r="BI9" s="888">
        <f t="shared" si="44"/>
        <v>0.60699999999999998</v>
      </c>
      <c r="BJ9" s="888">
        <f t="shared" si="45"/>
        <v>9.9000000000000005E-2</v>
      </c>
      <c r="BK9" s="888">
        <f t="shared" si="46"/>
        <v>14.016999999999999</v>
      </c>
      <c r="BL9" s="888">
        <f t="shared" si="47"/>
        <v>13.699</v>
      </c>
      <c r="BM9" s="888">
        <f t="shared" si="48"/>
        <v>0.222</v>
      </c>
      <c r="BN9" s="888">
        <f t="shared" si="49"/>
        <v>9.7000000000000003E-2</v>
      </c>
      <c r="BO9" s="888">
        <f t="shared" si="50"/>
        <v>15.04</v>
      </c>
      <c r="BP9" s="888">
        <f t="shared" si="51"/>
        <v>14.109</v>
      </c>
      <c r="BQ9" s="888">
        <f t="shared" si="52"/>
        <v>0.877</v>
      </c>
      <c r="BR9" s="888">
        <f t="shared" si="53"/>
        <v>5.3999999999999999E-2</v>
      </c>
      <c r="BS9" s="904" t="s">
        <v>134</v>
      </c>
      <c r="BT9" s="904" t="s">
        <v>133</v>
      </c>
      <c r="BU9" s="904" t="s">
        <v>133</v>
      </c>
      <c r="BV9" s="904" t="s">
        <v>133</v>
      </c>
      <c r="BW9" s="904" t="s">
        <v>133</v>
      </c>
    </row>
    <row r="10" spans="1:75" x14ac:dyDescent="0.25">
      <c r="A10" s="884" t="s">
        <v>149</v>
      </c>
      <c r="B10" s="884" t="s">
        <v>150</v>
      </c>
      <c r="C10" s="886" t="s">
        <v>151</v>
      </c>
      <c r="D10" s="886">
        <v>9.44</v>
      </c>
      <c r="E10" s="886" t="s">
        <v>70</v>
      </c>
      <c r="F10" s="887">
        <v>9544</v>
      </c>
      <c r="G10" s="897">
        <v>9652</v>
      </c>
      <c r="H10" s="898">
        <v>7843</v>
      </c>
      <c r="I10" s="898">
        <v>1698</v>
      </c>
      <c r="J10" s="898">
        <v>111</v>
      </c>
      <c r="K10" s="897">
        <v>10403</v>
      </c>
      <c r="L10" s="898">
        <v>8623</v>
      </c>
      <c r="M10" s="898">
        <v>1707</v>
      </c>
      <c r="N10" s="898">
        <v>73</v>
      </c>
      <c r="O10" s="898">
        <v>10239</v>
      </c>
      <c r="P10" s="898">
        <v>9218</v>
      </c>
      <c r="Q10" s="898">
        <v>976</v>
      </c>
      <c r="R10" s="898">
        <v>44</v>
      </c>
      <c r="S10" s="898">
        <v>9550</v>
      </c>
      <c r="T10" s="898">
        <v>7980</v>
      </c>
      <c r="U10" s="898">
        <v>1528</v>
      </c>
      <c r="V10" s="898">
        <v>42</v>
      </c>
      <c r="W10" s="898">
        <v>9652</v>
      </c>
      <c r="X10" s="898">
        <v>6396</v>
      </c>
      <c r="Y10" s="898">
        <v>844</v>
      </c>
      <c r="Z10" s="898">
        <v>137</v>
      </c>
      <c r="AA10" s="898">
        <v>9303</v>
      </c>
      <c r="AB10" s="898">
        <v>8799</v>
      </c>
      <c r="AC10" s="898">
        <v>434</v>
      </c>
      <c r="AD10" s="898">
        <v>70</v>
      </c>
      <c r="AE10" s="898">
        <v>9992</v>
      </c>
      <c r="AF10" s="898">
        <v>9765</v>
      </c>
      <c r="AG10" s="898">
        <v>158</v>
      </c>
      <c r="AH10" s="898">
        <v>69</v>
      </c>
      <c r="AI10" s="898">
        <v>10720</v>
      </c>
      <c r="AJ10" s="898">
        <v>10073</v>
      </c>
      <c r="AK10" s="898">
        <v>607</v>
      </c>
      <c r="AL10" s="898">
        <v>39</v>
      </c>
      <c r="AM10" s="888">
        <f t="shared" si="22"/>
        <v>9652</v>
      </c>
      <c r="AN10" s="888">
        <f t="shared" si="23"/>
        <v>7843</v>
      </c>
      <c r="AO10" s="888">
        <f t="shared" si="24"/>
        <v>1698</v>
      </c>
      <c r="AP10" s="888">
        <f t="shared" si="25"/>
        <v>111</v>
      </c>
      <c r="AQ10" s="888">
        <f t="shared" si="26"/>
        <v>10403</v>
      </c>
      <c r="AR10" s="888">
        <f t="shared" si="27"/>
        <v>8623</v>
      </c>
      <c r="AS10" s="888">
        <f t="shared" si="28"/>
        <v>1707</v>
      </c>
      <c r="AT10" s="888">
        <f t="shared" si="29"/>
        <v>73</v>
      </c>
      <c r="AU10" s="888">
        <f t="shared" si="30"/>
        <v>10239</v>
      </c>
      <c r="AV10" s="888">
        <f t="shared" si="31"/>
        <v>9218</v>
      </c>
      <c r="AW10" s="888">
        <f t="shared" si="32"/>
        <v>976</v>
      </c>
      <c r="AX10" s="888">
        <f t="shared" si="33"/>
        <v>44</v>
      </c>
      <c r="AY10" s="888">
        <f t="shared" si="34"/>
        <v>9550</v>
      </c>
      <c r="AZ10" s="888">
        <f t="shared" si="35"/>
        <v>7980</v>
      </c>
      <c r="BA10" s="888">
        <f t="shared" si="36"/>
        <v>1528</v>
      </c>
      <c r="BB10" s="888">
        <f t="shared" si="37"/>
        <v>42</v>
      </c>
      <c r="BC10" s="888">
        <f t="shared" si="38"/>
        <v>9652</v>
      </c>
      <c r="BD10" s="888">
        <f t="shared" si="39"/>
        <v>6396</v>
      </c>
      <c r="BE10" s="888">
        <f t="shared" si="40"/>
        <v>844</v>
      </c>
      <c r="BF10" s="888">
        <f t="shared" si="41"/>
        <v>137</v>
      </c>
      <c r="BG10" s="888">
        <f t="shared" si="42"/>
        <v>9303</v>
      </c>
      <c r="BH10" s="888">
        <f t="shared" si="43"/>
        <v>8799</v>
      </c>
      <c r="BI10" s="888">
        <f t="shared" si="44"/>
        <v>434</v>
      </c>
      <c r="BJ10" s="888">
        <f t="shared" si="45"/>
        <v>70</v>
      </c>
      <c r="BK10" s="888">
        <f t="shared" si="46"/>
        <v>9992</v>
      </c>
      <c r="BL10" s="888">
        <f t="shared" si="47"/>
        <v>9765</v>
      </c>
      <c r="BM10" s="888">
        <f t="shared" si="48"/>
        <v>158</v>
      </c>
      <c r="BN10" s="888">
        <f t="shared" si="49"/>
        <v>69</v>
      </c>
      <c r="BO10" s="888">
        <f t="shared" si="50"/>
        <v>10720</v>
      </c>
      <c r="BP10" s="888">
        <f t="shared" si="51"/>
        <v>10073</v>
      </c>
      <c r="BQ10" s="888">
        <f t="shared" si="52"/>
        <v>607</v>
      </c>
      <c r="BR10" s="888">
        <f t="shared" si="53"/>
        <v>39</v>
      </c>
    </row>
    <row r="11" spans="1:75" x14ac:dyDescent="0.25">
      <c r="A11" s="884" t="s">
        <v>152</v>
      </c>
      <c r="B11" s="884" t="s">
        <v>153</v>
      </c>
      <c r="C11" s="886" t="s">
        <v>151</v>
      </c>
      <c r="D11" s="886">
        <v>7.32</v>
      </c>
      <c r="E11" s="886" t="s">
        <v>70</v>
      </c>
      <c r="F11" s="887">
        <v>6701</v>
      </c>
      <c r="G11" s="897">
        <v>7484</v>
      </c>
      <c r="H11" s="898">
        <v>6082</v>
      </c>
      <c r="I11" s="898">
        <v>1316</v>
      </c>
      <c r="J11" s="898">
        <v>86</v>
      </c>
      <c r="K11" s="897">
        <v>8067</v>
      </c>
      <c r="L11" s="898">
        <v>6687</v>
      </c>
      <c r="M11" s="898">
        <v>1323</v>
      </c>
      <c r="N11" s="898">
        <v>57</v>
      </c>
      <c r="O11" s="898">
        <v>7939</v>
      </c>
      <c r="P11" s="898">
        <v>7148</v>
      </c>
      <c r="Q11" s="898">
        <v>757</v>
      </c>
      <c r="R11" s="898">
        <v>34</v>
      </c>
      <c r="S11" s="898">
        <v>7405</v>
      </c>
      <c r="T11" s="898">
        <v>6188</v>
      </c>
      <c r="U11" s="898">
        <v>1184</v>
      </c>
      <c r="V11" s="898">
        <v>33</v>
      </c>
      <c r="W11" s="898">
        <v>7484</v>
      </c>
      <c r="X11" s="898">
        <v>4959</v>
      </c>
      <c r="Y11" s="898">
        <v>654</v>
      </c>
      <c r="Z11" s="898">
        <v>106</v>
      </c>
      <c r="AA11" s="898">
        <v>7214</v>
      </c>
      <c r="AB11" s="898">
        <v>6823</v>
      </c>
      <c r="AC11" s="898">
        <v>336</v>
      </c>
      <c r="AD11" s="898">
        <v>54</v>
      </c>
      <c r="AE11" s="898">
        <v>7748</v>
      </c>
      <c r="AF11" s="898">
        <v>7572</v>
      </c>
      <c r="AG11" s="898">
        <v>122</v>
      </c>
      <c r="AH11" s="898">
        <v>54</v>
      </c>
      <c r="AI11" s="898">
        <v>8312</v>
      </c>
      <c r="AJ11" s="898">
        <v>7811</v>
      </c>
      <c r="AK11" s="898">
        <v>471</v>
      </c>
      <c r="AL11" s="898">
        <v>30</v>
      </c>
      <c r="AM11" s="888">
        <f t="shared" si="22"/>
        <v>7484</v>
      </c>
      <c r="AN11" s="888">
        <f t="shared" si="23"/>
        <v>6082</v>
      </c>
      <c r="AO11" s="888">
        <f t="shared" si="24"/>
        <v>1316</v>
      </c>
      <c r="AP11" s="888">
        <f t="shared" si="25"/>
        <v>86</v>
      </c>
      <c r="AQ11" s="888">
        <f t="shared" si="26"/>
        <v>8067</v>
      </c>
      <c r="AR11" s="888">
        <f t="shared" si="27"/>
        <v>6687</v>
      </c>
      <c r="AS11" s="888">
        <f t="shared" si="28"/>
        <v>1323</v>
      </c>
      <c r="AT11" s="888">
        <f t="shared" si="29"/>
        <v>57</v>
      </c>
      <c r="AU11" s="888">
        <f t="shared" si="30"/>
        <v>7939</v>
      </c>
      <c r="AV11" s="888">
        <f t="shared" si="31"/>
        <v>7148</v>
      </c>
      <c r="AW11" s="888">
        <f t="shared" si="32"/>
        <v>757</v>
      </c>
      <c r="AX11" s="888">
        <f t="shared" si="33"/>
        <v>34</v>
      </c>
      <c r="AY11" s="888">
        <f t="shared" si="34"/>
        <v>7405</v>
      </c>
      <c r="AZ11" s="888">
        <f t="shared" si="35"/>
        <v>6188</v>
      </c>
      <c r="BA11" s="888">
        <f t="shared" si="36"/>
        <v>1184</v>
      </c>
      <c r="BB11" s="888">
        <f t="shared" si="37"/>
        <v>33</v>
      </c>
      <c r="BC11" s="888">
        <f t="shared" si="38"/>
        <v>7484</v>
      </c>
      <c r="BD11" s="888">
        <f t="shared" si="39"/>
        <v>4959</v>
      </c>
      <c r="BE11" s="888">
        <f t="shared" si="40"/>
        <v>654</v>
      </c>
      <c r="BF11" s="888">
        <f t="shared" si="41"/>
        <v>106</v>
      </c>
      <c r="BG11" s="888">
        <f t="shared" si="42"/>
        <v>7214</v>
      </c>
      <c r="BH11" s="888">
        <f t="shared" si="43"/>
        <v>6823</v>
      </c>
      <c r="BI11" s="888">
        <f t="shared" si="44"/>
        <v>336</v>
      </c>
      <c r="BJ11" s="888">
        <f t="shared" si="45"/>
        <v>54</v>
      </c>
      <c r="BK11" s="888">
        <f t="shared" si="46"/>
        <v>7748</v>
      </c>
      <c r="BL11" s="888">
        <f t="shared" si="47"/>
        <v>7572</v>
      </c>
      <c r="BM11" s="888">
        <f t="shared" si="48"/>
        <v>122</v>
      </c>
      <c r="BN11" s="888">
        <f t="shared" si="49"/>
        <v>54</v>
      </c>
      <c r="BO11" s="888">
        <f t="shared" si="50"/>
        <v>8312</v>
      </c>
      <c r="BP11" s="888">
        <f t="shared" si="51"/>
        <v>7811</v>
      </c>
      <c r="BQ11" s="888">
        <f t="shared" si="52"/>
        <v>471</v>
      </c>
      <c r="BR11" s="888">
        <f t="shared" si="53"/>
        <v>30</v>
      </c>
    </row>
    <row r="12" spans="1:75" x14ac:dyDescent="0.25">
      <c r="A12" s="890" t="s">
        <v>154</v>
      </c>
      <c r="B12" s="890" t="s">
        <v>155</v>
      </c>
      <c r="C12" s="891" t="s">
        <v>151</v>
      </c>
      <c r="D12" s="891">
        <v>5.44</v>
      </c>
      <c r="E12" s="891" t="s">
        <v>70</v>
      </c>
      <c r="F12" s="893">
        <v>0</v>
      </c>
      <c r="G12" s="897">
        <v>5562</v>
      </c>
      <c r="H12" s="898">
        <v>4520</v>
      </c>
      <c r="I12" s="898">
        <v>978</v>
      </c>
      <c r="J12" s="898">
        <v>64</v>
      </c>
      <c r="K12" s="897">
        <v>5995</v>
      </c>
      <c r="L12" s="898">
        <v>4969</v>
      </c>
      <c r="M12" s="898">
        <v>983</v>
      </c>
      <c r="N12" s="898">
        <v>42</v>
      </c>
      <c r="O12" s="898">
        <v>5900</v>
      </c>
      <c r="P12" s="898">
        <v>5312</v>
      </c>
      <c r="Q12" s="898">
        <v>562</v>
      </c>
      <c r="R12" s="898">
        <v>26</v>
      </c>
      <c r="S12" s="898">
        <v>5503</v>
      </c>
      <c r="T12" s="898">
        <v>4599</v>
      </c>
      <c r="U12" s="898">
        <v>880</v>
      </c>
      <c r="V12" s="898">
        <v>24</v>
      </c>
      <c r="W12" s="898">
        <v>5562</v>
      </c>
      <c r="X12" s="898">
        <v>3686</v>
      </c>
      <c r="Y12" s="898">
        <v>486</v>
      </c>
      <c r="Z12" s="898">
        <v>79</v>
      </c>
      <c r="AA12" s="898">
        <v>5361</v>
      </c>
      <c r="AB12" s="898">
        <v>5071</v>
      </c>
      <c r="AC12" s="898">
        <v>250</v>
      </c>
      <c r="AD12" s="898">
        <v>40</v>
      </c>
      <c r="AE12" s="898">
        <v>5758</v>
      </c>
      <c r="AF12" s="898">
        <v>5627</v>
      </c>
      <c r="AG12" s="898">
        <v>91</v>
      </c>
      <c r="AH12" s="898">
        <v>40</v>
      </c>
      <c r="AI12" s="898">
        <v>6177</v>
      </c>
      <c r="AJ12" s="898">
        <v>5805</v>
      </c>
      <c r="AK12" s="898">
        <v>350</v>
      </c>
      <c r="AL12" s="898">
        <v>22</v>
      </c>
      <c r="AM12" s="888">
        <f t="shared" si="22"/>
        <v>5562</v>
      </c>
      <c r="AN12" s="888">
        <f t="shared" si="23"/>
        <v>4520</v>
      </c>
      <c r="AO12" s="888">
        <f t="shared" si="24"/>
        <v>978</v>
      </c>
      <c r="AP12" s="888">
        <f t="shared" si="25"/>
        <v>64</v>
      </c>
      <c r="AQ12" s="888">
        <f t="shared" si="26"/>
        <v>5995</v>
      </c>
      <c r="AR12" s="888">
        <f t="shared" si="27"/>
        <v>4969</v>
      </c>
      <c r="AS12" s="888">
        <f t="shared" si="28"/>
        <v>983</v>
      </c>
      <c r="AT12" s="888">
        <f t="shared" si="29"/>
        <v>42</v>
      </c>
      <c r="AU12" s="888">
        <f t="shared" si="30"/>
        <v>5900</v>
      </c>
      <c r="AV12" s="888">
        <f t="shared" si="31"/>
        <v>5312</v>
      </c>
      <c r="AW12" s="888">
        <f t="shared" si="32"/>
        <v>562</v>
      </c>
      <c r="AX12" s="888">
        <f t="shared" si="33"/>
        <v>26</v>
      </c>
      <c r="AY12" s="888">
        <f t="shared" si="34"/>
        <v>5503</v>
      </c>
      <c r="AZ12" s="888">
        <f t="shared" si="35"/>
        <v>4599</v>
      </c>
      <c r="BA12" s="888">
        <f t="shared" si="36"/>
        <v>880</v>
      </c>
      <c r="BB12" s="888">
        <f t="shared" si="37"/>
        <v>24</v>
      </c>
      <c r="BC12" s="888">
        <f t="shared" si="38"/>
        <v>5562</v>
      </c>
      <c r="BD12" s="888">
        <f t="shared" si="39"/>
        <v>3686</v>
      </c>
      <c r="BE12" s="888">
        <f t="shared" si="40"/>
        <v>486</v>
      </c>
      <c r="BF12" s="888">
        <f t="shared" si="41"/>
        <v>79</v>
      </c>
      <c r="BG12" s="888">
        <f t="shared" si="42"/>
        <v>5361</v>
      </c>
      <c r="BH12" s="888">
        <f t="shared" si="43"/>
        <v>5071</v>
      </c>
      <c r="BI12" s="888">
        <f t="shared" si="44"/>
        <v>250</v>
      </c>
      <c r="BJ12" s="888">
        <f t="shared" si="45"/>
        <v>40</v>
      </c>
      <c r="BK12" s="888">
        <f t="shared" si="46"/>
        <v>5758</v>
      </c>
      <c r="BL12" s="888">
        <f t="shared" si="47"/>
        <v>5627</v>
      </c>
      <c r="BM12" s="888">
        <f t="shared" si="48"/>
        <v>91</v>
      </c>
      <c r="BN12" s="888">
        <f t="shared" si="49"/>
        <v>40</v>
      </c>
      <c r="BO12" s="888">
        <f t="shared" si="50"/>
        <v>6177</v>
      </c>
      <c r="BP12" s="888">
        <f t="shared" si="51"/>
        <v>5805</v>
      </c>
      <c r="BQ12" s="888">
        <f t="shared" si="52"/>
        <v>350</v>
      </c>
      <c r="BR12" s="888">
        <f t="shared" si="53"/>
        <v>22</v>
      </c>
      <c r="BS12" s="904" t="s">
        <v>133</v>
      </c>
      <c r="BT12" s="904" t="s">
        <v>133</v>
      </c>
      <c r="BU12" s="904" t="s">
        <v>133</v>
      </c>
      <c r="BV12" s="904" t="s">
        <v>133</v>
      </c>
      <c r="BW12" s="904" t="s">
        <v>133</v>
      </c>
    </row>
    <row r="13" spans="1:75" x14ac:dyDescent="0.25">
      <c r="A13" s="884" t="s">
        <v>156</v>
      </c>
      <c r="B13" s="884" t="s">
        <v>157</v>
      </c>
      <c r="C13" s="886" t="s">
        <v>151</v>
      </c>
      <c r="D13" s="886">
        <v>4.45</v>
      </c>
      <c r="E13" s="886" t="s">
        <v>70</v>
      </c>
      <c r="F13" s="887">
        <v>4188</v>
      </c>
      <c r="G13" s="897">
        <v>4550</v>
      </c>
      <c r="H13" s="898">
        <v>3697</v>
      </c>
      <c r="I13" s="898">
        <v>800</v>
      </c>
      <c r="J13" s="898">
        <v>52</v>
      </c>
      <c r="K13" s="897">
        <v>4904</v>
      </c>
      <c r="L13" s="898">
        <v>4065</v>
      </c>
      <c r="M13" s="898">
        <v>804</v>
      </c>
      <c r="N13" s="898">
        <v>35</v>
      </c>
      <c r="O13" s="898">
        <v>4827</v>
      </c>
      <c r="P13" s="898">
        <v>4346</v>
      </c>
      <c r="Q13" s="898">
        <v>460</v>
      </c>
      <c r="R13" s="898">
        <v>21</v>
      </c>
      <c r="S13" s="898">
        <v>4502</v>
      </c>
      <c r="T13" s="898">
        <v>3762</v>
      </c>
      <c r="U13" s="898">
        <v>720</v>
      </c>
      <c r="V13" s="898">
        <v>20</v>
      </c>
      <c r="W13" s="898">
        <v>4550</v>
      </c>
      <c r="X13" s="898">
        <v>3015</v>
      </c>
      <c r="Y13" s="898">
        <v>398</v>
      </c>
      <c r="Z13" s="898">
        <v>64</v>
      </c>
      <c r="AA13" s="898">
        <v>4386</v>
      </c>
      <c r="AB13" s="898">
        <v>4148</v>
      </c>
      <c r="AC13" s="898">
        <v>205</v>
      </c>
      <c r="AD13" s="898">
        <v>33</v>
      </c>
      <c r="AE13" s="898">
        <v>4710</v>
      </c>
      <c r="AF13" s="898">
        <v>4603</v>
      </c>
      <c r="AG13" s="898">
        <v>74</v>
      </c>
      <c r="AH13" s="898">
        <v>33</v>
      </c>
      <c r="AI13" s="898">
        <v>5053</v>
      </c>
      <c r="AJ13" s="898">
        <v>4749</v>
      </c>
      <c r="AK13" s="898">
        <v>286</v>
      </c>
      <c r="AL13" s="898">
        <v>18</v>
      </c>
      <c r="AM13" s="888">
        <f t="shared" si="22"/>
        <v>4550</v>
      </c>
      <c r="AN13" s="888">
        <f t="shared" si="23"/>
        <v>3697</v>
      </c>
      <c r="AO13" s="888">
        <f t="shared" si="24"/>
        <v>800</v>
      </c>
      <c r="AP13" s="888">
        <f t="shared" si="25"/>
        <v>52</v>
      </c>
      <c r="AQ13" s="888">
        <f t="shared" si="26"/>
        <v>4904</v>
      </c>
      <c r="AR13" s="888">
        <f t="shared" si="27"/>
        <v>4065</v>
      </c>
      <c r="AS13" s="888">
        <f t="shared" si="28"/>
        <v>804</v>
      </c>
      <c r="AT13" s="888">
        <f t="shared" si="29"/>
        <v>35</v>
      </c>
      <c r="AU13" s="888">
        <f t="shared" si="30"/>
        <v>4827</v>
      </c>
      <c r="AV13" s="888">
        <f t="shared" si="31"/>
        <v>4346</v>
      </c>
      <c r="AW13" s="888">
        <f t="shared" si="32"/>
        <v>460</v>
      </c>
      <c r="AX13" s="888">
        <f t="shared" si="33"/>
        <v>21</v>
      </c>
      <c r="AY13" s="888">
        <f t="shared" si="34"/>
        <v>4502</v>
      </c>
      <c r="AZ13" s="888">
        <f t="shared" si="35"/>
        <v>3762</v>
      </c>
      <c r="BA13" s="888">
        <f t="shared" si="36"/>
        <v>720</v>
      </c>
      <c r="BB13" s="888">
        <f t="shared" si="37"/>
        <v>20</v>
      </c>
      <c r="BC13" s="888">
        <f t="shared" si="38"/>
        <v>4550</v>
      </c>
      <c r="BD13" s="888">
        <f t="shared" si="39"/>
        <v>3015</v>
      </c>
      <c r="BE13" s="888">
        <f t="shared" si="40"/>
        <v>398</v>
      </c>
      <c r="BF13" s="888">
        <f t="shared" si="41"/>
        <v>64</v>
      </c>
      <c r="BG13" s="888">
        <f t="shared" si="42"/>
        <v>4386</v>
      </c>
      <c r="BH13" s="888">
        <f t="shared" si="43"/>
        <v>4148</v>
      </c>
      <c r="BI13" s="888">
        <f t="shared" si="44"/>
        <v>205</v>
      </c>
      <c r="BJ13" s="888">
        <f t="shared" si="45"/>
        <v>33</v>
      </c>
      <c r="BK13" s="888">
        <f t="shared" si="46"/>
        <v>4710</v>
      </c>
      <c r="BL13" s="888">
        <f t="shared" si="47"/>
        <v>4603</v>
      </c>
      <c r="BM13" s="888">
        <f t="shared" si="48"/>
        <v>74</v>
      </c>
      <c r="BN13" s="888">
        <f t="shared" si="49"/>
        <v>33</v>
      </c>
      <c r="BO13" s="888">
        <f t="shared" si="50"/>
        <v>5053</v>
      </c>
      <c r="BP13" s="888">
        <f t="shared" si="51"/>
        <v>4749</v>
      </c>
      <c r="BQ13" s="888">
        <f t="shared" si="52"/>
        <v>286</v>
      </c>
      <c r="BR13" s="888">
        <f t="shared" si="53"/>
        <v>18</v>
      </c>
    </row>
    <row r="14" spans="1:75" x14ac:dyDescent="0.25">
      <c r="A14" s="884" t="s">
        <v>158</v>
      </c>
      <c r="B14" s="884" t="s">
        <v>159</v>
      </c>
      <c r="C14" s="886" t="s">
        <v>151</v>
      </c>
      <c r="D14" s="886">
        <v>5.86</v>
      </c>
      <c r="E14" s="886" t="s">
        <v>70</v>
      </c>
      <c r="F14" s="887">
        <v>5843</v>
      </c>
      <c r="G14" s="897">
        <v>5991</v>
      </c>
      <c r="H14" s="898">
        <v>4869</v>
      </c>
      <c r="I14" s="898">
        <v>1054</v>
      </c>
      <c r="J14" s="898">
        <v>69</v>
      </c>
      <c r="K14" s="897">
        <v>6458</v>
      </c>
      <c r="L14" s="898">
        <v>5353</v>
      </c>
      <c r="M14" s="898">
        <v>1059</v>
      </c>
      <c r="N14" s="898">
        <v>46</v>
      </c>
      <c r="O14" s="898">
        <v>6356</v>
      </c>
      <c r="P14" s="898">
        <v>5722</v>
      </c>
      <c r="Q14" s="898">
        <v>606</v>
      </c>
      <c r="R14" s="898">
        <v>28</v>
      </c>
      <c r="S14" s="898">
        <v>5928</v>
      </c>
      <c r="T14" s="898">
        <v>4954</v>
      </c>
      <c r="U14" s="898">
        <v>948</v>
      </c>
      <c r="V14" s="898">
        <v>26</v>
      </c>
      <c r="W14" s="898">
        <v>5991</v>
      </c>
      <c r="X14" s="898">
        <v>3970</v>
      </c>
      <c r="Y14" s="898">
        <v>524</v>
      </c>
      <c r="Z14" s="898">
        <v>85</v>
      </c>
      <c r="AA14" s="898">
        <v>5775</v>
      </c>
      <c r="AB14" s="898">
        <v>5462</v>
      </c>
      <c r="AC14" s="898">
        <v>269</v>
      </c>
      <c r="AD14" s="898">
        <v>44</v>
      </c>
      <c r="AE14" s="898">
        <v>6203</v>
      </c>
      <c r="AF14" s="898">
        <v>6062</v>
      </c>
      <c r="AG14" s="898">
        <v>98</v>
      </c>
      <c r="AH14" s="898">
        <v>43</v>
      </c>
      <c r="AI14" s="898">
        <v>6654</v>
      </c>
      <c r="AJ14" s="898">
        <v>6253</v>
      </c>
      <c r="AK14" s="898">
        <v>377</v>
      </c>
      <c r="AL14" s="898">
        <v>24</v>
      </c>
      <c r="AM14" s="888">
        <f t="shared" si="22"/>
        <v>5991</v>
      </c>
      <c r="AN14" s="888">
        <f t="shared" si="23"/>
        <v>4869</v>
      </c>
      <c r="AO14" s="888">
        <f t="shared" si="24"/>
        <v>1054</v>
      </c>
      <c r="AP14" s="888">
        <f t="shared" si="25"/>
        <v>69</v>
      </c>
      <c r="AQ14" s="888">
        <f t="shared" si="26"/>
        <v>6458</v>
      </c>
      <c r="AR14" s="888">
        <f t="shared" si="27"/>
        <v>5353</v>
      </c>
      <c r="AS14" s="888">
        <f t="shared" si="28"/>
        <v>1059</v>
      </c>
      <c r="AT14" s="888">
        <f t="shared" si="29"/>
        <v>46</v>
      </c>
      <c r="AU14" s="888">
        <f t="shared" si="30"/>
        <v>6356</v>
      </c>
      <c r="AV14" s="888">
        <f t="shared" si="31"/>
        <v>5722</v>
      </c>
      <c r="AW14" s="888">
        <f t="shared" si="32"/>
        <v>606</v>
      </c>
      <c r="AX14" s="888">
        <f t="shared" si="33"/>
        <v>28</v>
      </c>
      <c r="AY14" s="888">
        <f t="shared" si="34"/>
        <v>5928</v>
      </c>
      <c r="AZ14" s="888">
        <f t="shared" si="35"/>
        <v>4954</v>
      </c>
      <c r="BA14" s="888">
        <f t="shared" si="36"/>
        <v>948</v>
      </c>
      <c r="BB14" s="888">
        <f t="shared" si="37"/>
        <v>26</v>
      </c>
      <c r="BC14" s="888">
        <f t="shared" si="38"/>
        <v>5991</v>
      </c>
      <c r="BD14" s="888">
        <f t="shared" si="39"/>
        <v>3970</v>
      </c>
      <c r="BE14" s="888">
        <f t="shared" si="40"/>
        <v>524</v>
      </c>
      <c r="BF14" s="888">
        <f t="shared" si="41"/>
        <v>85</v>
      </c>
      <c r="BG14" s="888">
        <f t="shared" si="42"/>
        <v>5775</v>
      </c>
      <c r="BH14" s="888">
        <f t="shared" si="43"/>
        <v>5462</v>
      </c>
      <c r="BI14" s="888">
        <f t="shared" si="44"/>
        <v>269</v>
      </c>
      <c r="BJ14" s="888">
        <f t="shared" si="45"/>
        <v>44</v>
      </c>
      <c r="BK14" s="888">
        <f t="shared" si="46"/>
        <v>6203</v>
      </c>
      <c r="BL14" s="888">
        <f t="shared" si="47"/>
        <v>6062</v>
      </c>
      <c r="BM14" s="888">
        <f t="shared" si="48"/>
        <v>98</v>
      </c>
      <c r="BN14" s="888">
        <f t="shared" si="49"/>
        <v>43</v>
      </c>
      <c r="BO14" s="888">
        <f t="shared" si="50"/>
        <v>6654</v>
      </c>
      <c r="BP14" s="888">
        <f t="shared" si="51"/>
        <v>6253</v>
      </c>
      <c r="BQ14" s="888">
        <f t="shared" si="52"/>
        <v>377</v>
      </c>
      <c r="BR14" s="888">
        <f t="shared" si="53"/>
        <v>24</v>
      </c>
    </row>
    <row r="15" spans="1:75" x14ac:dyDescent="0.25">
      <c r="A15" s="884" t="s">
        <v>160</v>
      </c>
      <c r="B15" s="894" t="s">
        <v>161</v>
      </c>
      <c r="C15" s="892" t="s">
        <v>151</v>
      </c>
      <c r="D15" s="892">
        <v>3.44</v>
      </c>
      <c r="E15" s="892" t="s">
        <v>70</v>
      </c>
      <c r="F15" s="893">
        <v>0</v>
      </c>
      <c r="G15" s="897">
        <v>3517</v>
      </c>
      <c r="H15" s="898">
        <v>2858</v>
      </c>
      <c r="I15" s="898">
        <v>619</v>
      </c>
      <c r="J15" s="898">
        <v>40</v>
      </c>
      <c r="K15" s="897">
        <v>3791</v>
      </c>
      <c r="L15" s="898">
        <v>3142</v>
      </c>
      <c r="M15" s="898">
        <v>622</v>
      </c>
      <c r="N15" s="898">
        <v>27</v>
      </c>
      <c r="O15" s="898">
        <v>3731</v>
      </c>
      <c r="P15" s="898">
        <v>3359</v>
      </c>
      <c r="Q15" s="898">
        <v>356</v>
      </c>
      <c r="R15" s="898">
        <v>16</v>
      </c>
      <c r="S15" s="898">
        <v>3480</v>
      </c>
      <c r="T15" s="898">
        <v>2908</v>
      </c>
      <c r="U15" s="898">
        <v>557</v>
      </c>
      <c r="V15" s="898">
        <v>15</v>
      </c>
      <c r="W15" s="898">
        <v>3517</v>
      </c>
      <c r="X15" s="898">
        <v>2331</v>
      </c>
      <c r="Y15" s="898">
        <v>307</v>
      </c>
      <c r="Z15" s="898">
        <v>50</v>
      </c>
      <c r="AA15" s="898">
        <v>3390</v>
      </c>
      <c r="AB15" s="898">
        <v>3206</v>
      </c>
      <c r="AC15" s="898">
        <v>158</v>
      </c>
      <c r="AD15" s="898">
        <v>26</v>
      </c>
      <c r="AE15" s="898">
        <v>3641</v>
      </c>
      <c r="AF15" s="898">
        <v>3558</v>
      </c>
      <c r="AG15" s="898">
        <v>57</v>
      </c>
      <c r="AH15" s="898">
        <v>25</v>
      </c>
      <c r="AI15" s="898">
        <v>3906</v>
      </c>
      <c r="AJ15" s="898">
        <v>3671</v>
      </c>
      <c r="AK15" s="898">
        <v>221</v>
      </c>
      <c r="AL15" s="898">
        <v>14</v>
      </c>
      <c r="AM15" s="888">
        <f t="shared" si="22"/>
        <v>3517</v>
      </c>
      <c r="AN15" s="888">
        <f t="shared" si="23"/>
        <v>2858</v>
      </c>
      <c r="AO15" s="888">
        <f t="shared" si="24"/>
        <v>619</v>
      </c>
      <c r="AP15" s="888">
        <f t="shared" si="25"/>
        <v>40</v>
      </c>
      <c r="AQ15" s="888">
        <f t="shared" si="26"/>
        <v>3791</v>
      </c>
      <c r="AR15" s="888">
        <f t="shared" si="27"/>
        <v>3142</v>
      </c>
      <c r="AS15" s="888">
        <f t="shared" si="28"/>
        <v>622</v>
      </c>
      <c r="AT15" s="888">
        <f t="shared" si="29"/>
        <v>27</v>
      </c>
      <c r="AU15" s="888">
        <f t="shared" si="30"/>
        <v>3731</v>
      </c>
      <c r="AV15" s="888">
        <f t="shared" si="31"/>
        <v>3359</v>
      </c>
      <c r="AW15" s="888">
        <f t="shared" si="32"/>
        <v>356</v>
      </c>
      <c r="AX15" s="888">
        <f t="shared" si="33"/>
        <v>16</v>
      </c>
      <c r="AY15" s="888">
        <f t="shared" si="34"/>
        <v>3480</v>
      </c>
      <c r="AZ15" s="888">
        <f t="shared" si="35"/>
        <v>2908</v>
      </c>
      <c r="BA15" s="888">
        <f t="shared" si="36"/>
        <v>557</v>
      </c>
      <c r="BB15" s="888">
        <f t="shared" si="37"/>
        <v>15</v>
      </c>
      <c r="BC15" s="888">
        <f t="shared" si="38"/>
        <v>3517</v>
      </c>
      <c r="BD15" s="888">
        <f t="shared" si="39"/>
        <v>2331</v>
      </c>
      <c r="BE15" s="888">
        <f t="shared" si="40"/>
        <v>307</v>
      </c>
      <c r="BF15" s="888">
        <f t="shared" si="41"/>
        <v>50</v>
      </c>
      <c r="BG15" s="888">
        <f t="shared" si="42"/>
        <v>3390</v>
      </c>
      <c r="BH15" s="888">
        <f t="shared" si="43"/>
        <v>3206</v>
      </c>
      <c r="BI15" s="888">
        <f t="shared" si="44"/>
        <v>158</v>
      </c>
      <c r="BJ15" s="888">
        <f t="shared" si="45"/>
        <v>26</v>
      </c>
      <c r="BK15" s="888">
        <f t="shared" si="46"/>
        <v>3641</v>
      </c>
      <c r="BL15" s="888">
        <f t="shared" si="47"/>
        <v>3558</v>
      </c>
      <c r="BM15" s="888">
        <f t="shared" si="48"/>
        <v>57</v>
      </c>
      <c r="BN15" s="888">
        <f t="shared" si="49"/>
        <v>25</v>
      </c>
      <c r="BO15" s="888">
        <f t="shared" si="50"/>
        <v>3906</v>
      </c>
      <c r="BP15" s="888">
        <f t="shared" si="51"/>
        <v>3671</v>
      </c>
      <c r="BQ15" s="888">
        <f t="shared" si="52"/>
        <v>221</v>
      </c>
      <c r="BR15" s="888">
        <f t="shared" si="53"/>
        <v>14</v>
      </c>
    </row>
    <row r="16" spans="1:75" x14ac:dyDescent="0.25">
      <c r="A16" s="884" t="s">
        <v>162</v>
      </c>
      <c r="B16" s="884" t="s">
        <v>163</v>
      </c>
      <c r="C16" s="886" t="s">
        <v>151</v>
      </c>
      <c r="D16" s="886">
        <v>5</v>
      </c>
      <c r="E16" s="886" t="s">
        <v>70</v>
      </c>
      <c r="F16" s="887">
        <v>4975</v>
      </c>
      <c r="G16" s="897">
        <v>5112</v>
      </c>
      <c r="H16" s="898">
        <v>4154</v>
      </c>
      <c r="I16" s="898">
        <v>899</v>
      </c>
      <c r="J16" s="898">
        <v>59</v>
      </c>
      <c r="K16" s="897">
        <v>5510</v>
      </c>
      <c r="L16" s="898">
        <v>4567</v>
      </c>
      <c r="M16" s="898">
        <v>904</v>
      </c>
      <c r="N16" s="898">
        <v>39</v>
      </c>
      <c r="O16" s="898">
        <v>5423</v>
      </c>
      <c r="P16" s="898">
        <v>4883</v>
      </c>
      <c r="Q16" s="898">
        <v>517</v>
      </c>
      <c r="R16" s="898">
        <v>24</v>
      </c>
      <c r="S16" s="898">
        <v>5058</v>
      </c>
      <c r="T16" s="898">
        <v>4227</v>
      </c>
      <c r="U16" s="898">
        <v>809</v>
      </c>
      <c r="V16" s="898">
        <v>22</v>
      </c>
      <c r="W16" s="898">
        <v>5112</v>
      </c>
      <c r="X16" s="898">
        <v>3388</v>
      </c>
      <c r="Y16" s="898">
        <v>447</v>
      </c>
      <c r="Z16" s="898">
        <v>72</v>
      </c>
      <c r="AA16" s="898">
        <v>4928</v>
      </c>
      <c r="AB16" s="898">
        <v>4661</v>
      </c>
      <c r="AC16" s="898">
        <v>230</v>
      </c>
      <c r="AD16" s="898">
        <v>37</v>
      </c>
      <c r="AE16" s="898">
        <v>5292</v>
      </c>
      <c r="AF16" s="898">
        <v>5172</v>
      </c>
      <c r="AG16" s="898">
        <v>83</v>
      </c>
      <c r="AH16" s="898">
        <v>37</v>
      </c>
      <c r="AI16" s="898">
        <v>5678</v>
      </c>
      <c r="AJ16" s="898">
        <v>5335</v>
      </c>
      <c r="AK16" s="898">
        <v>322</v>
      </c>
      <c r="AL16" s="898">
        <v>21</v>
      </c>
      <c r="AM16" s="888">
        <f t="shared" si="22"/>
        <v>5112</v>
      </c>
      <c r="AN16" s="888">
        <f t="shared" si="23"/>
        <v>4154</v>
      </c>
      <c r="AO16" s="888">
        <f t="shared" si="24"/>
        <v>899</v>
      </c>
      <c r="AP16" s="888">
        <f t="shared" si="25"/>
        <v>59</v>
      </c>
      <c r="AQ16" s="888">
        <f t="shared" si="26"/>
        <v>5510</v>
      </c>
      <c r="AR16" s="888">
        <f t="shared" si="27"/>
        <v>4567</v>
      </c>
      <c r="AS16" s="888">
        <f t="shared" si="28"/>
        <v>904</v>
      </c>
      <c r="AT16" s="888">
        <f t="shared" si="29"/>
        <v>39</v>
      </c>
      <c r="AU16" s="888">
        <f t="shared" si="30"/>
        <v>5423</v>
      </c>
      <c r="AV16" s="888">
        <f t="shared" si="31"/>
        <v>4883</v>
      </c>
      <c r="AW16" s="888">
        <f t="shared" si="32"/>
        <v>517</v>
      </c>
      <c r="AX16" s="888">
        <f t="shared" si="33"/>
        <v>24</v>
      </c>
      <c r="AY16" s="888">
        <f t="shared" si="34"/>
        <v>5058</v>
      </c>
      <c r="AZ16" s="888">
        <f t="shared" si="35"/>
        <v>4227</v>
      </c>
      <c r="BA16" s="888">
        <f t="shared" si="36"/>
        <v>809</v>
      </c>
      <c r="BB16" s="888">
        <f t="shared" si="37"/>
        <v>22</v>
      </c>
      <c r="BC16" s="888">
        <f t="shared" si="38"/>
        <v>5112</v>
      </c>
      <c r="BD16" s="888">
        <f t="shared" si="39"/>
        <v>3388</v>
      </c>
      <c r="BE16" s="888">
        <f t="shared" si="40"/>
        <v>447</v>
      </c>
      <c r="BF16" s="888">
        <f t="shared" si="41"/>
        <v>72</v>
      </c>
      <c r="BG16" s="888">
        <f t="shared" si="42"/>
        <v>4928</v>
      </c>
      <c r="BH16" s="888">
        <f t="shared" si="43"/>
        <v>4661</v>
      </c>
      <c r="BI16" s="888">
        <f t="shared" si="44"/>
        <v>230</v>
      </c>
      <c r="BJ16" s="888">
        <f t="shared" si="45"/>
        <v>37</v>
      </c>
      <c r="BK16" s="888">
        <f t="shared" si="46"/>
        <v>5292</v>
      </c>
      <c r="BL16" s="888">
        <f t="shared" si="47"/>
        <v>5172</v>
      </c>
      <c r="BM16" s="888">
        <f t="shared" si="48"/>
        <v>83</v>
      </c>
      <c r="BN16" s="888">
        <f t="shared" si="49"/>
        <v>37</v>
      </c>
      <c r="BO16" s="888">
        <f t="shared" si="50"/>
        <v>5678</v>
      </c>
      <c r="BP16" s="888">
        <f t="shared" si="51"/>
        <v>5335</v>
      </c>
      <c r="BQ16" s="888">
        <f t="shared" si="52"/>
        <v>322</v>
      </c>
      <c r="BR16" s="888">
        <f t="shared" si="53"/>
        <v>21</v>
      </c>
    </row>
    <row r="17" spans="1:75" x14ac:dyDescent="0.25">
      <c r="A17" s="884" t="s">
        <v>164</v>
      </c>
      <c r="B17" s="884" t="s">
        <v>165</v>
      </c>
      <c r="C17" s="886" t="s">
        <v>151</v>
      </c>
      <c r="D17" s="886">
        <v>4.2699999999999996</v>
      </c>
      <c r="E17" s="886" t="s">
        <v>70</v>
      </c>
      <c r="F17" s="887">
        <v>3670</v>
      </c>
      <c r="G17" s="897">
        <v>4366</v>
      </c>
      <c r="H17" s="898">
        <v>3548</v>
      </c>
      <c r="I17" s="898">
        <v>768</v>
      </c>
      <c r="J17" s="898">
        <v>50</v>
      </c>
      <c r="K17" s="897">
        <v>4706</v>
      </c>
      <c r="L17" s="898">
        <v>3901</v>
      </c>
      <c r="M17" s="898">
        <v>772</v>
      </c>
      <c r="N17" s="898">
        <v>33</v>
      </c>
      <c r="O17" s="898">
        <v>4631</v>
      </c>
      <c r="P17" s="898">
        <v>4170</v>
      </c>
      <c r="Q17" s="898">
        <v>441</v>
      </c>
      <c r="R17" s="898">
        <v>20</v>
      </c>
      <c r="S17" s="898">
        <v>4320</v>
      </c>
      <c r="T17" s="898">
        <v>3610</v>
      </c>
      <c r="U17" s="898">
        <v>691</v>
      </c>
      <c r="V17" s="898">
        <v>19</v>
      </c>
      <c r="W17" s="898">
        <v>4366</v>
      </c>
      <c r="X17" s="898">
        <v>2893</v>
      </c>
      <c r="Y17" s="898">
        <v>382</v>
      </c>
      <c r="Z17" s="898">
        <v>62</v>
      </c>
      <c r="AA17" s="898">
        <v>4208</v>
      </c>
      <c r="AB17" s="898">
        <v>3980</v>
      </c>
      <c r="AC17" s="898">
        <v>196</v>
      </c>
      <c r="AD17" s="898">
        <v>32</v>
      </c>
      <c r="AE17" s="898">
        <v>4520</v>
      </c>
      <c r="AF17" s="898">
        <v>4417</v>
      </c>
      <c r="AG17" s="898">
        <v>71</v>
      </c>
      <c r="AH17" s="898">
        <v>31</v>
      </c>
      <c r="AI17" s="898">
        <v>4849</v>
      </c>
      <c r="AJ17" s="898">
        <v>4556</v>
      </c>
      <c r="AK17" s="898">
        <v>275</v>
      </c>
      <c r="AL17" s="898">
        <v>18</v>
      </c>
      <c r="AM17" s="888">
        <f t="shared" si="22"/>
        <v>4366</v>
      </c>
      <c r="AN17" s="888">
        <f t="shared" si="23"/>
        <v>3548</v>
      </c>
      <c r="AO17" s="888">
        <f t="shared" si="24"/>
        <v>768</v>
      </c>
      <c r="AP17" s="888">
        <f t="shared" si="25"/>
        <v>50</v>
      </c>
      <c r="AQ17" s="888">
        <f t="shared" si="26"/>
        <v>4706</v>
      </c>
      <c r="AR17" s="888">
        <f t="shared" si="27"/>
        <v>3901</v>
      </c>
      <c r="AS17" s="888">
        <f t="shared" si="28"/>
        <v>772</v>
      </c>
      <c r="AT17" s="888">
        <f t="shared" si="29"/>
        <v>33</v>
      </c>
      <c r="AU17" s="888">
        <f t="shared" si="30"/>
        <v>4631</v>
      </c>
      <c r="AV17" s="888">
        <f t="shared" si="31"/>
        <v>4170</v>
      </c>
      <c r="AW17" s="888">
        <f t="shared" si="32"/>
        <v>441</v>
      </c>
      <c r="AX17" s="888">
        <f t="shared" si="33"/>
        <v>20</v>
      </c>
      <c r="AY17" s="888">
        <f t="shared" si="34"/>
        <v>4320</v>
      </c>
      <c r="AZ17" s="888">
        <f t="shared" si="35"/>
        <v>3610</v>
      </c>
      <c r="BA17" s="888">
        <f t="shared" si="36"/>
        <v>691</v>
      </c>
      <c r="BB17" s="888">
        <f t="shared" si="37"/>
        <v>19</v>
      </c>
      <c r="BC17" s="888">
        <f t="shared" si="38"/>
        <v>4366</v>
      </c>
      <c r="BD17" s="888">
        <f t="shared" si="39"/>
        <v>2893</v>
      </c>
      <c r="BE17" s="888">
        <f t="shared" si="40"/>
        <v>382</v>
      </c>
      <c r="BF17" s="888">
        <f t="shared" si="41"/>
        <v>62</v>
      </c>
      <c r="BG17" s="888">
        <f t="shared" si="42"/>
        <v>4208</v>
      </c>
      <c r="BH17" s="888">
        <f t="shared" si="43"/>
        <v>3980</v>
      </c>
      <c r="BI17" s="888">
        <f t="shared" si="44"/>
        <v>196</v>
      </c>
      <c r="BJ17" s="888">
        <f t="shared" si="45"/>
        <v>32</v>
      </c>
      <c r="BK17" s="888">
        <f t="shared" si="46"/>
        <v>4520</v>
      </c>
      <c r="BL17" s="888">
        <f t="shared" si="47"/>
        <v>4417</v>
      </c>
      <c r="BM17" s="888">
        <f t="shared" si="48"/>
        <v>71</v>
      </c>
      <c r="BN17" s="888">
        <f t="shared" si="49"/>
        <v>31</v>
      </c>
      <c r="BO17" s="888">
        <f t="shared" si="50"/>
        <v>4849</v>
      </c>
      <c r="BP17" s="888">
        <f t="shared" si="51"/>
        <v>4556</v>
      </c>
      <c r="BQ17" s="888">
        <f t="shared" si="52"/>
        <v>275</v>
      </c>
      <c r="BR17" s="888">
        <f t="shared" si="53"/>
        <v>18</v>
      </c>
    </row>
    <row r="18" spans="1:75" x14ac:dyDescent="0.25">
      <c r="A18" s="884" t="s">
        <v>166</v>
      </c>
      <c r="B18" s="884" t="s">
        <v>167</v>
      </c>
      <c r="C18" s="886" t="s">
        <v>151</v>
      </c>
      <c r="D18" s="886">
        <v>3.7</v>
      </c>
      <c r="E18" s="886" t="s">
        <v>70</v>
      </c>
      <c r="F18" s="887">
        <v>3430</v>
      </c>
      <c r="G18" s="897">
        <v>3783</v>
      </c>
      <c r="H18" s="898">
        <v>3074</v>
      </c>
      <c r="I18" s="898">
        <v>665</v>
      </c>
      <c r="J18" s="898">
        <v>43</v>
      </c>
      <c r="K18" s="897">
        <v>4078</v>
      </c>
      <c r="L18" s="898">
        <v>3380</v>
      </c>
      <c r="M18" s="898">
        <v>669</v>
      </c>
      <c r="N18" s="898">
        <v>29</v>
      </c>
      <c r="O18" s="898">
        <v>4013</v>
      </c>
      <c r="P18" s="898">
        <v>3613</v>
      </c>
      <c r="Q18" s="898">
        <v>383</v>
      </c>
      <c r="R18" s="898">
        <v>17</v>
      </c>
      <c r="S18" s="898">
        <v>3743</v>
      </c>
      <c r="T18" s="898">
        <v>3128</v>
      </c>
      <c r="U18" s="898">
        <v>599</v>
      </c>
      <c r="V18" s="898">
        <v>17</v>
      </c>
      <c r="W18" s="898">
        <v>3783</v>
      </c>
      <c r="X18" s="898">
        <v>2507</v>
      </c>
      <c r="Y18" s="898">
        <v>331</v>
      </c>
      <c r="Z18" s="898">
        <v>54</v>
      </c>
      <c r="AA18" s="898">
        <v>3646</v>
      </c>
      <c r="AB18" s="898">
        <v>3449</v>
      </c>
      <c r="AC18" s="898">
        <v>170</v>
      </c>
      <c r="AD18" s="898">
        <v>28</v>
      </c>
      <c r="AE18" s="898">
        <v>3916</v>
      </c>
      <c r="AF18" s="898">
        <v>3827</v>
      </c>
      <c r="AG18" s="898">
        <v>62</v>
      </c>
      <c r="AH18" s="898">
        <v>27</v>
      </c>
      <c r="AI18" s="898">
        <v>4202</v>
      </c>
      <c r="AJ18" s="898">
        <v>3948</v>
      </c>
      <c r="AK18" s="898">
        <v>238</v>
      </c>
      <c r="AL18" s="898">
        <v>15</v>
      </c>
      <c r="AM18" s="888">
        <f t="shared" si="22"/>
        <v>3783</v>
      </c>
      <c r="AN18" s="888">
        <f t="shared" si="23"/>
        <v>3074</v>
      </c>
      <c r="AO18" s="888">
        <f t="shared" si="24"/>
        <v>665</v>
      </c>
      <c r="AP18" s="888">
        <f t="shared" si="25"/>
        <v>43</v>
      </c>
      <c r="AQ18" s="888">
        <f t="shared" si="26"/>
        <v>4078</v>
      </c>
      <c r="AR18" s="888">
        <f t="shared" si="27"/>
        <v>3380</v>
      </c>
      <c r="AS18" s="888">
        <f t="shared" si="28"/>
        <v>669</v>
      </c>
      <c r="AT18" s="888">
        <f t="shared" si="29"/>
        <v>29</v>
      </c>
      <c r="AU18" s="888">
        <f t="shared" si="30"/>
        <v>4013</v>
      </c>
      <c r="AV18" s="888">
        <f t="shared" si="31"/>
        <v>3613</v>
      </c>
      <c r="AW18" s="888">
        <f t="shared" si="32"/>
        <v>383</v>
      </c>
      <c r="AX18" s="888">
        <f t="shared" si="33"/>
        <v>17</v>
      </c>
      <c r="AY18" s="888">
        <f t="shared" si="34"/>
        <v>3743</v>
      </c>
      <c r="AZ18" s="888">
        <f t="shared" si="35"/>
        <v>3128</v>
      </c>
      <c r="BA18" s="888">
        <f t="shared" si="36"/>
        <v>599</v>
      </c>
      <c r="BB18" s="888">
        <f t="shared" si="37"/>
        <v>17</v>
      </c>
      <c r="BC18" s="888">
        <f t="shared" si="38"/>
        <v>3783</v>
      </c>
      <c r="BD18" s="888">
        <f t="shared" si="39"/>
        <v>2507</v>
      </c>
      <c r="BE18" s="888">
        <f t="shared" si="40"/>
        <v>331</v>
      </c>
      <c r="BF18" s="888">
        <f t="shared" si="41"/>
        <v>54</v>
      </c>
      <c r="BG18" s="888">
        <f t="shared" si="42"/>
        <v>3646</v>
      </c>
      <c r="BH18" s="888">
        <f t="shared" si="43"/>
        <v>3449</v>
      </c>
      <c r="BI18" s="888">
        <f t="shared" si="44"/>
        <v>170</v>
      </c>
      <c r="BJ18" s="888">
        <f t="shared" si="45"/>
        <v>28</v>
      </c>
      <c r="BK18" s="888">
        <f t="shared" si="46"/>
        <v>3916</v>
      </c>
      <c r="BL18" s="888">
        <f t="shared" si="47"/>
        <v>3827</v>
      </c>
      <c r="BM18" s="888">
        <f t="shared" si="48"/>
        <v>62</v>
      </c>
      <c r="BN18" s="888">
        <f t="shared" si="49"/>
        <v>27</v>
      </c>
      <c r="BO18" s="888">
        <f t="shared" si="50"/>
        <v>4202</v>
      </c>
      <c r="BP18" s="888">
        <f t="shared" si="51"/>
        <v>3948</v>
      </c>
      <c r="BQ18" s="888">
        <f t="shared" si="52"/>
        <v>238</v>
      </c>
      <c r="BR18" s="888">
        <f t="shared" si="53"/>
        <v>15</v>
      </c>
    </row>
    <row r="19" spans="1:75" x14ac:dyDescent="0.25">
      <c r="A19" s="884" t="s">
        <v>168</v>
      </c>
      <c r="B19" s="884" t="s">
        <v>169</v>
      </c>
      <c r="C19" s="886" t="s">
        <v>151</v>
      </c>
      <c r="D19" s="886">
        <v>2.02</v>
      </c>
      <c r="E19" s="886" t="s">
        <v>70</v>
      </c>
      <c r="F19" s="887">
        <v>2050</v>
      </c>
      <c r="G19" s="897">
        <v>688</v>
      </c>
      <c r="H19" s="898">
        <v>559</v>
      </c>
      <c r="I19" s="898">
        <v>121</v>
      </c>
      <c r="J19" s="898">
        <v>8</v>
      </c>
      <c r="K19" s="897">
        <v>742</v>
      </c>
      <c r="L19" s="898">
        <v>615</v>
      </c>
      <c r="M19" s="898">
        <v>122</v>
      </c>
      <c r="N19" s="898">
        <v>5</v>
      </c>
      <c r="O19" s="898">
        <v>730</v>
      </c>
      <c r="P19" s="898">
        <v>657</v>
      </c>
      <c r="Q19" s="898">
        <v>70</v>
      </c>
      <c r="R19" s="898">
        <v>3</v>
      </c>
      <c r="S19" s="898">
        <v>681</v>
      </c>
      <c r="T19" s="898">
        <v>569</v>
      </c>
      <c r="U19" s="898">
        <v>109</v>
      </c>
      <c r="V19" s="898">
        <v>3</v>
      </c>
      <c r="W19" s="898">
        <v>688</v>
      </c>
      <c r="X19" s="898">
        <v>456</v>
      </c>
      <c r="Y19" s="898">
        <v>60</v>
      </c>
      <c r="Z19" s="898">
        <v>10</v>
      </c>
      <c r="AA19" s="898">
        <v>663</v>
      </c>
      <c r="AB19" s="898">
        <v>627</v>
      </c>
      <c r="AC19" s="898">
        <v>31</v>
      </c>
      <c r="AD19" s="898">
        <v>5</v>
      </c>
      <c r="AE19" s="898">
        <v>712</v>
      </c>
      <c r="AF19" s="898">
        <v>696</v>
      </c>
      <c r="AG19" s="898">
        <v>11</v>
      </c>
      <c r="AH19" s="898">
        <v>5</v>
      </c>
      <c r="AI19" s="898">
        <v>764</v>
      </c>
      <c r="AJ19" s="898">
        <v>718</v>
      </c>
      <c r="AK19" s="898">
        <v>43</v>
      </c>
      <c r="AL19" s="898">
        <v>3</v>
      </c>
      <c r="AM19" s="888">
        <f t="shared" si="22"/>
        <v>688</v>
      </c>
      <c r="AN19" s="888">
        <f t="shared" si="23"/>
        <v>559</v>
      </c>
      <c r="AO19" s="888">
        <f t="shared" si="24"/>
        <v>121</v>
      </c>
      <c r="AP19" s="888">
        <f t="shared" si="25"/>
        <v>8</v>
      </c>
      <c r="AQ19" s="888">
        <f t="shared" si="26"/>
        <v>742</v>
      </c>
      <c r="AR19" s="888">
        <f t="shared" si="27"/>
        <v>615</v>
      </c>
      <c r="AS19" s="888">
        <f t="shared" si="28"/>
        <v>122</v>
      </c>
      <c r="AT19" s="888">
        <f t="shared" si="29"/>
        <v>5</v>
      </c>
      <c r="AU19" s="888">
        <f t="shared" si="30"/>
        <v>730</v>
      </c>
      <c r="AV19" s="888">
        <f t="shared" si="31"/>
        <v>657</v>
      </c>
      <c r="AW19" s="888">
        <f t="shared" si="32"/>
        <v>70</v>
      </c>
      <c r="AX19" s="888">
        <f t="shared" si="33"/>
        <v>3</v>
      </c>
      <c r="AY19" s="888">
        <f t="shared" si="34"/>
        <v>681</v>
      </c>
      <c r="AZ19" s="888">
        <f t="shared" si="35"/>
        <v>569</v>
      </c>
      <c r="BA19" s="888">
        <f t="shared" si="36"/>
        <v>109</v>
      </c>
      <c r="BB19" s="888">
        <f t="shared" si="37"/>
        <v>3</v>
      </c>
      <c r="BC19" s="888">
        <f t="shared" si="38"/>
        <v>688</v>
      </c>
      <c r="BD19" s="888">
        <f t="shared" si="39"/>
        <v>456</v>
      </c>
      <c r="BE19" s="888">
        <f t="shared" si="40"/>
        <v>60</v>
      </c>
      <c r="BF19" s="888">
        <f t="shared" si="41"/>
        <v>10</v>
      </c>
      <c r="BG19" s="888">
        <f t="shared" si="42"/>
        <v>663</v>
      </c>
      <c r="BH19" s="888">
        <f t="shared" si="43"/>
        <v>627</v>
      </c>
      <c r="BI19" s="888">
        <f t="shared" si="44"/>
        <v>31</v>
      </c>
      <c r="BJ19" s="888">
        <f t="shared" si="45"/>
        <v>5</v>
      </c>
      <c r="BK19" s="888">
        <f t="shared" si="46"/>
        <v>712</v>
      </c>
      <c r="BL19" s="888">
        <f t="shared" si="47"/>
        <v>696</v>
      </c>
      <c r="BM19" s="888">
        <f t="shared" si="48"/>
        <v>11</v>
      </c>
      <c r="BN19" s="888">
        <f t="shared" si="49"/>
        <v>5</v>
      </c>
      <c r="BO19" s="888">
        <f t="shared" si="50"/>
        <v>764</v>
      </c>
      <c r="BP19" s="888">
        <f t="shared" si="51"/>
        <v>718</v>
      </c>
      <c r="BQ19" s="888">
        <f t="shared" si="52"/>
        <v>43</v>
      </c>
      <c r="BR19" s="888">
        <f t="shared" si="53"/>
        <v>3</v>
      </c>
    </row>
    <row r="20" spans="1:75" x14ac:dyDescent="0.25">
      <c r="A20" s="884" t="s">
        <v>170</v>
      </c>
      <c r="B20" s="884" t="s">
        <v>171</v>
      </c>
      <c r="C20" s="886" t="s">
        <v>172</v>
      </c>
      <c r="D20" s="886">
        <v>2.6</v>
      </c>
      <c r="E20" s="886" t="s">
        <v>70</v>
      </c>
      <c r="F20" s="887">
        <v>2701</v>
      </c>
      <c r="G20" s="897">
        <v>886</v>
      </c>
      <c r="H20" s="898">
        <v>720</v>
      </c>
      <c r="I20" s="898">
        <v>156</v>
      </c>
      <c r="J20" s="898">
        <v>10</v>
      </c>
      <c r="K20" s="897">
        <v>954</v>
      </c>
      <c r="L20" s="898">
        <v>791</v>
      </c>
      <c r="M20" s="898">
        <v>157</v>
      </c>
      <c r="N20" s="898">
        <v>7</v>
      </c>
      <c r="O20" s="898">
        <v>939</v>
      </c>
      <c r="P20" s="898">
        <v>846</v>
      </c>
      <c r="Q20" s="898">
        <v>90</v>
      </c>
      <c r="R20" s="898">
        <v>4</v>
      </c>
      <c r="S20" s="898">
        <v>876</v>
      </c>
      <c r="T20" s="898">
        <v>732</v>
      </c>
      <c r="U20" s="898">
        <v>140</v>
      </c>
      <c r="V20" s="898">
        <v>4</v>
      </c>
      <c r="W20" s="898">
        <v>886</v>
      </c>
      <c r="X20" s="898">
        <v>587</v>
      </c>
      <c r="Y20" s="898">
        <v>77</v>
      </c>
      <c r="Z20" s="898">
        <v>13</v>
      </c>
      <c r="AA20" s="898">
        <v>854</v>
      </c>
      <c r="AB20" s="898">
        <v>807</v>
      </c>
      <c r="AC20" s="898">
        <v>40</v>
      </c>
      <c r="AD20" s="898">
        <v>6</v>
      </c>
      <c r="AE20" s="898">
        <v>917</v>
      </c>
      <c r="AF20" s="898">
        <v>896</v>
      </c>
      <c r="AG20" s="898">
        <v>14</v>
      </c>
      <c r="AH20" s="898">
        <v>6</v>
      </c>
      <c r="AI20" s="898">
        <v>984</v>
      </c>
      <c r="AJ20" s="898">
        <v>924</v>
      </c>
      <c r="AK20" s="898">
        <v>56</v>
      </c>
      <c r="AL20" s="898">
        <v>4</v>
      </c>
      <c r="AM20" s="888">
        <f t="shared" si="22"/>
        <v>886</v>
      </c>
      <c r="AN20" s="888">
        <f t="shared" si="23"/>
        <v>720</v>
      </c>
      <c r="AO20" s="888">
        <f t="shared" si="24"/>
        <v>156</v>
      </c>
      <c r="AP20" s="888">
        <f t="shared" si="25"/>
        <v>10</v>
      </c>
      <c r="AQ20" s="888">
        <f t="shared" si="26"/>
        <v>954</v>
      </c>
      <c r="AR20" s="888">
        <f t="shared" si="27"/>
        <v>791</v>
      </c>
      <c r="AS20" s="888">
        <f t="shared" si="28"/>
        <v>157</v>
      </c>
      <c r="AT20" s="888">
        <f t="shared" si="29"/>
        <v>7</v>
      </c>
      <c r="AU20" s="888">
        <f t="shared" si="30"/>
        <v>939</v>
      </c>
      <c r="AV20" s="888">
        <f t="shared" si="31"/>
        <v>846</v>
      </c>
      <c r="AW20" s="888">
        <f t="shared" si="32"/>
        <v>90</v>
      </c>
      <c r="AX20" s="888">
        <f t="shared" si="33"/>
        <v>4</v>
      </c>
      <c r="AY20" s="888">
        <f t="shared" si="34"/>
        <v>876</v>
      </c>
      <c r="AZ20" s="888">
        <f t="shared" si="35"/>
        <v>732</v>
      </c>
      <c r="BA20" s="888">
        <f t="shared" si="36"/>
        <v>140</v>
      </c>
      <c r="BB20" s="888">
        <f t="shared" si="37"/>
        <v>4</v>
      </c>
      <c r="BC20" s="888">
        <f t="shared" si="38"/>
        <v>886</v>
      </c>
      <c r="BD20" s="888">
        <f t="shared" si="39"/>
        <v>587</v>
      </c>
      <c r="BE20" s="888">
        <f t="shared" si="40"/>
        <v>77</v>
      </c>
      <c r="BF20" s="888">
        <f t="shared" si="41"/>
        <v>13</v>
      </c>
      <c r="BG20" s="888">
        <f t="shared" si="42"/>
        <v>854</v>
      </c>
      <c r="BH20" s="888">
        <f t="shared" si="43"/>
        <v>807</v>
      </c>
      <c r="BI20" s="888">
        <f t="shared" si="44"/>
        <v>40</v>
      </c>
      <c r="BJ20" s="888">
        <f t="shared" si="45"/>
        <v>6</v>
      </c>
      <c r="BK20" s="888">
        <f t="shared" si="46"/>
        <v>917</v>
      </c>
      <c r="BL20" s="888">
        <f t="shared" si="47"/>
        <v>896</v>
      </c>
      <c r="BM20" s="888">
        <f t="shared" si="48"/>
        <v>14</v>
      </c>
      <c r="BN20" s="888">
        <f t="shared" si="49"/>
        <v>6</v>
      </c>
      <c r="BO20" s="888">
        <f t="shared" si="50"/>
        <v>984</v>
      </c>
      <c r="BP20" s="888">
        <f t="shared" si="51"/>
        <v>924</v>
      </c>
      <c r="BQ20" s="888">
        <f t="shared" si="52"/>
        <v>56</v>
      </c>
      <c r="BR20" s="888">
        <f t="shared" si="53"/>
        <v>4</v>
      </c>
    </row>
    <row r="21" spans="1:75" x14ac:dyDescent="0.25">
      <c r="A21" s="884" t="s">
        <v>173</v>
      </c>
      <c r="B21" s="884" t="s">
        <v>174</v>
      </c>
      <c r="C21" s="886" t="s">
        <v>151</v>
      </c>
      <c r="D21" s="886">
        <v>2.4</v>
      </c>
      <c r="E21" s="886" t="s">
        <v>70</v>
      </c>
      <c r="F21" s="887">
        <v>2437</v>
      </c>
      <c r="G21" s="897">
        <v>817</v>
      </c>
      <c r="H21" s="898">
        <v>664</v>
      </c>
      <c r="I21" s="898">
        <v>144</v>
      </c>
      <c r="J21" s="898">
        <v>9</v>
      </c>
      <c r="K21" s="897">
        <v>881</v>
      </c>
      <c r="L21" s="898">
        <v>730</v>
      </c>
      <c r="M21" s="898">
        <v>145</v>
      </c>
      <c r="N21" s="898">
        <v>6</v>
      </c>
      <c r="O21" s="898">
        <v>867</v>
      </c>
      <c r="P21" s="898">
        <v>781</v>
      </c>
      <c r="Q21" s="898">
        <v>83</v>
      </c>
      <c r="R21" s="898">
        <v>4</v>
      </c>
      <c r="S21" s="898">
        <v>809</v>
      </c>
      <c r="T21" s="898">
        <v>676</v>
      </c>
      <c r="U21" s="898">
        <v>129</v>
      </c>
      <c r="V21" s="898">
        <v>4</v>
      </c>
      <c r="W21" s="898">
        <v>817</v>
      </c>
      <c r="X21" s="898">
        <v>542</v>
      </c>
      <c r="Y21" s="898">
        <v>71</v>
      </c>
      <c r="Z21" s="898">
        <v>12</v>
      </c>
      <c r="AA21" s="898">
        <v>788</v>
      </c>
      <c r="AB21" s="898">
        <v>745</v>
      </c>
      <c r="AC21" s="898">
        <v>37</v>
      </c>
      <c r="AD21" s="898">
        <v>6</v>
      </c>
      <c r="AE21" s="898">
        <v>846</v>
      </c>
      <c r="AF21" s="898">
        <v>827</v>
      </c>
      <c r="AG21" s="898">
        <v>13</v>
      </c>
      <c r="AH21" s="898">
        <v>6</v>
      </c>
      <c r="AI21" s="898">
        <v>908</v>
      </c>
      <c r="AJ21" s="898">
        <v>853</v>
      </c>
      <c r="AK21" s="898">
        <v>51</v>
      </c>
      <c r="AL21" s="898">
        <v>3</v>
      </c>
      <c r="AM21" s="888">
        <f t="shared" si="22"/>
        <v>817</v>
      </c>
      <c r="AN21" s="888">
        <f t="shared" si="23"/>
        <v>664</v>
      </c>
      <c r="AO21" s="888">
        <f t="shared" si="24"/>
        <v>144</v>
      </c>
      <c r="AP21" s="888">
        <f t="shared" si="25"/>
        <v>9</v>
      </c>
      <c r="AQ21" s="888">
        <f t="shared" si="26"/>
        <v>881</v>
      </c>
      <c r="AR21" s="888">
        <f t="shared" si="27"/>
        <v>730</v>
      </c>
      <c r="AS21" s="888">
        <f t="shared" si="28"/>
        <v>145</v>
      </c>
      <c r="AT21" s="888">
        <f t="shared" si="29"/>
        <v>6</v>
      </c>
      <c r="AU21" s="888">
        <f t="shared" si="30"/>
        <v>867</v>
      </c>
      <c r="AV21" s="888">
        <f t="shared" si="31"/>
        <v>781</v>
      </c>
      <c r="AW21" s="888">
        <f t="shared" si="32"/>
        <v>83</v>
      </c>
      <c r="AX21" s="888">
        <f t="shared" si="33"/>
        <v>4</v>
      </c>
      <c r="AY21" s="888">
        <f t="shared" si="34"/>
        <v>809</v>
      </c>
      <c r="AZ21" s="888">
        <f t="shared" si="35"/>
        <v>676</v>
      </c>
      <c r="BA21" s="888">
        <f t="shared" si="36"/>
        <v>129</v>
      </c>
      <c r="BB21" s="888">
        <f t="shared" si="37"/>
        <v>4</v>
      </c>
      <c r="BC21" s="888">
        <f t="shared" si="38"/>
        <v>817</v>
      </c>
      <c r="BD21" s="888">
        <f t="shared" si="39"/>
        <v>542</v>
      </c>
      <c r="BE21" s="888">
        <f t="shared" si="40"/>
        <v>71</v>
      </c>
      <c r="BF21" s="888">
        <f t="shared" si="41"/>
        <v>12</v>
      </c>
      <c r="BG21" s="888">
        <f t="shared" si="42"/>
        <v>788</v>
      </c>
      <c r="BH21" s="888">
        <f t="shared" si="43"/>
        <v>745</v>
      </c>
      <c r="BI21" s="888">
        <f t="shared" si="44"/>
        <v>37</v>
      </c>
      <c r="BJ21" s="888">
        <f t="shared" si="45"/>
        <v>6</v>
      </c>
      <c r="BK21" s="888">
        <f t="shared" si="46"/>
        <v>846</v>
      </c>
      <c r="BL21" s="888">
        <f t="shared" si="47"/>
        <v>827</v>
      </c>
      <c r="BM21" s="888">
        <f t="shared" si="48"/>
        <v>13</v>
      </c>
      <c r="BN21" s="888">
        <f t="shared" si="49"/>
        <v>6</v>
      </c>
      <c r="BO21" s="888">
        <f t="shared" si="50"/>
        <v>908</v>
      </c>
      <c r="BP21" s="888">
        <f t="shared" si="51"/>
        <v>853</v>
      </c>
      <c r="BQ21" s="888">
        <f t="shared" si="52"/>
        <v>51</v>
      </c>
      <c r="BR21" s="888">
        <f t="shared" si="53"/>
        <v>3</v>
      </c>
    </row>
    <row r="22" spans="1:75" x14ac:dyDescent="0.25">
      <c r="A22" s="890" t="s">
        <v>175</v>
      </c>
      <c r="B22" s="890" t="s">
        <v>176</v>
      </c>
      <c r="C22" s="891" t="s">
        <v>151</v>
      </c>
      <c r="D22" s="891">
        <v>8.6300000000000008</v>
      </c>
      <c r="E22" s="891" t="s">
        <v>70</v>
      </c>
      <c r="F22" s="893">
        <v>0</v>
      </c>
      <c r="G22" s="897">
        <v>8823</v>
      </c>
      <c r="H22" s="898">
        <v>7170</v>
      </c>
      <c r="I22" s="898">
        <v>1552</v>
      </c>
      <c r="J22" s="898">
        <v>101</v>
      </c>
      <c r="K22" s="897">
        <v>9511</v>
      </c>
      <c r="L22" s="898">
        <v>7883</v>
      </c>
      <c r="M22" s="898">
        <v>1560</v>
      </c>
      <c r="N22" s="898">
        <v>67</v>
      </c>
      <c r="O22" s="898">
        <v>9360</v>
      </c>
      <c r="P22" s="898">
        <v>8427</v>
      </c>
      <c r="Q22" s="898">
        <v>892</v>
      </c>
      <c r="R22" s="898">
        <v>41</v>
      </c>
      <c r="S22" s="898">
        <v>8731</v>
      </c>
      <c r="T22" s="898">
        <v>7295</v>
      </c>
      <c r="U22" s="898">
        <v>1396</v>
      </c>
      <c r="V22" s="898">
        <v>39</v>
      </c>
      <c r="W22" s="898">
        <v>8823</v>
      </c>
      <c r="X22" s="898">
        <v>5847</v>
      </c>
      <c r="Y22" s="898">
        <v>771</v>
      </c>
      <c r="Z22" s="898">
        <v>125</v>
      </c>
      <c r="AA22" s="898">
        <v>8505</v>
      </c>
      <c r="AB22" s="898">
        <v>8044</v>
      </c>
      <c r="AC22" s="898">
        <v>397</v>
      </c>
      <c r="AD22" s="898">
        <v>64</v>
      </c>
      <c r="AE22" s="898">
        <v>9134</v>
      </c>
      <c r="AF22" s="898">
        <v>8927</v>
      </c>
      <c r="AG22" s="898">
        <v>144</v>
      </c>
      <c r="AH22" s="898">
        <v>63</v>
      </c>
      <c r="AI22" s="898">
        <v>9800</v>
      </c>
      <c r="AJ22" s="898">
        <v>9209</v>
      </c>
      <c r="AK22" s="898">
        <v>555</v>
      </c>
      <c r="AL22" s="898">
        <v>36</v>
      </c>
      <c r="AM22" s="888">
        <f t="shared" si="22"/>
        <v>8823</v>
      </c>
      <c r="AN22" s="888">
        <f t="shared" si="23"/>
        <v>7170</v>
      </c>
      <c r="AO22" s="888">
        <f t="shared" si="24"/>
        <v>1552</v>
      </c>
      <c r="AP22" s="888">
        <f t="shared" si="25"/>
        <v>101</v>
      </c>
      <c r="AQ22" s="888">
        <f t="shared" si="26"/>
        <v>9511</v>
      </c>
      <c r="AR22" s="888">
        <f t="shared" si="27"/>
        <v>7883</v>
      </c>
      <c r="AS22" s="888">
        <f t="shared" si="28"/>
        <v>1560</v>
      </c>
      <c r="AT22" s="888">
        <f t="shared" si="29"/>
        <v>67</v>
      </c>
      <c r="AU22" s="888">
        <f t="shared" si="30"/>
        <v>9360</v>
      </c>
      <c r="AV22" s="888">
        <f t="shared" si="31"/>
        <v>8427</v>
      </c>
      <c r="AW22" s="888">
        <f t="shared" si="32"/>
        <v>892</v>
      </c>
      <c r="AX22" s="888">
        <f t="shared" si="33"/>
        <v>41</v>
      </c>
      <c r="AY22" s="888">
        <f t="shared" si="34"/>
        <v>8731</v>
      </c>
      <c r="AZ22" s="888">
        <f t="shared" si="35"/>
        <v>7295</v>
      </c>
      <c r="BA22" s="888">
        <f t="shared" si="36"/>
        <v>1396</v>
      </c>
      <c r="BB22" s="888">
        <f t="shared" si="37"/>
        <v>39</v>
      </c>
      <c r="BC22" s="888">
        <f t="shared" si="38"/>
        <v>8823</v>
      </c>
      <c r="BD22" s="888">
        <f t="shared" si="39"/>
        <v>5847</v>
      </c>
      <c r="BE22" s="888">
        <f t="shared" si="40"/>
        <v>771</v>
      </c>
      <c r="BF22" s="888">
        <f t="shared" si="41"/>
        <v>125</v>
      </c>
      <c r="BG22" s="888">
        <f t="shared" si="42"/>
        <v>8505</v>
      </c>
      <c r="BH22" s="888">
        <f t="shared" si="43"/>
        <v>8044</v>
      </c>
      <c r="BI22" s="888">
        <f t="shared" si="44"/>
        <v>397</v>
      </c>
      <c r="BJ22" s="888">
        <f t="shared" si="45"/>
        <v>64</v>
      </c>
      <c r="BK22" s="888">
        <f t="shared" si="46"/>
        <v>9134</v>
      </c>
      <c r="BL22" s="888">
        <f t="shared" si="47"/>
        <v>8927</v>
      </c>
      <c r="BM22" s="888">
        <f t="shared" si="48"/>
        <v>144</v>
      </c>
      <c r="BN22" s="888">
        <f t="shared" si="49"/>
        <v>63</v>
      </c>
      <c r="BO22" s="888">
        <f t="shared" si="50"/>
        <v>9800</v>
      </c>
      <c r="BP22" s="888">
        <f t="shared" si="51"/>
        <v>9209</v>
      </c>
      <c r="BQ22" s="888">
        <f t="shared" si="52"/>
        <v>555</v>
      </c>
      <c r="BR22" s="888">
        <f t="shared" si="53"/>
        <v>36</v>
      </c>
      <c r="BS22" s="904" t="s">
        <v>133</v>
      </c>
      <c r="BT22" s="904" t="s">
        <v>133</v>
      </c>
      <c r="BU22" s="904" t="s">
        <v>133</v>
      </c>
      <c r="BV22" s="904" t="s">
        <v>133</v>
      </c>
      <c r="BW22" s="904" t="s">
        <v>133</v>
      </c>
    </row>
    <row r="23" spans="1:75" x14ac:dyDescent="0.25">
      <c r="A23" s="890" t="s">
        <v>177</v>
      </c>
      <c r="B23" s="890" t="s">
        <v>178</v>
      </c>
      <c r="C23" s="891" t="s">
        <v>151</v>
      </c>
      <c r="D23" s="891">
        <v>7.83</v>
      </c>
      <c r="E23" s="891" t="s">
        <v>70</v>
      </c>
      <c r="F23" s="893">
        <v>0</v>
      </c>
      <c r="G23" s="897">
        <v>8006</v>
      </c>
      <c r="H23" s="898">
        <v>6506</v>
      </c>
      <c r="I23" s="898">
        <v>1408</v>
      </c>
      <c r="J23" s="898">
        <v>92</v>
      </c>
      <c r="K23" s="897">
        <v>8629</v>
      </c>
      <c r="L23" s="898">
        <v>7153</v>
      </c>
      <c r="M23" s="898">
        <v>1415</v>
      </c>
      <c r="N23" s="898">
        <v>61</v>
      </c>
      <c r="O23" s="898">
        <v>8493</v>
      </c>
      <c r="P23" s="898">
        <v>7646</v>
      </c>
      <c r="Q23" s="898">
        <v>809</v>
      </c>
      <c r="R23" s="898">
        <v>37</v>
      </c>
      <c r="S23" s="898">
        <v>7921</v>
      </c>
      <c r="T23" s="898">
        <v>6619</v>
      </c>
      <c r="U23" s="898">
        <v>1267</v>
      </c>
      <c r="V23" s="898">
        <v>35</v>
      </c>
      <c r="W23" s="898">
        <v>8006</v>
      </c>
      <c r="X23" s="898">
        <v>5305</v>
      </c>
      <c r="Y23" s="898">
        <v>700</v>
      </c>
      <c r="Z23" s="898">
        <v>113</v>
      </c>
      <c r="AA23" s="898">
        <v>7717</v>
      </c>
      <c r="AB23" s="898">
        <v>7298</v>
      </c>
      <c r="AC23" s="898">
        <v>360</v>
      </c>
      <c r="AD23" s="898">
        <v>58</v>
      </c>
      <c r="AE23" s="898">
        <v>8288</v>
      </c>
      <c r="AF23" s="898">
        <v>8100</v>
      </c>
      <c r="AG23" s="898">
        <v>131</v>
      </c>
      <c r="AH23" s="898">
        <v>57</v>
      </c>
      <c r="AI23" s="898">
        <v>8891</v>
      </c>
      <c r="AJ23" s="898">
        <v>8355</v>
      </c>
      <c r="AK23" s="898">
        <v>504</v>
      </c>
      <c r="AL23" s="898">
        <v>32</v>
      </c>
      <c r="AM23" s="888">
        <f t="shared" si="22"/>
        <v>8006</v>
      </c>
      <c r="AN23" s="888">
        <f t="shared" si="23"/>
        <v>6506</v>
      </c>
      <c r="AO23" s="888">
        <f t="shared" si="24"/>
        <v>1408</v>
      </c>
      <c r="AP23" s="888">
        <f t="shared" si="25"/>
        <v>92</v>
      </c>
      <c r="AQ23" s="888">
        <f t="shared" si="26"/>
        <v>8629</v>
      </c>
      <c r="AR23" s="888">
        <f t="shared" si="27"/>
        <v>7153</v>
      </c>
      <c r="AS23" s="888">
        <f t="shared" si="28"/>
        <v>1415</v>
      </c>
      <c r="AT23" s="888">
        <f t="shared" si="29"/>
        <v>61</v>
      </c>
      <c r="AU23" s="888">
        <f t="shared" si="30"/>
        <v>8493</v>
      </c>
      <c r="AV23" s="888">
        <f t="shared" si="31"/>
        <v>7646</v>
      </c>
      <c r="AW23" s="888">
        <f t="shared" si="32"/>
        <v>809</v>
      </c>
      <c r="AX23" s="888">
        <f t="shared" si="33"/>
        <v>37</v>
      </c>
      <c r="AY23" s="888">
        <f t="shared" si="34"/>
        <v>7921</v>
      </c>
      <c r="AZ23" s="888">
        <f t="shared" si="35"/>
        <v>6619</v>
      </c>
      <c r="BA23" s="888">
        <f t="shared" si="36"/>
        <v>1267</v>
      </c>
      <c r="BB23" s="888">
        <f t="shared" si="37"/>
        <v>35</v>
      </c>
      <c r="BC23" s="888">
        <f t="shared" si="38"/>
        <v>8006</v>
      </c>
      <c r="BD23" s="888">
        <f t="shared" si="39"/>
        <v>5305</v>
      </c>
      <c r="BE23" s="888">
        <f t="shared" si="40"/>
        <v>700</v>
      </c>
      <c r="BF23" s="888">
        <f t="shared" si="41"/>
        <v>113</v>
      </c>
      <c r="BG23" s="888">
        <f t="shared" si="42"/>
        <v>7717</v>
      </c>
      <c r="BH23" s="888">
        <f t="shared" si="43"/>
        <v>7298</v>
      </c>
      <c r="BI23" s="888">
        <f t="shared" si="44"/>
        <v>360</v>
      </c>
      <c r="BJ23" s="888">
        <f t="shared" si="45"/>
        <v>58</v>
      </c>
      <c r="BK23" s="888">
        <f t="shared" si="46"/>
        <v>8288</v>
      </c>
      <c r="BL23" s="888">
        <f t="shared" si="47"/>
        <v>8100</v>
      </c>
      <c r="BM23" s="888">
        <f t="shared" si="48"/>
        <v>131</v>
      </c>
      <c r="BN23" s="888">
        <f t="shared" si="49"/>
        <v>57</v>
      </c>
      <c r="BO23" s="888">
        <f t="shared" si="50"/>
        <v>8891</v>
      </c>
      <c r="BP23" s="888">
        <f t="shared" si="51"/>
        <v>8355</v>
      </c>
      <c r="BQ23" s="888">
        <f t="shared" si="52"/>
        <v>504</v>
      </c>
      <c r="BR23" s="888">
        <f t="shared" si="53"/>
        <v>32</v>
      </c>
      <c r="BS23" s="904" t="s">
        <v>133</v>
      </c>
      <c r="BT23" s="904" t="s">
        <v>133</v>
      </c>
      <c r="BU23" s="904" t="s">
        <v>133</v>
      </c>
      <c r="BV23" s="904" t="s">
        <v>133</v>
      </c>
      <c r="BW23" s="904" t="s">
        <v>133</v>
      </c>
    </row>
    <row r="24" spans="1:75" x14ac:dyDescent="0.25">
      <c r="A24" s="884" t="s">
        <v>179</v>
      </c>
      <c r="B24" s="884" t="s">
        <v>180</v>
      </c>
      <c r="C24" s="886" t="s">
        <v>181</v>
      </c>
      <c r="D24" s="886">
        <v>8.36</v>
      </c>
      <c r="E24" s="886" t="s">
        <v>70</v>
      </c>
      <c r="F24" s="887">
        <v>8894</v>
      </c>
      <c r="G24" s="897">
        <v>5350</v>
      </c>
      <c r="H24" s="898">
        <v>4348</v>
      </c>
      <c r="I24" s="898">
        <v>941</v>
      </c>
      <c r="J24" s="898">
        <v>61</v>
      </c>
      <c r="K24" s="897">
        <v>5767</v>
      </c>
      <c r="L24" s="898">
        <v>4780</v>
      </c>
      <c r="M24" s="898">
        <v>946</v>
      </c>
      <c r="N24" s="898">
        <v>41</v>
      </c>
      <c r="O24" s="898">
        <v>5676</v>
      </c>
      <c r="P24" s="898">
        <v>5110</v>
      </c>
      <c r="Q24" s="898">
        <v>541</v>
      </c>
      <c r="R24" s="898">
        <v>25</v>
      </c>
      <c r="S24" s="898">
        <v>5294</v>
      </c>
      <c r="T24" s="898">
        <v>4424</v>
      </c>
      <c r="U24" s="898">
        <v>847</v>
      </c>
      <c r="V24" s="898">
        <v>23</v>
      </c>
      <c r="W24" s="898">
        <v>5350</v>
      </c>
      <c r="X24" s="898">
        <v>3545</v>
      </c>
      <c r="Y24" s="898">
        <v>468</v>
      </c>
      <c r="Z24" s="898">
        <v>76</v>
      </c>
      <c r="AA24" s="898">
        <v>5157</v>
      </c>
      <c r="AB24" s="898">
        <v>4878</v>
      </c>
      <c r="AC24" s="898">
        <v>240</v>
      </c>
      <c r="AD24" s="898">
        <v>39</v>
      </c>
      <c r="AE24" s="898">
        <v>5539</v>
      </c>
      <c r="AF24" s="898">
        <v>5413</v>
      </c>
      <c r="AG24" s="898">
        <v>87</v>
      </c>
      <c r="AH24" s="898">
        <v>38</v>
      </c>
      <c r="AI24" s="898">
        <v>5942</v>
      </c>
      <c r="AJ24" s="898">
        <v>5584</v>
      </c>
      <c r="AK24" s="898">
        <v>337</v>
      </c>
      <c r="AL24" s="898">
        <v>22</v>
      </c>
      <c r="AM24" s="888">
        <f t="shared" si="22"/>
        <v>5350</v>
      </c>
      <c r="AN24" s="888">
        <f t="shared" si="23"/>
        <v>4348</v>
      </c>
      <c r="AO24" s="888">
        <f t="shared" si="24"/>
        <v>941</v>
      </c>
      <c r="AP24" s="888">
        <f t="shared" si="25"/>
        <v>61</v>
      </c>
      <c r="AQ24" s="888">
        <f t="shared" si="26"/>
        <v>5767</v>
      </c>
      <c r="AR24" s="888">
        <f t="shared" si="27"/>
        <v>4780</v>
      </c>
      <c r="AS24" s="888">
        <f t="shared" si="28"/>
        <v>946</v>
      </c>
      <c r="AT24" s="888">
        <f t="shared" si="29"/>
        <v>41</v>
      </c>
      <c r="AU24" s="888">
        <f t="shared" si="30"/>
        <v>5676</v>
      </c>
      <c r="AV24" s="888">
        <f t="shared" si="31"/>
        <v>5110</v>
      </c>
      <c r="AW24" s="888">
        <f t="shared" si="32"/>
        <v>541</v>
      </c>
      <c r="AX24" s="888">
        <f t="shared" si="33"/>
        <v>25</v>
      </c>
      <c r="AY24" s="888">
        <f t="shared" si="34"/>
        <v>5294</v>
      </c>
      <c r="AZ24" s="888">
        <f t="shared" si="35"/>
        <v>4424</v>
      </c>
      <c r="BA24" s="888">
        <f t="shared" si="36"/>
        <v>847</v>
      </c>
      <c r="BB24" s="888">
        <f t="shared" si="37"/>
        <v>23</v>
      </c>
      <c r="BC24" s="888">
        <f t="shared" si="38"/>
        <v>5350</v>
      </c>
      <c r="BD24" s="888">
        <f t="shared" si="39"/>
        <v>3545</v>
      </c>
      <c r="BE24" s="888">
        <f t="shared" si="40"/>
        <v>468</v>
      </c>
      <c r="BF24" s="888">
        <f t="shared" si="41"/>
        <v>76</v>
      </c>
      <c r="BG24" s="888">
        <f t="shared" si="42"/>
        <v>5157</v>
      </c>
      <c r="BH24" s="888">
        <f t="shared" si="43"/>
        <v>4878</v>
      </c>
      <c r="BI24" s="888">
        <f t="shared" si="44"/>
        <v>240</v>
      </c>
      <c r="BJ24" s="888">
        <f t="shared" si="45"/>
        <v>39</v>
      </c>
      <c r="BK24" s="888">
        <f t="shared" si="46"/>
        <v>5539</v>
      </c>
      <c r="BL24" s="888">
        <f t="shared" si="47"/>
        <v>5413</v>
      </c>
      <c r="BM24" s="888">
        <f t="shared" si="48"/>
        <v>87</v>
      </c>
      <c r="BN24" s="888">
        <f t="shared" si="49"/>
        <v>38</v>
      </c>
      <c r="BO24" s="888">
        <f t="shared" si="50"/>
        <v>5942</v>
      </c>
      <c r="BP24" s="888">
        <f t="shared" si="51"/>
        <v>5584</v>
      </c>
      <c r="BQ24" s="888">
        <f t="shared" si="52"/>
        <v>337</v>
      </c>
      <c r="BR24" s="888">
        <f t="shared" si="53"/>
        <v>22</v>
      </c>
    </row>
    <row r="25" spans="1:75" x14ac:dyDescent="0.25">
      <c r="A25" s="884" t="s">
        <v>182</v>
      </c>
      <c r="B25" s="884" t="s">
        <v>183</v>
      </c>
      <c r="C25" s="886" t="s">
        <v>181</v>
      </c>
      <c r="D25" s="886">
        <v>4.46</v>
      </c>
      <c r="E25" s="886" t="s">
        <v>70</v>
      </c>
      <c r="F25" s="887">
        <v>6222</v>
      </c>
      <c r="G25" s="897">
        <v>2854</v>
      </c>
      <c r="H25" s="898">
        <v>2320</v>
      </c>
      <c r="I25" s="898">
        <v>502</v>
      </c>
      <c r="J25" s="898">
        <v>33</v>
      </c>
      <c r="K25" s="897">
        <v>3077</v>
      </c>
      <c r="L25" s="898">
        <v>2550</v>
      </c>
      <c r="M25" s="898">
        <v>505</v>
      </c>
      <c r="N25" s="898">
        <v>22</v>
      </c>
      <c r="O25" s="898">
        <v>3028</v>
      </c>
      <c r="P25" s="898">
        <v>2726</v>
      </c>
      <c r="Q25" s="898">
        <v>289</v>
      </c>
      <c r="R25" s="898">
        <v>13</v>
      </c>
      <c r="S25" s="898">
        <v>2824</v>
      </c>
      <c r="T25" s="898">
        <v>2360</v>
      </c>
      <c r="U25" s="898">
        <v>452</v>
      </c>
      <c r="V25" s="898">
        <v>13</v>
      </c>
      <c r="W25" s="898">
        <v>2854</v>
      </c>
      <c r="X25" s="898">
        <v>1891</v>
      </c>
      <c r="Y25" s="898">
        <v>250</v>
      </c>
      <c r="Z25" s="898">
        <v>40</v>
      </c>
      <c r="AA25" s="898">
        <v>2751</v>
      </c>
      <c r="AB25" s="898">
        <v>2602</v>
      </c>
      <c r="AC25" s="898">
        <v>128</v>
      </c>
      <c r="AD25" s="898">
        <v>21</v>
      </c>
      <c r="AE25" s="898">
        <v>2955</v>
      </c>
      <c r="AF25" s="898">
        <v>2888</v>
      </c>
      <c r="AG25" s="898">
        <v>47</v>
      </c>
      <c r="AH25" s="898">
        <v>20</v>
      </c>
      <c r="AI25" s="898">
        <v>3170</v>
      </c>
      <c r="AJ25" s="898">
        <v>2979</v>
      </c>
      <c r="AK25" s="898">
        <v>180</v>
      </c>
      <c r="AL25" s="898">
        <v>11</v>
      </c>
      <c r="AM25" s="888">
        <f t="shared" si="22"/>
        <v>2854</v>
      </c>
      <c r="AN25" s="888">
        <f t="shared" si="23"/>
        <v>2320</v>
      </c>
      <c r="AO25" s="888">
        <f t="shared" si="24"/>
        <v>502</v>
      </c>
      <c r="AP25" s="888">
        <f t="shared" si="25"/>
        <v>33</v>
      </c>
      <c r="AQ25" s="888">
        <f t="shared" si="26"/>
        <v>3077</v>
      </c>
      <c r="AR25" s="888">
        <f t="shared" si="27"/>
        <v>2550</v>
      </c>
      <c r="AS25" s="888">
        <f t="shared" si="28"/>
        <v>505</v>
      </c>
      <c r="AT25" s="888">
        <f t="shared" si="29"/>
        <v>22</v>
      </c>
      <c r="AU25" s="888">
        <f t="shared" si="30"/>
        <v>3028</v>
      </c>
      <c r="AV25" s="888">
        <f t="shared" si="31"/>
        <v>2726</v>
      </c>
      <c r="AW25" s="888">
        <f t="shared" si="32"/>
        <v>289</v>
      </c>
      <c r="AX25" s="888">
        <f t="shared" si="33"/>
        <v>13</v>
      </c>
      <c r="AY25" s="888">
        <f t="shared" si="34"/>
        <v>2824</v>
      </c>
      <c r="AZ25" s="888">
        <f t="shared" si="35"/>
        <v>2360</v>
      </c>
      <c r="BA25" s="888">
        <f t="shared" si="36"/>
        <v>452</v>
      </c>
      <c r="BB25" s="888">
        <f t="shared" si="37"/>
        <v>13</v>
      </c>
      <c r="BC25" s="888">
        <f t="shared" si="38"/>
        <v>2854</v>
      </c>
      <c r="BD25" s="888">
        <f t="shared" si="39"/>
        <v>1891</v>
      </c>
      <c r="BE25" s="888">
        <f t="shared" si="40"/>
        <v>250</v>
      </c>
      <c r="BF25" s="888">
        <f t="shared" si="41"/>
        <v>40</v>
      </c>
      <c r="BG25" s="888">
        <f t="shared" si="42"/>
        <v>2751</v>
      </c>
      <c r="BH25" s="888">
        <f t="shared" si="43"/>
        <v>2602</v>
      </c>
      <c r="BI25" s="888">
        <f t="shared" si="44"/>
        <v>128</v>
      </c>
      <c r="BJ25" s="888">
        <f t="shared" si="45"/>
        <v>21</v>
      </c>
      <c r="BK25" s="888">
        <f t="shared" si="46"/>
        <v>2955</v>
      </c>
      <c r="BL25" s="888">
        <f t="shared" si="47"/>
        <v>2888</v>
      </c>
      <c r="BM25" s="888">
        <f t="shared" si="48"/>
        <v>47</v>
      </c>
      <c r="BN25" s="888">
        <f t="shared" si="49"/>
        <v>20</v>
      </c>
      <c r="BO25" s="888">
        <f t="shared" si="50"/>
        <v>3170</v>
      </c>
      <c r="BP25" s="888">
        <f t="shared" si="51"/>
        <v>2979</v>
      </c>
      <c r="BQ25" s="888">
        <f t="shared" si="52"/>
        <v>180</v>
      </c>
      <c r="BR25" s="888">
        <f t="shared" si="53"/>
        <v>11</v>
      </c>
    </row>
    <row r="26" spans="1:75" x14ac:dyDescent="0.25">
      <c r="A26" s="884" t="s">
        <v>184</v>
      </c>
      <c r="B26" s="884" t="s">
        <v>185</v>
      </c>
      <c r="C26" s="886" t="s">
        <v>181</v>
      </c>
      <c r="D26" s="886">
        <v>3.35</v>
      </c>
      <c r="E26" s="886" t="s">
        <v>70</v>
      </c>
      <c r="F26" s="887">
        <v>9084</v>
      </c>
      <c r="G26" s="897">
        <v>1720</v>
      </c>
      <c r="H26" s="898">
        <v>1398</v>
      </c>
      <c r="I26" s="898">
        <v>303</v>
      </c>
      <c r="J26" s="898">
        <v>20</v>
      </c>
      <c r="K26" s="897">
        <v>1854</v>
      </c>
      <c r="L26" s="898">
        <v>1537</v>
      </c>
      <c r="M26" s="898">
        <v>304</v>
      </c>
      <c r="N26" s="898">
        <v>13</v>
      </c>
      <c r="O26" s="898">
        <v>1825</v>
      </c>
      <c r="P26" s="898">
        <v>1643</v>
      </c>
      <c r="Q26" s="898">
        <v>174</v>
      </c>
      <c r="R26" s="898">
        <v>8</v>
      </c>
      <c r="S26" s="898">
        <v>1702</v>
      </c>
      <c r="T26" s="898">
        <v>1422</v>
      </c>
      <c r="U26" s="898">
        <v>272</v>
      </c>
      <c r="V26" s="898">
        <v>8</v>
      </c>
      <c r="W26" s="898">
        <v>1720</v>
      </c>
      <c r="X26" s="898">
        <v>1140</v>
      </c>
      <c r="Y26" s="898">
        <v>150</v>
      </c>
      <c r="Z26" s="898">
        <v>24</v>
      </c>
      <c r="AA26" s="898">
        <v>1658</v>
      </c>
      <c r="AB26" s="898">
        <v>1568</v>
      </c>
      <c r="AC26" s="898">
        <v>77</v>
      </c>
      <c r="AD26" s="898">
        <v>13</v>
      </c>
      <c r="AE26" s="898">
        <v>1781</v>
      </c>
      <c r="AF26" s="898">
        <v>1740</v>
      </c>
      <c r="AG26" s="898">
        <v>28</v>
      </c>
      <c r="AH26" s="898">
        <v>12</v>
      </c>
      <c r="AI26" s="898">
        <v>1910</v>
      </c>
      <c r="AJ26" s="898">
        <v>1795</v>
      </c>
      <c r="AK26" s="898">
        <v>108</v>
      </c>
      <c r="AL26" s="898">
        <v>7</v>
      </c>
      <c r="AM26" s="888">
        <f t="shared" si="22"/>
        <v>1720</v>
      </c>
      <c r="AN26" s="888">
        <f t="shared" si="23"/>
        <v>1398</v>
      </c>
      <c r="AO26" s="888">
        <f t="shared" si="24"/>
        <v>303</v>
      </c>
      <c r="AP26" s="888">
        <f t="shared" si="25"/>
        <v>20</v>
      </c>
      <c r="AQ26" s="888">
        <f t="shared" si="26"/>
        <v>1854</v>
      </c>
      <c r="AR26" s="888">
        <f t="shared" si="27"/>
        <v>1537</v>
      </c>
      <c r="AS26" s="888">
        <f t="shared" si="28"/>
        <v>304</v>
      </c>
      <c r="AT26" s="888">
        <f t="shared" si="29"/>
        <v>13</v>
      </c>
      <c r="AU26" s="888">
        <f t="shared" si="30"/>
        <v>1825</v>
      </c>
      <c r="AV26" s="888">
        <f t="shared" si="31"/>
        <v>1643</v>
      </c>
      <c r="AW26" s="888">
        <f t="shared" si="32"/>
        <v>174</v>
      </c>
      <c r="AX26" s="888">
        <f t="shared" si="33"/>
        <v>8</v>
      </c>
      <c r="AY26" s="888">
        <f t="shared" si="34"/>
        <v>1702</v>
      </c>
      <c r="AZ26" s="888">
        <f t="shared" si="35"/>
        <v>1422</v>
      </c>
      <c r="BA26" s="888">
        <f t="shared" si="36"/>
        <v>272</v>
      </c>
      <c r="BB26" s="888">
        <f t="shared" si="37"/>
        <v>8</v>
      </c>
      <c r="BC26" s="888">
        <f t="shared" si="38"/>
        <v>1720</v>
      </c>
      <c r="BD26" s="888">
        <f t="shared" si="39"/>
        <v>1140</v>
      </c>
      <c r="BE26" s="888">
        <f t="shared" si="40"/>
        <v>150</v>
      </c>
      <c r="BF26" s="888">
        <f t="shared" si="41"/>
        <v>24</v>
      </c>
      <c r="BG26" s="888">
        <f t="shared" si="42"/>
        <v>1658</v>
      </c>
      <c r="BH26" s="888">
        <f t="shared" si="43"/>
        <v>1568</v>
      </c>
      <c r="BI26" s="888">
        <f t="shared" si="44"/>
        <v>77</v>
      </c>
      <c r="BJ26" s="888">
        <f t="shared" si="45"/>
        <v>13</v>
      </c>
      <c r="BK26" s="888">
        <f t="shared" si="46"/>
        <v>1781</v>
      </c>
      <c r="BL26" s="888">
        <f t="shared" si="47"/>
        <v>1740</v>
      </c>
      <c r="BM26" s="888">
        <f t="shared" si="48"/>
        <v>28</v>
      </c>
      <c r="BN26" s="888">
        <f t="shared" si="49"/>
        <v>12</v>
      </c>
      <c r="BO26" s="888">
        <f t="shared" si="50"/>
        <v>1910</v>
      </c>
      <c r="BP26" s="888">
        <f t="shared" si="51"/>
        <v>1795</v>
      </c>
      <c r="BQ26" s="888">
        <f t="shared" si="52"/>
        <v>108</v>
      </c>
      <c r="BR26" s="888">
        <f t="shared" si="53"/>
        <v>7</v>
      </c>
    </row>
    <row r="27" spans="1:75" x14ac:dyDescent="0.25">
      <c r="A27" s="890" t="s">
        <v>186</v>
      </c>
      <c r="B27" s="890" t="s">
        <v>187</v>
      </c>
      <c r="C27" s="891" t="s">
        <v>181</v>
      </c>
      <c r="D27" s="891">
        <v>4.0199999999999996</v>
      </c>
      <c r="E27" s="891" t="s">
        <v>70</v>
      </c>
      <c r="F27" s="893">
        <v>0</v>
      </c>
      <c r="G27" s="897">
        <v>2573</v>
      </c>
      <c r="H27" s="898">
        <v>2091</v>
      </c>
      <c r="I27" s="898">
        <v>453</v>
      </c>
      <c r="J27" s="898">
        <v>29</v>
      </c>
      <c r="K27" s="897">
        <v>2773</v>
      </c>
      <c r="L27" s="898">
        <v>2299</v>
      </c>
      <c r="M27" s="898">
        <v>455</v>
      </c>
      <c r="N27" s="898">
        <v>20</v>
      </c>
      <c r="O27" s="898">
        <v>2729</v>
      </c>
      <c r="P27" s="898">
        <v>2457</v>
      </c>
      <c r="Q27" s="898">
        <v>260</v>
      </c>
      <c r="R27" s="898">
        <v>12</v>
      </c>
      <c r="S27" s="898">
        <v>2546</v>
      </c>
      <c r="T27" s="898">
        <v>2127</v>
      </c>
      <c r="U27" s="898">
        <v>407</v>
      </c>
      <c r="V27" s="898">
        <v>11</v>
      </c>
      <c r="W27" s="898">
        <v>2573</v>
      </c>
      <c r="X27" s="898">
        <v>1705</v>
      </c>
      <c r="Y27" s="898">
        <v>225</v>
      </c>
      <c r="Z27" s="898">
        <v>36</v>
      </c>
      <c r="AA27" s="898">
        <v>2480</v>
      </c>
      <c r="AB27" s="898">
        <v>2345</v>
      </c>
      <c r="AC27" s="898">
        <v>116</v>
      </c>
      <c r="AD27" s="898">
        <v>19</v>
      </c>
      <c r="AE27" s="898">
        <v>2663</v>
      </c>
      <c r="AF27" s="898">
        <v>2603</v>
      </c>
      <c r="AG27" s="898">
        <v>42</v>
      </c>
      <c r="AH27" s="898">
        <v>18</v>
      </c>
      <c r="AI27" s="898">
        <v>2857</v>
      </c>
      <c r="AJ27" s="898">
        <v>2685</v>
      </c>
      <c r="AK27" s="898">
        <v>162</v>
      </c>
      <c r="AL27" s="898">
        <v>10</v>
      </c>
      <c r="AM27" s="888">
        <f t="shared" si="22"/>
        <v>2573</v>
      </c>
      <c r="AN27" s="888">
        <f t="shared" si="23"/>
        <v>2091</v>
      </c>
      <c r="AO27" s="888">
        <f t="shared" si="24"/>
        <v>453</v>
      </c>
      <c r="AP27" s="888">
        <f t="shared" si="25"/>
        <v>29</v>
      </c>
      <c r="AQ27" s="888">
        <f t="shared" si="26"/>
        <v>2773</v>
      </c>
      <c r="AR27" s="888">
        <f t="shared" si="27"/>
        <v>2299</v>
      </c>
      <c r="AS27" s="888">
        <f t="shared" si="28"/>
        <v>455</v>
      </c>
      <c r="AT27" s="888">
        <f t="shared" si="29"/>
        <v>20</v>
      </c>
      <c r="AU27" s="888">
        <f t="shared" si="30"/>
        <v>2729</v>
      </c>
      <c r="AV27" s="888">
        <f t="shared" si="31"/>
        <v>2457</v>
      </c>
      <c r="AW27" s="888">
        <f t="shared" si="32"/>
        <v>260</v>
      </c>
      <c r="AX27" s="888">
        <f t="shared" si="33"/>
        <v>12</v>
      </c>
      <c r="AY27" s="888">
        <f t="shared" si="34"/>
        <v>2546</v>
      </c>
      <c r="AZ27" s="888">
        <f t="shared" si="35"/>
        <v>2127</v>
      </c>
      <c r="BA27" s="888">
        <f t="shared" si="36"/>
        <v>407</v>
      </c>
      <c r="BB27" s="888">
        <f t="shared" si="37"/>
        <v>11</v>
      </c>
      <c r="BC27" s="888">
        <f t="shared" si="38"/>
        <v>2573</v>
      </c>
      <c r="BD27" s="888">
        <f t="shared" si="39"/>
        <v>1705</v>
      </c>
      <c r="BE27" s="888">
        <f t="shared" si="40"/>
        <v>225</v>
      </c>
      <c r="BF27" s="888">
        <f t="shared" si="41"/>
        <v>36</v>
      </c>
      <c r="BG27" s="888">
        <f t="shared" si="42"/>
        <v>2480</v>
      </c>
      <c r="BH27" s="888">
        <f t="shared" si="43"/>
        <v>2345</v>
      </c>
      <c r="BI27" s="888">
        <f t="shared" si="44"/>
        <v>116</v>
      </c>
      <c r="BJ27" s="888">
        <f t="shared" si="45"/>
        <v>19</v>
      </c>
      <c r="BK27" s="888">
        <f t="shared" si="46"/>
        <v>2663</v>
      </c>
      <c r="BL27" s="888">
        <f t="shared" si="47"/>
        <v>2603</v>
      </c>
      <c r="BM27" s="888">
        <f t="shared" si="48"/>
        <v>42</v>
      </c>
      <c r="BN27" s="888">
        <f t="shared" si="49"/>
        <v>18</v>
      </c>
      <c r="BO27" s="888">
        <f t="shared" si="50"/>
        <v>2857</v>
      </c>
      <c r="BP27" s="888">
        <f t="shared" si="51"/>
        <v>2685</v>
      </c>
      <c r="BQ27" s="888">
        <f t="shared" si="52"/>
        <v>162</v>
      </c>
      <c r="BR27" s="888">
        <f t="shared" si="53"/>
        <v>10</v>
      </c>
      <c r="BS27" s="904" t="s">
        <v>133</v>
      </c>
      <c r="BT27" s="904" t="s">
        <v>133</v>
      </c>
      <c r="BU27" s="904" t="s">
        <v>133</v>
      </c>
      <c r="BV27" s="904" t="s">
        <v>133</v>
      </c>
      <c r="BW27" s="904" t="s">
        <v>133</v>
      </c>
    </row>
    <row r="28" spans="1:75" x14ac:dyDescent="0.25">
      <c r="A28" s="884" t="s">
        <v>188</v>
      </c>
      <c r="B28" s="884" t="s">
        <v>189</v>
      </c>
      <c r="C28" s="886" t="s">
        <v>190</v>
      </c>
      <c r="D28" s="886">
        <v>2.41</v>
      </c>
      <c r="E28" s="886" t="s">
        <v>73</v>
      </c>
      <c r="F28" s="887">
        <v>3053</v>
      </c>
      <c r="G28" s="897">
        <v>2100</v>
      </c>
      <c r="H28" s="898">
        <v>1542</v>
      </c>
      <c r="I28" s="898">
        <v>524</v>
      </c>
      <c r="J28" s="898">
        <v>33</v>
      </c>
      <c r="K28" s="897">
        <v>2497</v>
      </c>
      <c r="L28" s="898">
        <v>2071</v>
      </c>
      <c r="M28" s="898">
        <v>409</v>
      </c>
      <c r="N28" s="898">
        <v>18</v>
      </c>
      <c r="O28" s="898">
        <v>2484</v>
      </c>
      <c r="P28" s="898">
        <v>2234</v>
      </c>
      <c r="Q28" s="898">
        <v>239</v>
      </c>
      <c r="R28" s="898">
        <v>11</v>
      </c>
      <c r="S28" s="898">
        <v>2332</v>
      </c>
      <c r="T28" s="898">
        <v>1940</v>
      </c>
      <c r="U28" s="898">
        <v>381</v>
      </c>
      <c r="V28" s="898">
        <v>10</v>
      </c>
      <c r="W28" s="898">
        <v>2100</v>
      </c>
      <c r="X28" s="898">
        <v>1873</v>
      </c>
      <c r="Y28" s="898">
        <v>143</v>
      </c>
      <c r="Z28" s="898">
        <v>26</v>
      </c>
      <c r="AA28" s="898">
        <v>2238</v>
      </c>
      <c r="AB28" s="898">
        <v>2116</v>
      </c>
      <c r="AC28" s="898">
        <v>104</v>
      </c>
      <c r="AD28" s="898">
        <v>17</v>
      </c>
      <c r="AE28" s="898">
        <v>2409</v>
      </c>
      <c r="AF28" s="898">
        <v>2354</v>
      </c>
      <c r="AG28" s="898">
        <v>38</v>
      </c>
      <c r="AH28" s="898">
        <v>17</v>
      </c>
      <c r="AI28" s="898">
        <v>2585</v>
      </c>
      <c r="AJ28" s="898">
        <v>2425</v>
      </c>
      <c r="AK28" s="898">
        <v>151</v>
      </c>
      <c r="AL28" s="898">
        <v>9</v>
      </c>
      <c r="AM28" s="888">
        <f t="shared" si="22"/>
        <v>2100</v>
      </c>
      <c r="AN28" s="888">
        <f t="shared" si="23"/>
        <v>1542</v>
      </c>
      <c r="AO28" s="888">
        <f t="shared" si="24"/>
        <v>524</v>
      </c>
      <c r="AP28" s="888">
        <f t="shared" si="25"/>
        <v>33</v>
      </c>
      <c r="AQ28" s="888">
        <f t="shared" si="26"/>
        <v>2497</v>
      </c>
      <c r="AR28" s="888">
        <f t="shared" si="27"/>
        <v>2071</v>
      </c>
      <c r="AS28" s="888">
        <f t="shared" si="28"/>
        <v>409</v>
      </c>
      <c r="AT28" s="888">
        <f t="shared" si="29"/>
        <v>18</v>
      </c>
      <c r="AU28" s="888">
        <f t="shared" si="30"/>
        <v>2484</v>
      </c>
      <c r="AV28" s="888">
        <f t="shared" si="31"/>
        <v>2234</v>
      </c>
      <c r="AW28" s="888">
        <f t="shared" si="32"/>
        <v>239</v>
      </c>
      <c r="AX28" s="888">
        <f t="shared" si="33"/>
        <v>11</v>
      </c>
      <c r="AY28" s="888">
        <f t="shared" si="34"/>
        <v>2332</v>
      </c>
      <c r="AZ28" s="888">
        <f t="shared" si="35"/>
        <v>1940</v>
      </c>
      <c r="BA28" s="888">
        <f t="shared" si="36"/>
        <v>381</v>
      </c>
      <c r="BB28" s="888">
        <f t="shared" si="37"/>
        <v>10</v>
      </c>
      <c r="BC28" s="888">
        <f t="shared" si="38"/>
        <v>2100</v>
      </c>
      <c r="BD28" s="888">
        <f t="shared" si="39"/>
        <v>1873</v>
      </c>
      <c r="BE28" s="888">
        <f t="shared" si="40"/>
        <v>143</v>
      </c>
      <c r="BF28" s="888">
        <f t="shared" si="41"/>
        <v>26</v>
      </c>
      <c r="BG28" s="888">
        <f t="shared" si="42"/>
        <v>2238</v>
      </c>
      <c r="BH28" s="888">
        <f t="shared" si="43"/>
        <v>2116</v>
      </c>
      <c r="BI28" s="888">
        <f t="shared" si="44"/>
        <v>104</v>
      </c>
      <c r="BJ28" s="888">
        <f t="shared" si="45"/>
        <v>17</v>
      </c>
      <c r="BK28" s="888">
        <f t="shared" si="46"/>
        <v>2409</v>
      </c>
      <c r="BL28" s="888">
        <f t="shared" si="47"/>
        <v>2354</v>
      </c>
      <c r="BM28" s="888">
        <f t="shared" si="48"/>
        <v>38</v>
      </c>
      <c r="BN28" s="888">
        <f t="shared" si="49"/>
        <v>17</v>
      </c>
      <c r="BO28" s="888">
        <f t="shared" si="50"/>
        <v>2585</v>
      </c>
      <c r="BP28" s="888">
        <f t="shared" si="51"/>
        <v>2425</v>
      </c>
      <c r="BQ28" s="888">
        <f t="shared" si="52"/>
        <v>151</v>
      </c>
      <c r="BR28" s="888">
        <f t="shared" si="53"/>
        <v>9</v>
      </c>
    </row>
    <row r="29" spans="1:75" x14ac:dyDescent="0.25">
      <c r="A29" s="884" t="s">
        <v>191</v>
      </c>
      <c r="B29" s="884" t="s">
        <v>192</v>
      </c>
      <c r="C29" s="886" t="s">
        <v>193</v>
      </c>
      <c r="D29" s="886">
        <v>30.38</v>
      </c>
      <c r="E29" s="886" t="s">
        <v>73</v>
      </c>
      <c r="F29" s="887">
        <v>36869</v>
      </c>
      <c r="G29" s="897">
        <v>17893</v>
      </c>
      <c r="H29" s="898">
        <v>13143</v>
      </c>
      <c r="I29" s="898">
        <v>4470</v>
      </c>
      <c r="J29" s="898">
        <v>281</v>
      </c>
      <c r="K29" s="897">
        <v>21282</v>
      </c>
      <c r="L29" s="898">
        <v>17649</v>
      </c>
      <c r="M29" s="898">
        <v>3483</v>
      </c>
      <c r="N29" s="898">
        <v>150</v>
      </c>
      <c r="O29" s="898">
        <v>21170</v>
      </c>
      <c r="P29" s="898">
        <v>19040</v>
      </c>
      <c r="Q29" s="898">
        <v>2038</v>
      </c>
      <c r="R29" s="898">
        <v>92</v>
      </c>
      <c r="S29" s="898">
        <v>19872</v>
      </c>
      <c r="T29" s="898">
        <v>16537</v>
      </c>
      <c r="U29" s="898">
        <v>3247</v>
      </c>
      <c r="V29" s="898">
        <v>88</v>
      </c>
      <c r="W29" s="898">
        <v>17893</v>
      </c>
      <c r="X29" s="898">
        <v>15963</v>
      </c>
      <c r="Y29" s="898">
        <v>1215</v>
      </c>
      <c r="Z29" s="898">
        <v>225</v>
      </c>
      <c r="AA29" s="898">
        <v>19070</v>
      </c>
      <c r="AB29" s="898">
        <v>18037</v>
      </c>
      <c r="AC29" s="898">
        <v>889</v>
      </c>
      <c r="AD29" s="898">
        <v>145</v>
      </c>
      <c r="AE29" s="898">
        <v>20530</v>
      </c>
      <c r="AF29" s="898">
        <v>20064</v>
      </c>
      <c r="AG29" s="898">
        <v>325</v>
      </c>
      <c r="AH29" s="898">
        <v>142</v>
      </c>
      <c r="AI29" s="898">
        <v>22028</v>
      </c>
      <c r="AJ29" s="898">
        <v>20665</v>
      </c>
      <c r="AK29" s="898">
        <v>1284</v>
      </c>
      <c r="AL29" s="898">
        <v>80</v>
      </c>
      <c r="AM29" s="888">
        <f t="shared" si="22"/>
        <v>17893</v>
      </c>
      <c r="AN29" s="888">
        <f t="shared" si="23"/>
        <v>13143</v>
      </c>
      <c r="AO29" s="888">
        <f t="shared" si="24"/>
        <v>4470</v>
      </c>
      <c r="AP29" s="888">
        <f t="shared" si="25"/>
        <v>281</v>
      </c>
      <c r="AQ29" s="888">
        <f t="shared" si="26"/>
        <v>21282</v>
      </c>
      <c r="AR29" s="888">
        <f t="shared" si="27"/>
        <v>17649</v>
      </c>
      <c r="AS29" s="888">
        <f t="shared" si="28"/>
        <v>3483</v>
      </c>
      <c r="AT29" s="888">
        <f t="shared" si="29"/>
        <v>150</v>
      </c>
      <c r="AU29" s="888">
        <f t="shared" si="30"/>
        <v>21170</v>
      </c>
      <c r="AV29" s="888">
        <f t="shared" si="31"/>
        <v>19040</v>
      </c>
      <c r="AW29" s="888">
        <f t="shared" si="32"/>
        <v>2038</v>
      </c>
      <c r="AX29" s="888">
        <f t="shared" si="33"/>
        <v>92</v>
      </c>
      <c r="AY29" s="888">
        <f t="shared" si="34"/>
        <v>19872</v>
      </c>
      <c r="AZ29" s="888">
        <f t="shared" si="35"/>
        <v>16537</v>
      </c>
      <c r="BA29" s="888">
        <f t="shared" si="36"/>
        <v>3247</v>
      </c>
      <c r="BB29" s="888">
        <f t="shared" si="37"/>
        <v>88</v>
      </c>
      <c r="BC29" s="888">
        <f t="shared" si="38"/>
        <v>17893</v>
      </c>
      <c r="BD29" s="888">
        <f t="shared" si="39"/>
        <v>15963</v>
      </c>
      <c r="BE29" s="888">
        <f t="shared" si="40"/>
        <v>1215</v>
      </c>
      <c r="BF29" s="888">
        <f t="shared" si="41"/>
        <v>225</v>
      </c>
      <c r="BG29" s="888">
        <f t="shared" si="42"/>
        <v>19070</v>
      </c>
      <c r="BH29" s="888">
        <f t="shared" si="43"/>
        <v>18037</v>
      </c>
      <c r="BI29" s="888">
        <f t="shared" si="44"/>
        <v>889</v>
      </c>
      <c r="BJ29" s="888">
        <f t="shared" si="45"/>
        <v>145</v>
      </c>
      <c r="BK29" s="888">
        <f t="shared" si="46"/>
        <v>20530</v>
      </c>
      <c r="BL29" s="888">
        <f t="shared" si="47"/>
        <v>20064</v>
      </c>
      <c r="BM29" s="888">
        <f t="shared" si="48"/>
        <v>325</v>
      </c>
      <c r="BN29" s="888">
        <f t="shared" si="49"/>
        <v>142</v>
      </c>
      <c r="BO29" s="888">
        <f t="shared" si="50"/>
        <v>22028</v>
      </c>
      <c r="BP29" s="888">
        <f t="shared" si="51"/>
        <v>20665</v>
      </c>
      <c r="BQ29" s="888">
        <f t="shared" si="52"/>
        <v>1284</v>
      </c>
      <c r="BR29" s="888">
        <f t="shared" si="53"/>
        <v>80</v>
      </c>
    </row>
    <row r="30" spans="1:75" x14ac:dyDescent="0.25">
      <c r="A30" s="890" t="s">
        <v>194</v>
      </c>
      <c r="B30" s="890" t="s">
        <v>195</v>
      </c>
      <c r="C30" s="891" t="s">
        <v>112</v>
      </c>
      <c r="D30" s="891">
        <v>78.09</v>
      </c>
      <c r="E30" s="891" t="s">
        <v>73</v>
      </c>
      <c r="F30" s="893">
        <v>0</v>
      </c>
      <c r="G30" s="897">
        <v>21216</v>
      </c>
      <c r="H30" s="897">
        <v>15584</v>
      </c>
      <c r="I30" s="897">
        <v>5300</v>
      </c>
      <c r="J30" s="897">
        <v>333</v>
      </c>
      <c r="K30" s="897">
        <v>25235</v>
      </c>
      <c r="L30" s="897">
        <v>20927</v>
      </c>
      <c r="M30" s="897">
        <v>4129</v>
      </c>
      <c r="N30" s="898">
        <v>178</v>
      </c>
      <c r="O30" s="898">
        <v>25101</v>
      </c>
      <c r="P30" s="898">
        <v>22576</v>
      </c>
      <c r="Q30" s="898">
        <v>2417</v>
      </c>
      <c r="R30" s="898">
        <v>108</v>
      </c>
      <c r="S30" s="898">
        <v>23563</v>
      </c>
      <c r="T30" s="898">
        <v>19608</v>
      </c>
      <c r="U30" s="898">
        <v>3850</v>
      </c>
      <c r="V30" s="898">
        <v>104</v>
      </c>
      <c r="W30" s="898">
        <v>21216</v>
      </c>
      <c r="X30" s="898">
        <v>18928</v>
      </c>
      <c r="Y30" s="898">
        <v>1440</v>
      </c>
      <c r="Z30" s="898">
        <v>266</v>
      </c>
      <c r="AA30" s="898">
        <v>22612</v>
      </c>
      <c r="AB30" s="898">
        <v>21386</v>
      </c>
      <c r="AC30" s="898">
        <v>1054</v>
      </c>
      <c r="AD30" s="898">
        <v>172</v>
      </c>
      <c r="AE30" s="898">
        <v>24343</v>
      </c>
      <c r="AF30" s="898">
        <v>23789</v>
      </c>
      <c r="AG30" s="898">
        <v>385</v>
      </c>
      <c r="AH30" s="898">
        <v>168</v>
      </c>
      <c r="AI30" s="898">
        <v>26119</v>
      </c>
      <c r="AJ30" s="898">
        <v>24502</v>
      </c>
      <c r="AK30" s="898">
        <v>1522</v>
      </c>
      <c r="AL30" s="898">
        <v>94</v>
      </c>
      <c r="AM30" s="888">
        <f t="shared" si="22"/>
        <v>21.216000000000001</v>
      </c>
      <c r="AN30" s="888">
        <f t="shared" si="23"/>
        <v>15.584</v>
      </c>
      <c r="AO30" s="888">
        <f t="shared" si="24"/>
        <v>5.3</v>
      </c>
      <c r="AP30" s="888">
        <f t="shared" si="25"/>
        <v>0.33300000000000002</v>
      </c>
      <c r="AQ30" s="888">
        <f t="shared" si="26"/>
        <v>25.234999999999999</v>
      </c>
      <c r="AR30" s="888">
        <f t="shared" si="27"/>
        <v>20.927</v>
      </c>
      <c r="AS30" s="888">
        <f t="shared" si="28"/>
        <v>4.1289999999999996</v>
      </c>
      <c r="AT30" s="888">
        <f t="shared" si="29"/>
        <v>0.17799999999999999</v>
      </c>
      <c r="AU30" s="888">
        <f t="shared" si="30"/>
        <v>25.100999999999999</v>
      </c>
      <c r="AV30" s="888">
        <f t="shared" si="31"/>
        <v>22.576000000000001</v>
      </c>
      <c r="AW30" s="888">
        <f t="shared" si="32"/>
        <v>2.4169999999999998</v>
      </c>
      <c r="AX30" s="888">
        <f t="shared" si="33"/>
        <v>0.108</v>
      </c>
      <c r="AY30" s="888">
        <f t="shared" si="34"/>
        <v>23.562999999999999</v>
      </c>
      <c r="AZ30" s="888">
        <f t="shared" si="35"/>
        <v>19.608000000000001</v>
      </c>
      <c r="BA30" s="888">
        <f t="shared" si="36"/>
        <v>3.85</v>
      </c>
      <c r="BB30" s="888">
        <f t="shared" si="37"/>
        <v>0.104</v>
      </c>
      <c r="BC30" s="888">
        <f t="shared" si="38"/>
        <v>21.216000000000001</v>
      </c>
      <c r="BD30" s="888">
        <f t="shared" si="39"/>
        <v>18.928000000000001</v>
      </c>
      <c r="BE30" s="888">
        <f t="shared" si="40"/>
        <v>1.44</v>
      </c>
      <c r="BF30" s="888">
        <f t="shared" si="41"/>
        <v>0.26600000000000001</v>
      </c>
      <c r="BG30" s="888">
        <f t="shared" si="42"/>
        <v>22.611999999999998</v>
      </c>
      <c r="BH30" s="888">
        <f t="shared" si="43"/>
        <v>21.385999999999999</v>
      </c>
      <c r="BI30" s="888">
        <f t="shared" si="44"/>
        <v>1.054</v>
      </c>
      <c r="BJ30" s="888">
        <f t="shared" si="45"/>
        <v>0.17199999999999999</v>
      </c>
      <c r="BK30" s="888">
        <f t="shared" si="46"/>
        <v>24.343</v>
      </c>
      <c r="BL30" s="888">
        <f t="shared" si="47"/>
        <v>23.789000000000001</v>
      </c>
      <c r="BM30" s="888">
        <f t="shared" si="48"/>
        <v>0.38500000000000001</v>
      </c>
      <c r="BN30" s="888">
        <f t="shared" si="49"/>
        <v>0.16800000000000001</v>
      </c>
      <c r="BO30" s="888">
        <f t="shared" si="50"/>
        <v>26.119</v>
      </c>
      <c r="BP30" s="888">
        <f t="shared" si="51"/>
        <v>24.501999999999999</v>
      </c>
      <c r="BQ30" s="888">
        <f t="shared" si="52"/>
        <v>1.522</v>
      </c>
      <c r="BR30" s="888">
        <f t="shared" si="53"/>
        <v>9.4E-2</v>
      </c>
      <c r="BS30" s="904" t="s">
        <v>134</v>
      </c>
      <c r="BT30" s="904" t="s">
        <v>133</v>
      </c>
      <c r="BU30" s="904" t="s">
        <v>133</v>
      </c>
      <c r="BV30" s="904" t="s">
        <v>133</v>
      </c>
      <c r="BW30" s="904" t="s">
        <v>133</v>
      </c>
    </row>
    <row r="31" spans="1:75" x14ac:dyDescent="0.25">
      <c r="A31" s="890" t="s">
        <v>196</v>
      </c>
      <c r="B31" s="890" t="s">
        <v>195</v>
      </c>
      <c r="C31" s="891" t="s">
        <v>197</v>
      </c>
      <c r="D31" s="891">
        <v>220</v>
      </c>
      <c r="E31" s="891" t="s">
        <v>73</v>
      </c>
      <c r="F31" s="893">
        <v>0</v>
      </c>
      <c r="G31" s="897">
        <v>59771</v>
      </c>
      <c r="H31" s="899">
        <v>43903</v>
      </c>
      <c r="I31" s="899">
        <v>14930</v>
      </c>
      <c r="J31" s="897">
        <v>938</v>
      </c>
      <c r="K31" s="899">
        <v>71092</v>
      </c>
      <c r="L31" s="899">
        <v>58956</v>
      </c>
      <c r="M31" s="899">
        <v>11634</v>
      </c>
      <c r="N31" s="898">
        <v>503</v>
      </c>
      <c r="O31" s="898">
        <v>70717</v>
      </c>
      <c r="P31" s="898">
        <v>63603</v>
      </c>
      <c r="Q31" s="898">
        <v>6808</v>
      </c>
      <c r="R31" s="898">
        <v>306</v>
      </c>
      <c r="S31" s="898">
        <v>66382</v>
      </c>
      <c r="T31" s="898">
        <v>55242</v>
      </c>
      <c r="U31" s="898">
        <v>10847</v>
      </c>
      <c r="V31" s="898">
        <v>293</v>
      </c>
      <c r="W31" s="898">
        <v>59771</v>
      </c>
      <c r="X31" s="898">
        <v>53325</v>
      </c>
      <c r="Y31" s="898">
        <v>4058</v>
      </c>
      <c r="Z31" s="898">
        <v>751</v>
      </c>
      <c r="AA31" s="898">
        <v>63703</v>
      </c>
      <c r="AB31" s="898">
        <v>60250</v>
      </c>
      <c r="AC31" s="898">
        <v>2969</v>
      </c>
      <c r="AD31" s="898">
        <v>483</v>
      </c>
      <c r="AE31" s="898">
        <v>68580</v>
      </c>
      <c r="AF31" s="898">
        <v>67021</v>
      </c>
      <c r="AG31" s="898">
        <v>1086</v>
      </c>
      <c r="AH31" s="898">
        <v>473</v>
      </c>
      <c r="AI31" s="898">
        <v>73583</v>
      </c>
      <c r="AJ31" s="898">
        <v>69029</v>
      </c>
      <c r="AK31" s="898">
        <v>4288</v>
      </c>
      <c r="AL31" s="898">
        <v>266</v>
      </c>
      <c r="AM31" s="888">
        <f t="shared" si="22"/>
        <v>59771</v>
      </c>
      <c r="AN31" s="888">
        <f t="shared" si="23"/>
        <v>43903</v>
      </c>
      <c r="AO31" s="888">
        <f t="shared" si="24"/>
        <v>14930</v>
      </c>
      <c r="AP31" s="888">
        <f t="shared" si="25"/>
        <v>938</v>
      </c>
      <c r="AQ31" s="888">
        <f t="shared" si="26"/>
        <v>71092</v>
      </c>
      <c r="AR31" s="888">
        <f t="shared" si="27"/>
        <v>58956</v>
      </c>
      <c r="AS31" s="888">
        <f t="shared" si="28"/>
        <v>11634</v>
      </c>
      <c r="AT31" s="888">
        <f t="shared" si="29"/>
        <v>503</v>
      </c>
      <c r="AU31" s="888">
        <f t="shared" si="30"/>
        <v>70717</v>
      </c>
      <c r="AV31" s="888">
        <f t="shared" si="31"/>
        <v>63603</v>
      </c>
      <c r="AW31" s="888">
        <f t="shared" si="32"/>
        <v>6808</v>
      </c>
      <c r="AX31" s="888">
        <f t="shared" si="33"/>
        <v>306</v>
      </c>
      <c r="AY31" s="888">
        <f t="shared" si="34"/>
        <v>66382</v>
      </c>
      <c r="AZ31" s="888">
        <f t="shared" si="35"/>
        <v>55242</v>
      </c>
      <c r="BA31" s="888">
        <f t="shared" si="36"/>
        <v>10847</v>
      </c>
      <c r="BB31" s="888">
        <f t="shared" si="37"/>
        <v>293</v>
      </c>
      <c r="BC31" s="888">
        <f t="shared" si="38"/>
        <v>59771</v>
      </c>
      <c r="BD31" s="888">
        <f t="shared" si="39"/>
        <v>53325</v>
      </c>
      <c r="BE31" s="888">
        <f t="shared" si="40"/>
        <v>4058</v>
      </c>
      <c r="BF31" s="888">
        <f t="shared" si="41"/>
        <v>751</v>
      </c>
      <c r="BG31" s="888">
        <f t="shared" si="42"/>
        <v>63703</v>
      </c>
      <c r="BH31" s="888">
        <f t="shared" si="43"/>
        <v>60250</v>
      </c>
      <c r="BI31" s="888">
        <f t="shared" si="44"/>
        <v>2969</v>
      </c>
      <c r="BJ31" s="888">
        <f t="shared" si="45"/>
        <v>483</v>
      </c>
      <c r="BK31" s="888">
        <f t="shared" si="46"/>
        <v>68580</v>
      </c>
      <c r="BL31" s="888">
        <f t="shared" si="47"/>
        <v>67021</v>
      </c>
      <c r="BM31" s="888">
        <f t="shared" si="48"/>
        <v>1086</v>
      </c>
      <c r="BN31" s="888">
        <f t="shared" si="49"/>
        <v>473</v>
      </c>
      <c r="BO31" s="888">
        <f t="shared" si="50"/>
        <v>73583</v>
      </c>
      <c r="BP31" s="888">
        <f t="shared" si="51"/>
        <v>69029</v>
      </c>
      <c r="BQ31" s="888">
        <f t="shared" si="52"/>
        <v>4288</v>
      </c>
      <c r="BR31" s="888">
        <f t="shared" si="53"/>
        <v>266</v>
      </c>
      <c r="BS31" s="904" t="s">
        <v>133</v>
      </c>
      <c r="BT31" s="904" t="s">
        <v>133</v>
      </c>
      <c r="BU31" s="904" t="s">
        <v>133</v>
      </c>
      <c r="BV31" s="904" t="s">
        <v>133</v>
      </c>
      <c r="BW31" s="904" t="s">
        <v>133</v>
      </c>
    </row>
    <row r="32" spans="1:75" x14ac:dyDescent="0.25">
      <c r="A32" s="884" t="s">
        <v>198</v>
      </c>
      <c r="B32" s="884" t="s">
        <v>199</v>
      </c>
      <c r="C32" s="886" t="s">
        <v>200</v>
      </c>
      <c r="D32" s="886">
        <v>53.41</v>
      </c>
      <c r="E32" s="886" t="s">
        <v>73</v>
      </c>
      <c r="F32" s="887">
        <v>78154</v>
      </c>
      <c r="G32" s="897">
        <v>31457</v>
      </c>
      <c r="H32" s="897">
        <v>23106</v>
      </c>
      <c r="I32" s="897">
        <v>7858</v>
      </c>
      <c r="J32" s="897">
        <v>494</v>
      </c>
      <c r="K32" s="897">
        <v>37416</v>
      </c>
      <c r="L32" s="897">
        <v>31028</v>
      </c>
      <c r="M32" s="897">
        <v>6123</v>
      </c>
      <c r="N32" s="898">
        <v>265</v>
      </c>
      <c r="O32" s="898">
        <v>37218</v>
      </c>
      <c r="P32" s="898">
        <v>33474</v>
      </c>
      <c r="Q32" s="898">
        <v>3583</v>
      </c>
      <c r="R32" s="898">
        <v>161</v>
      </c>
      <c r="S32" s="898">
        <v>34937</v>
      </c>
      <c r="T32" s="898">
        <v>29074</v>
      </c>
      <c r="U32" s="898">
        <v>5709</v>
      </c>
      <c r="V32" s="898">
        <v>154</v>
      </c>
      <c r="W32" s="898">
        <v>31457</v>
      </c>
      <c r="X32" s="898">
        <v>28065</v>
      </c>
      <c r="Y32" s="898">
        <v>2136</v>
      </c>
      <c r="Z32" s="898">
        <v>395</v>
      </c>
      <c r="AA32" s="898">
        <v>33527</v>
      </c>
      <c r="AB32" s="898">
        <v>31710</v>
      </c>
      <c r="AC32" s="898">
        <v>1563</v>
      </c>
      <c r="AD32" s="898">
        <v>254</v>
      </c>
      <c r="AE32" s="898">
        <v>36093</v>
      </c>
      <c r="AF32" s="898">
        <v>35273</v>
      </c>
      <c r="AG32" s="898">
        <v>571</v>
      </c>
      <c r="AH32" s="898">
        <v>249</v>
      </c>
      <c r="AI32" s="898">
        <v>38727</v>
      </c>
      <c r="AJ32" s="898">
        <v>36330</v>
      </c>
      <c r="AK32" s="898">
        <v>2257</v>
      </c>
      <c r="AL32" s="898">
        <v>140</v>
      </c>
      <c r="AM32" s="888">
        <f t="shared" si="22"/>
        <v>31457</v>
      </c>
      <c r="AN32" s="888">
        <f t="shared" si="23"/>
        <v>23106</v>
      </c>
      <c r="AO32" s="888">
        <f t="shared" si="24"/>
        <v>7858</v>
      </c>
      <c r="AP32" s="888">
        <f t="shared" si="25"/>
        <v>494</v>
      </c>
      <c r="AQ32" s="888">
        <f t="shared" si="26"/>
        <v>37416</v>
      </c>
      <c r="AR32" s="888">
        <f t="shared" si="27"/>
        <v>31028</v>
      </c>
      <c r="AS32" s="888">
        <f t="shared" si="28"/>
        <v>6123</v>
      </c>
      <c r="AT32" s="888">
        <f t="shared" si="29"/>
        <v>265</v>
      </c>
      <c r="AU32" s="888">
        <f t="shared" si="30"/>
        <v>37218</v>
      </c>
      <c r="AV32" s="888">
        <f t="shared" si="31"/>
        <v>33474</v>
      </c>
      <c r="AW32" s="888">
        <f t="shared" si="32"/>
        <v>3583</v>
      </c>
      <c r="AX32" s="888">
        <f t="shared" si="33"/>
        <v>161</v>
      </c>
      <c r="AY32" s="888">
        <f t="shared" si="34"/>
        <v>34937</v>
      </c>
      <c r="AZ32" s="888">
        <f t="shared" si="35"/>
        <v>29074</v>
      </c>
      <c r="BA32" s="888">
        <f t="shared" si="36"/>
        <v>5709</v>
      </c>
      <c r="BB32" s="888">
        <f t="shared" si="37"/>
        <v>154</v>
      </c>
      <c r="BC32" s="888">
        <f t="shared" si="38"/>
        <v>31457</v>
      </c>
      <c r="BD32" s="888">
        <f t="shared" si="39"/>
        <v>28065</v>
      </c>
      <c r="BE32" s="888">
        <f t="shared" si="40"/>
        <v>2136</v>
      </c>
      <c r="BF32" s="888">
        <f t="shared" si="41"/>
        <v>395</v>
      </c>
      <c r="BG32" s="888">
        <f t="shared" si="42"/>
        <v>33527</v>
      </c>
      <c r="BH32" s="888">
        <f t="shared" si="43"/>
        <v>31710</v>
      </c>
      <c r="BI32" s="888">
        <f t="shared" si="44"/>
        <v>1563</v>
      </c>
      <c r="BJ32" s="888">
        <f t="shared" si="45"/>
        <v>254</v>
      </c>
      <c r="BK32" s="888">
        <f t="shared" si="46"/>
        <v>36093</v>
      </c>
      <c r="BL32" s="888">
        <f t="shared" si="47"/>
        <v>35273</v>
      </c>
      <c r="BM32" s="888">
        <f t="shared" si="48"/>
        <v>571</v>
      </c>
      <c r="BN32" s="888">
        <f t="shared" si="49"/>
        <v>249</v>
      </c>
      <c r="BO32" s="888">
        <f t="shared" si="50"/>
        <v>38727</v>
      </c>
      <c r="BP32" s="888">
        <f t="shared" si="51"/>
        <v>36330</v>
      </c>
      <c r="BQ32" s="888">
        <f t="shared" si="52"/>
        <v>2257</v>
      </c>
      <c r="BR32" s="888">
        <f t="shared" si="53"/>
        <v>140</v>
      </c>
    </row>
    <row r="33" spans="1:75" x14ac:dyDescent="0.25">
      <c r="A33" s="884" t="s">
        <v>201</v>
      </c>
      <c r="B33" s="884" t="s">
        <v>202</v>
      </c>
      <c r="C33" s="886" t="s">
        <v>203</v>
      </c>
      <c r="D33" s="886">
        <v>30.32</v>
      </c>
      <c r="E33" s="886" t="s">
        <v>73</v>
      </c>
      <c r="F33" s="887">
        <v>32020</v>
      </c>
      <c r="G33" s="897">
        <v>17858</v>
      </c>
      <c r="H33" s="897">
        <v>13117</v>
      </c>
      <c r="I33" s="897">
        <v>4461</v>
      </c>
      <c r="J33" s="897">
        <v>280</v>
      </c>
      <c r="K33" s="897">
        <v>21240</v>
      </c>
      <c r="L33" s="897">
        <v>17614</v>
      </c>
      <c r="M33" s="897">
        <v>3476</v>
      </c>
      <c r="N33" s="898">
        <v>150</v>
      </c>
      <c r="O33" s="898">
        <v>21128</v>
      </c>
      <c r="P33" s="898">
        <v>19003</v>
      </c>
      <c r="Q33" s="898">
        <v>2034</v>
      </c>
      <c r="R33" s="898">
        <v>91</v>
      </c>
      <c r="S33" s="898">
        <v>19833</v>
      </c>
      <c r="T33" s="898">
        <v>16505</v>
      </c>
      <c r="U33" s="898">
        <v>3241</v>
      </c>
      <c r="V33" s="898">
        <v>88</v>
      </c>
      <c r="W33" s="898">
        <v>17858</v>
      </c>
      <c r="X33" s="898">
        <v>15932</v>
      </c>
      <c r="Y33" s="898">
        <v>1212</v>
      </c>
      <c r="Z33" s="898">
        <v>224</v>
      </c>
      <c r="AA33" s="898">
        <v>19032</v>
      </c>
      <c r="AB33" s="898">
        <v>18001</v>
      </c>
      <c r="AC33" s="898">
        <v>887</v>
      </c>
      <c r="AD33" s="898">
        <v>144</v>
      </c>
      <c r="AE33" s="898">
        <v>20490</v>
      </c>
      <c r="AF33" s="898">
        <v>20024</v>
      </c>
      <c r="AG33" s="898">
        <v>324</v>
      </c>
      <c r="AH33" s="898">
        <v>141</v>
      </c>
      <c r="AI33" s="898">
        <v>21985</v>
      </c>
      <c r="AJ33" s="898">
        <v>20624</v>
      </c>
      <c r="AK33" s="898">
        <v>1281</v>
      </c>
      <c r="AL33" s="898">
        <v>79</v>
      </c>
      <c r="AM33" s="888">
        <f t="shared" si="22"/>
        <v>17858</v>
      </c>
      <c r="AN33" s="888">
        <f t="shared" si="23"/>
        <v>13117</v>
      </c>
      <c r="AO33" s="888">
        <f t="shared" si="24"/>
        <v>4461</v>
      </c>
      <c r="AP33" s="888">
        <f t="shared" si="25"/>
        <v>280</v>
      </c>
      <c r="AQ33" s="888">
        <f t="shared" si="26"/>
        <v>21240</v>
      </c>
      <c r="AR33" s="888">
        <f t="shared" si="27"/>
        <v>17614</v>
      </c>
      <c r="AS33" s="888">
        <f t="shared" si="28"/>
        <v>3476</v>
      </c>
      <c r="AT33" s="888">
        <f t="shared" si="29"/>
        <v>150</v>
      </c>
      <c r="AU33" s="888">
        <f t="shared" si="30"/>
        <v>21128</v>
      </c>
      <c r="AV33" s="888">
        <f t="shared" si="31"/>
        <v>19003</v>
      </c>
      <c r="AW33" s="888">
        <f t="shared" si="32"/>
        <v>2034</v>
      </c>
      <c r="AX33" s="888">
        <f t="shared" si="33"/>
        <v>91</v>
      </c>
      <c r="AY33" s="888">
        <f t="shared" si="34"/>
        <v>19833</v>
      </c>
      <c r="AZ33" s="888">
        <f t="shared" si="35"/>
        <v>16505</v>
      </c>
      <c r="BA33" s="888">
        <f t="shared" si="36"/>
        <v>3241</v>
      </c>
      <c r="BB33" s="888">
        <f t="shared" si="37"/>
        <v>88</v>
      </c>
      <c r="BC33" s="888">
        <f t="shared" si="38"/>
        <v>17858</v>
      </c>
      <c r="BD33" s="888">
        <f t="shared" si="39"/>
        <v>15932</v>
      </c>
      <c r="BE33" s="888">
        <f t="shared" si="40"/>
        <v>1212</v>
      </c>
      <c r="BF33" s="888">
        <f t="shared" si="41"/>
        <v>224</v>
      </c>
      <c r="BG33" s="888">
        <f t="shared" si="42"/>
        <v>19032</v>
      </c>
      <c r="BH33" s="888">
        <f t="shared" si="43"/>
        <v>18001</v>
      </c>
      <c r="BI33" s="888">
        <f t="shared" si="44"/>
        <v>887</v>
      </c>
      <c r="BJ33" s="888">
        <f t="shared" si="45"/>
        <v>144</v>
      </c>
      <c r="BK33" s="888">
        <f t="shared" si="46"/>
        <v>20490</v>
      </c>
      <c r="BL33" s="888">
        <f t="shared" si="47"/>
        <v>20024</v>
      </c>
      <c r="BM33" s="888">
        <f t="shared" si="48"/>
        <v>324</v>
      </c>
      <c r="BN33" s="888">
        <f t="shared" si="49"/>
        <v>141</v>
      </c>
      <c r="BO33" s="888">
        <f t="shared" si="50"/>
        <v>21985</v>
      </c>
      <c r="BP33" s="888">
        <f t="shared" si="51"/>
        <v>20624</v>
      </c>
      <c r="BQ33" s="888">
        <f t="shared" si="52"/>
        <v>1281</v>
      </c>
      <c r="BR33" s="888">
        <f t="shared" si="53"/>
        <v>79</v>
      </c>
    </row>
    <row r="34" spans="1:75" x14ac:dyDescent="0.25">
      <c r="A34" s="884" t="s">
        <v>204</v>
      </c>
      <c r="B34" s="884" t="s">
        <v>205</v>
      </c>
      <c r="C34" s="886" t="s">
        <v>203</v>
      </c>
      <c r="D34" s="886" t="s">
        <v>133</v>
      </c>
      <c r="E34" s="886" t="s">
        <v>73</v>
      </c>
      <c r="F34" s="887">
        <v>39922</v>
      </c>
      <c r="G34" s="897">
        <v>22794</v>
      </c>
      <c r="H34" s="897">
        <v>16742</v>
      </c>
      <c r="I34" s="897">
        <v>5694</v>
      </c>
      <c r="J34" s="897">
        <v>358</v>
      </c>
      <c r="K34" s="897">
        <v>27111</v>
      </c>
      <c r="L34" s="897">
        <v>22483</v>
      </c>
      <c r="M34" s="897">
        <v>4436</v>
      </c>
      <c r="N34" s="898">
        <v>192</v>
      </c>
      <c r="O34" s="898">
        <v>26968</v>
      </c>
      <c r="P34" s="898">
        <v>24255</v>
      </c>
      <c r="Q34" s="898">
        <v>2596</v>
      </c>
      <c r="R34" s="898">
        <v>117</v>
      </c>
      <c r="S34" s="898">
        <v>25315</v>
      </c>
      <c r="T34" s="898">
        <v>21066</v>
      </c>
      <c r="U34" s="898">
        <v>4136</v>
      </c>
      <c r="V34" s="898">
        <v>112</v>
      </c>
      <c r="W34" s="898">
        <v>22794</v>
      </c>
      <c r="X34" s="898">
        <v>20335</v>
      </c>
      <c r="Y34" s="898">
        <v>1548</v>
      </c>
      <c r="Z34" s="898">
        <v>286</v>
      </c>
      <c r="AA34" s="898">
        <v>24293</v>
      </c>
      <c r="AB34" s="898">
        <v>22976</v>
      </c>
      <c r="AC34" s="898">
        <v>1132</v>
      </c>
      <c r="AD34" s="898">
        <v>184</v>
      </c>
      <c r="AE34" s="898">
        <v>26153</v>
      </c>
      <c r="AF34" s="898">
        <v>25558</v>
      </c>
      <c r="AG34" s="898">
        <v>414</v>
      </c>
      <c r="AH34" s="898">
        <v>180</v>
      </c>
      <c r="AI34" s="898">
        <v>28061</v>
      </c>
      <c r="AJ34" s="898">
        <v>26324</v>
      </c>
      <c r="AK34" s="898">
        <v>1635</v>
      </c>
      <c r="AL34" s="898">
        <v>101</v>
      </c>
      <c r="AM34" s="888">
        <f t="shared" si="22"/>
        <v>22794</v>
      </c>
      <c r="AN34" s="888">
        <f t="shared" si="23"/>
        <v>16742</v>
      </c>
      <c r="AO34" s="888">
        <f t="shared" si="24"/>
        <v>5694</v>
      </c>
      <c r="AP34" s="888">
        <f t="shared" si="25"/>
        <v>358</v>
      </c>
      <c r="AQ34" s="888">
        <f t="shared" si="26"/>
        <v>27111</v>
      </c>
      <c r="AR34" s="888">
        <f t="shared" si="27"/>
        <v>22483</v>
      </c>
      <c r="AS34" s="888">
        <f t="shared" si="28"/>
        <v>4436</v>
      </c>
      <c r="AT34" s="888">
        <f t="shared" si="29"/>
        <v>192</v>
      </c>
      <c r="AU34" s="888">
        <f t="shared" si="30"/>
        <v>26968</v>
      </c>
      <c r="AV34" s="888">
        <f t="shared" si="31"/>
        <v>24255</v>
      </c>
      <c r="AW34" s="888">
        <f t="shared" si="32"/>
        <v>2596</v>
      </c>
      <c r="AX34" s="888">
        <f t="shared" si="33"/>
        <v>117</v>
      </c>
      <c r="AY34" s="888">
        <f t="shared" si="34"/>
        <v>25315</v>
      </c>
      <c r="AZ34" s="888">
        <f t="shared" si="35"/>
        <v>21066</v>
      </c>
      <c r="BA34" s="888">
        <f t="shared" si="36"/>
        <v>4136</v>
      </c>
      <c r="BB34" s="888">
        <f t="shared" si="37"/>
        <v>112</v>
      </c>
      <c r="BC34" s="888">
        <f t="shared" si="38"/>
        <v>22794</v>
      </c>
      <c r="BD34" s="888">
        <f t="shared" si="39"/>
        <v>20335</v>
      </c>
      <c r="BE34" s="888">
        <f t="shared" si="40"/>
        <v>1548</v>
      </c>
      <c r="BF34" s="888">
        <f t="shared" si="41"/>
        <v>286</v>
      </c>
      <c r="BG34" s="888">
        <f t="shared" si="42"/>
        <v>24293</v>
      </c>
      <c r="BH34" s="888">
        <f t="shared" si="43"/>
        <v>22976</v>
      </c>
      <c r="BI34" s="888">
        <f t="shared" si="44"/>
        <v>1132</v>
      </c>
      <c r="BJ34" s="888">
        <f t="shared" si="45"/>
        <v>184</v>
      </c>
      <c r="BK34" s="888">
        <f t="shared" si="46"/>
        <v>26153</v>
      </c>
      <c r="BL34" s="888">
        <f t="shared" si="47"/>
        <v>25558</v>
      </c>
      <c r="BM34" s="888">
        <f t="shared" si="48"/>
        <v>414</v>
      </c>
      <c r="BN34" s="888">
        <f t="shared" si="49"/>
        <v>180</v>
      </c>
      <c r="BO34" s="888">
        <f t="shared" si="50"/>
        <v>28061</v>
      </c>
      <c r="BP34" s="888">
        <f t="shared" si="51"/>
        <v>26324</v>
      </c>
      <c r="BQ34" s="888">
        <f t="shared" si="52"/>
        <v>1635</v>
      </c>
      <c r="BR34" s="888">
        <f t="shared" si="53"/>
        <v>101</v>
      </c>
    </row>
    <row r="35" spans="1:75" x14ac:dyDescent="0.25">
      <c r="A35" s="884" t="s">
        <v>206</v>
      </c>
      <c r="B35" s="884" t="s">
        <v>207</v>
      </c>
      <c r="C35" s="886" t="s">
        <v>112</v>
      </c>
      <c r="D35" s="886" t="s">
        <v>133</v>
      </c>
      <c r="E35" s="886" t="s">
        <v>73</v>
      </c>
      <c r="F35" s="887">
        <v>4148</v>
      </c>
      <c r="G35" s="897">
        <v>2226</v>
      </c>
      <c r="H35" s="897">
        <v>1635</v>
      </c>
      <c r="I35" s="897">
        <v>556</v>
      </c>
      <c r="J35" s="897">
        <v>35</v>
      </c>
      <c r="K35" s="897">
        <v>2647</v>
      </c>
      <c r="L35" s="897">
        <v>2195</v>
      </c>
      <c r="M35" s="897">
        <v>433</v>
      </c>
      <c r="N35" s="898">
        <v>19</v>
      </c>
      <c r="O35" s="898">
        <v>2633</v>
      </c>
      <c r="P35" s="898">
        <v>2368</v>
      </c>
      <c r="Q35" s="898">
        <v>254</v>
      </c>
      <c r="R35" s="898">
        <v>11</v>
      </c>
      <c r="S35" s="898">
        <v>2472</v>
      </c>
      <c r="T35" s="898">
        <v>2057</v>
      </c>
      <c r="U35" s="898">
        <v>404</v>
      </c>
      <c r="V35" s="898">
        <v>11</v>
      </c>
      <c r="W35" s="898">
        <v>2226</v>
      </c>
      <c r="X35" s="898">
        <v>1986</v>
      </c>
      <c r="Y35" s="898">
        <v>151</v>
      </c>
      <c r="Z35" s="898">
        <v>28</v>
      </c>
      <c r="AA35" s="898">
        <v>2372</v>
      </c>
      <c r="AB35" s="898">
        <v>2243</v>
      </c>
      <c r="AC35" s="898">
        <v>111</v>
      </c>
      <c r="AD35" s="898">
        <v>18</v>
      </c>
      <c r="AE35" s="898">
        <v>2554</v>
      </c>
      <c r="AF35" s="898">
        <v>2496</v>
      </c>
      <c r="AG35" s="898">
        <v>40</v>
      </c>
      <c r="AH35" s="898">
        <v>18</v>
      </c>
      <c r="AI35" s="898">
        <v>2740</v>
      </c>
      <c r="AJ35" s="898">
        <v>2570</v>
      </c>
      <c r="AK35" s="898">
        <v>160</v>
      </c>
      <c r="AL35" s="898">
        <v>10</v>
      </c>
      <c r="AM35" s="888">
        <f t="shared" si="22"/>
        <v>2.226</v>
      </c>
      <c r="AN35" s="888">
        <f t="shared" si="23"/>
        <v>1.635</v>
      </c>
      <c r="AO35" s="888">
        <f t="shared" si="24"/>
        <v>0.55600000000000005</v>
      </c>
      <c r="AP35" s="888">
        <f t="shared" si="25"/>
        <v>3.5000000000000003E-2</v>
      </c>
      <c r="AQ35" s="888">
        <f t="shared" si="26"/>
        <v>2.6469999999999998</v>
      </c>
      <c r="AR35" s="888">
        <f t="shared" si="27"/>
        <v>2.1949999999999998</v>
      </c>
      <c r="AS35" s="888">
        <f t="shared" si="28"/>
        <v>0.433</v>
      </c>
      <c r="AT35" s="888">
        <f t="shared" si="29"/>
        <v>1.9E-2</v>
      </c>
      <c r="AU35" s="888">
        <f t="shared" si="30"/>
        <v>2.633</v>
      </c>
      <c r="AV35" s="888">
        <f t="shared" si="31"/>
        <v>2.3679999999999999</v>
      </c>
      <c r="AW35" s="888">
        <f t="shared" si="32"/>
        <v>0.254</v>
      </c>
      <c r="AX35" s="888">
        <f t="shared" si="33"/>
        <v>1.0999999999999999E-2</v>
      </c>
      <c r="AY35" s="888">
        <f t="shared" si="34"/>
        <v>2.472</v>
      </c>
      <c r="AZ35" s="888">
        <f t="shared" si="35"/>
        <v>2.0569999999999999</v>
      </c>
      <c r="BA35" s="888">
        <f t="shared" si="36"/>
        <v>0.40400000000000003</v>
      </c>
      <c r="BB35" s="888">
        <f t="shared" si="37"/>
        <v>1.0999999999999999E-2</v>
      </c>
      <c r="BC35" s="888">
        <f t="shared" si="38"/>
        <v>2.226</v>
      </c>
      <c r="BD35" s="888">
        <f t="shared" si="39"/>
        <v>1.986</v>
      </c>
      <c r="BE35" s="888">
        <f t="shared" si="40"/>
        <v>0.151</v>
      </c>
      <c r="BF35" s="888">
        <f t="shared" si="41"/>
        <v>2.8000000000000001E-2</v>
      </c>
      <c r="BG35" s="888">
        <f t="shared" si="42"/>
        <v>2.3719999999999999</v>
      </c>
      <c r="BH35" s="888">
        <f t="shared" si="43"/>
        <v>2.2429999999999999</v>
      </c>
      <c r="BI35" s="888">
        <f t="shared" si="44"/>
        <v>0.111</v>
      </c>
      <c r="BJ35" s="888">
        <f t="shared" si="45"/>
        <v>1.7999999999999999E-2</v>
      </c>
      <c r="BK35" s="888">
        <f t="shared" si="46"/>
        <v>2.5539999999999998</v>
      </c>
      <c r="BL35" s="888">
        <f t="shared" si="47"/>
        <v>2.496</v>
      </c>
      <c r="BM35" s="888">
        <f t="shared" si="48"/>
        <v>0.04</v>
      </c>
      <c r="BN35" s="888">
        <f t="shared" si="49"/>
        <v>1.7999999999999999E-2</v>
      </c>
      <c r="BO35" s="888">
        <f t="shared" si="50"/>
        <v>2.74</v>
      </c>
      <c r="BP35" s="888">
        <f t="shared" si="51"/>
        <v>2.57</v>
      </c>
      <c r="BQ35" s="888">
        <f t="shared" si="52"/>
        <v>0.16</v>
      </c>
      <c r="BR35" s="888">
        <f t="shared" si="53"/>
        <v>0.01</v>
      </c>
      <c r="BS35" s="904" t="s">
        <v>134</v>
      </c>
    </row>
    <row r="36" spans="1:75" x14ac:dyDescent="0.25">
      <c r="A36" s="890" t="s">
        <v>208</v>
      </c>
      <c r="B36" s="890" t="s">
        <v>209</v>
      </c>
      <c r="C36" s="891" t="s">
        <v>112</v>
      </c>
      <c r="D36" s="891">
        <v>28.82</v>
      </c>
      <c r="E36" s="891" t="s">
        <v>73</v>
      </c>
      <c r="F36" s="893">
        <v>0</v>
      </c>
      <c r="G36" s="897">
        <v>16974</v>
      </c>
      <c r="H36" s="897">
        <v>12468</v>
      </c>
      <c r="I36" s="897">
        <v>4240</v>
      </c>
      <c r="J36" s="897">
        <v>266</v>
      </c>
      <c r="K36" s="897">
        <v>20190</v>
      </c>
      <c r="L36" s="897">
        <v>16743</v>
      </c>
      <c r="M36" s="897">
        <v>3304</v>
      </c>
      <c r="N36" s="898">
        <v>143</v>
      </c>
      <c r="O36" s="898">
        <v>20083</v>
      </c>
      <c r="P36" s="898">
        <v>18063</v>
      </c>
      <c r="Q36" s="898">
        <v>1933</v>
      </c>
      <c r="R36" s="898">
        <v>87</v>
      </c>
      <c r="S36" s="898">
        <v>18852</v>
      </c>
      <c r="T36" s="898">
        <v>15688</v>
      </c>
      <c r="U36" s="898">
        <v>3080</v>
      </c>
      <c r="V36" s="898">
        <v>83</v>
      </c>
      <c r="W36" s="898">
        <v>16974</v>
      </c>
      <c r="X36" s="898">
        <v>15144</v>
      </c>
      <c r="Y36" s="898">
        <v>1152</v>
      </c>
      <c r="Z36" s="898">
        <v>213</v>
      </c>
      <c r="AA36" s="898">
        <v>18091</v>
      </c>
      <c r="AB36" s="898">
        <v>17110</v>
      </c>
      <c r="AC36" s="898">
        <v>843</v>
      </c>
      <c r="AD36" s="898">
        <v>137</v>
      </c>
      <c r="AE36" s="898">
        <v>19476</v>
      </c>
      <c r="AF36" s="898">
        <v>19033</v>
      </c>
      <c r="AG36" s="898">
        <v>308</v>
      </c>
      <c r="AH36" s="898">
        <v>134</v>
      </c>
      <c r="AI36" s="898">
        <v>20897</v>
      </c>
      <c r="AJ36" s="898">
        <v>19604</v>
      </c>
      <c r="AK36" s="898">
        <v>1218</v>
      </c>
      <c r="AL36" s="898">
        <v>75</v>
      </c>
      <c r="AM36" s="888">
        <f t="shared" si="22"/>
        <v>16.974</v>
      </c>
      <c r="AN36" s="888">
        <f t="shared" si="23"/>
        <v>12.468</v>
      </c>
      <c r="AO36" s="888">
        <f t="shared" si="24"/>
        <v>4.24</v>
      </c>
      <c r="AP36" s="888">
        <f t="shared" si="25"/>
        <v>0.26600000000000001</v>
      </c>
      <c r="AQ36" s="888">
        <f t="shared" si="26"/>
        <v>20.190000000000001</v>
      </c>
      <c r="AR36" s="888">
        <f t="shared" si="27"/>
        <v>16.742999999999999</v>
      </c>
      <c r="AS36" s="888">
        <f t="shared" si="28"/>
        <v>3.3039999999999998</v>
      </c>
      <c r="AT36" s="888">
        <f t="shared" si="29"/>
        <v>0.14299999999999999</v>
      </c>
      <c r="AU36" s="888">
        <f t="shared" si="30"/>
        <v>20.082999999999998</v>
      </c>
      <c r="AV36" s="888">
        <f t="shared" si="31"/>
        <v>18.062999999999999</v>
      </c>
      <c r="AW36" s="888">
        <f t="shared" si="32"/>
        <v>1.9330000000000001</v>
      </c>
      <c r="AX36" s="888">
        <f t="shared" si="33"/>
        <v>8.6999999999999994E-2</v>
      </c>
      <c r="AY36" s="888">
        <f t="shared" si="34"/>
        <v>18.852</v>
      </c>
      <c r="AZ36" s="888">
        <f t="shared" si="35"/>
        <v>15.688000000000001</v>
      </c>
      <c r="BA36" s="888">
        <f t="shared" si="36"/>
        <v>3.08</v>
      </c>
      <c r="BB36" s="888">
        <f t="shared" si="37"/>
        <v>8.3000000000000004E-2</v>
      </c>
      <c r="BC36" s="888">
        <f t="shared" si="38"/>
        <v>16.974</v>
      </c>
      <c r="BD36" s="888">
        <f t="shared" si="39"/>
        <v>15.144</v>
      </c>
      <c r="BE36" s="888">
        <f t="shared" si="40"/>
        <v>1.1519999999999999</v>
      </c>
      <c r="BF36" s="888">
        <f t="shared" si="41"/>
        <v>0.21299999999999999</v>
      </c>
      <c r="BG36" s="888">
        <f t="shared" si="42"/>
        <v>18.091000000000001</v>
      </c>
      <c r="BH36" s="888">
        <f t="shared" si="43"/>
        <v>17.11</v>
      </c>
      <c r="BI36" s="888">
        <f t="shared" si="44"/>
        <v>0.84299999999999997</v>
      </c>
      <c r="BJ36" s="888">
        <f t="shared" si="45"/>
        <v>0.13700000000000001</v>
      </c>
      <c r="BK36" s="888">
        <f t="shared" si="46"/>
        <v>19.475999999999999</v>
      </c>
      <c r="BL36" s="888">
        <f t="shared" si="47"/>
        <v>19.033000000000001</v>
      </c>
      <c r="BM36" s="888">
        <f t="shared" si="48"/>
        <v>0.308</v>
      </c>
      <c r="BN36" s="888">
        <f t="shared" si="49"/>
        <v>0.13400000000000001</v>
      </c>
      <c r="BO36" s="888">
        <f t="shared" si="50"/>
        <v>20.896999999999998</v>
      </c>
      <c r="BP36" s="888">
        <f t="shared" si="51"/>
        <v>19.603999999999999</v>
      </c>
      <c r="BQ36" s="888">
        <f t="shared" si="52"/>
        <v>1.218</v>
      </c>
      <c r="BR36" s="888">
        <f t="shared" si="53"/>
        <v>7.4999999999999997E-2</v>
      </c>
      <c r="BS36" s="904" t="s">
        <v>134</v>
      </c>
      <c r="BT36" s="904" t="s">
        <v>133</v>
      </c>
      <c r="BU36" s="904" t="s">
        <v>133</v>
      </c>
      <c r="BV36" s="904" t="s">
        <v>133</v>
      </c>
      <c r="BW36" s="904" t="s">
        <v>133</v>
      </c>
    </row>
    <row r="37" spans="1:75" x14ac:dyDescent="0.25">
      <c r="A37" s="884" t="s">
        <v>210</v>
      </c>
      <c r="B37" s="884" t="s">
        <v>211</v>
      </c>
      <c r="C37" s="886" t="s">
        <v>212</v>
      </c>
      <c r="D37" s="886">
        <v>1.89</v>
      </c>
      <c r="E37" s="886" t="s">
        <v>73</v>
      </c>
      <c r="F37" s="887">
        <v>198</v>
      </c>
      <c r="G37" s="897">
        <v>813</v>
      </c>
      <c r="H37" s="897">
        <v>597</v>
      </c>
      <c r="I37" s="897">
        <v>203</v>
      </c>
      <c r="J37" s="897">
        <v>13</v>
      </c>
      <c r="K37" s="897">
        <v>967</v>
      </c>
      <c r="L37" s="897">
        <v>802</v>
      </c>
      <c r="M37" s="897">
        <v>158</v>
      </c>
      <c r="N37" s="898">
        <v>7</v>
      </c>
      <c r="O37" s="898">
        <v>962</v>
      </c>
      <c r="P37" s="898">
        <v>865</v>
      </c>
      <c r="Q37" s="898">
        <v>93</v>
      </c>
      <c r="R37" s="898">
        <v>4</v>
      </c>
      <c r="S37" s="898">
        <v>903</v>
      </c>
      <c r="T37" s="898">
        <v>751</v>
      </c>
      <c r="U37" s="898">
        <v>148</v>
      </c>
      <c r="V37" s="898">
        <v>4</v>
      </c>
      <c r="W37" s="898">
        <v>813</v>
      </c>
      <c r="X37" s="898">
        <v>725</v>
      </c>
      <c r="Y37" s="898">
        <v>55</v>
      </c>
      <c r="Z37" s="898">
        <v>10</v>
      </c>
      <c r="AA37" s="898">
        <v>866</v>
      </c>
      <c r="AB37" s="898">
        <v>819</v>
      </c>
      <c r="AC37" s="898">
        <v>40</v>
      </c>
      <c r="AD37" s="898">
        <v>7</v>
      </c>
      <c r="AE37" s="898">
        <v>933</v>
      </c>
      <c r="AF37" s="898">
        <v>911</v>
      </c>
      <c r="AG37" s="898">
        <v>15</v>
      </c>
      <c r="AH37" s="898">
        <v>6</v>
      </c>
      <c r="AI37" s="898">
        <v>1001</v>
      </c>
      <c r="AJ37" s="898">
        <v>939</v>
      </c>
      <c r="AK37" s="898">
        <v>58</v>
      </c>
      <c r="AL37" s="898">
        <v>4</v>
      </c>
      <c r="AM37" s="888">
        <f t="shared" si="22"/>
        <v>813</v>
      </c>
      <c r="AN37" s="888">
        <f t="shared" si="23"/>
        <v>597</v>
      </c>
      <c r="AO37" s="888">
        <f t="shared" si="24"/>
        <v>203</v>
      </c>
      <c r="AP37" s="888">
        <f t="shared" si="25"/>
        <v>13</v>
      </c>
      <c r="AQ37" s="888">
        <f t="shared" si="26"/>
        <v>967</v>
      </c>
      <c r="AR37" s="888">
        <f t="shared" si="27"/>
        <v>802</v>
      </c>
      <c r="AS37" s="888">
        <f t="shared" si="28"/>
        <v>158</v>
      </c>
      <c r="AT37" s="888">
        <f t="shared" si="29"/>
        <v>7</v>
      </c>
      <c r="AU37" s="888">
        <f t="shared" si="30"/>
        <v>962</v>
      </c>
      <c r="AV37" s="888">
        <f t="shared" si="31"/>
        <v>865</v>
      </c>
      <c r="AW37" s="888">
        <f t="shared" si="32"/>
        <v>93</v>
      </c>
      <c r="AX37" s="888">
        <f t="shared" si="33"/>
        <v>4</v>
      </c>
      <c r="AY37" s="888">
        <f t="shared" si="34"/>
        <v>903</v>
      </c>
      <c r="AZ37" s="888">
        <f t="shared" si="35"/>
        <v>751</v>
      </c>
      <c r="BA37" s="888">
        <f t="shared" si="36"/>
        <v>148</v>
      </c>
      <c r="BB37" s="888">
        <f t="shared" si="37"/>
        <v>4</v>
      </c>
      <c r="BC37" s="888">
        <f t="shared" si="38"/>
        <v>813</v>
      </c>
      <c r="BD37" s="888">
        <f t="shared" si="39"/>
        <v>725</v>
      </c>
      <c r="BE37" s="888">
        <f t="shared" si="40"/>
        <v>55</v>
      </c>
      <c r="BF37" s="888">
        <f t="shared" si="41"/>
        <v>10</v>
      </c>
      <c r="BG37" s="888">
        <f t="shared" si="42"/>
        <v>866</v>
      </c>
      <c r="BH37" s="888">
        <f t="shared" si="43"/>
        <v>819</v>
      </c>
      <c r="BI37" s="888">
        <f t="shared" si="44"/>
        <v>40</v>
      </c>
      <c r="BJ37" s="888">
        <f t="shared" si="45"/>
        <v>7</v>
      </c>
      <c r="BK37" s="888">
        <f t="shared" si="46"/>
        <v>933</v>
      </c>
      <c r="BL37" s="888">
        <f t="shared" si="47"/>
        <v>911</v>
      </c>
      <c r="BM37" s="888">
        <f t="shared" si="48"/>
        <v>15</v>
      </c>
      <c r="BN37" s="888">
        <f t="shared" si="49"/>
        <v>6</v>
      </c>
      <c r="BO37" s="888">
        <f t="shared" si="50"/>
        <v>1001</v>
      </c>
      <c r="BP37" s="888">
        <f t="shared" si="51"/>
        <v>939</v>
      </c>
      <c r="BQ37" s="888">
        <f t="shared" si="52"/>
        <v>58</v>
      </c>
      <c r="BR37" s="888">
        <f t="shared" si="53"/>
        <v>4</v>
      </c>
    </row>
    <row r="38" spans="1:75" x14ac:dyDescent="0.25">
      <c r="A38" s="884" t="s">
        <v>213</v>
      </c>
      <c r="B38" s="884" t="s">
        <v>214</v>
      </c>
      <c r="C38" s="886" t="s">
        <v>212</v>
      </c>
      <c r="D38" s="886">
        <v>2.0299999999999998</v>
      </c>
      <c r="E38" s="886" t="s">
        <v>73</v>
      </c>
      <c r="F38" s="887">
        <v>1120</v>
      </c>
      <c r="G38" s="897">
        <v>873</v>
      </c>
      <c r="H38" s="897">
        <v>641</v>
      </c>
      <c r="I38" s="897">
        <v>218</v>
      </c>
      <c r="J38" s="897">
        <v>14</v>
      </c>
      <c r="K38" s="897">
        <v>1038</v>
      </c>
      <c r="L38" s="897">
        <v>861</v>
      </c>
      <c r="M38" s="897">
        <v>170</v>
      </c>
      <c r="N38" s="898">
        <v>7</v>
      </c>
      <c r="O38" s="898">
        <v>1033</v>
      </c>
      <c r="P38" s="898">
        <v>929</v>
      </c>
      <c r="Q38" s="898">
        <v>99</v>
      </c>
      <c r="R38" s="898">
        <v>4</v>
      </c>
      <c r="S38" s="898">
        <v>970</v>
      </c>
      <c r="T38" s="898">
        <v>807</v>
      </c>
      <c r="U38" s="898">
        <v>158</v>
      </c>
      <c r="V38" s="898">
        <v>4</v>
      </c>
      <c r="W38" s="898">
        <v>873</v>
      </c>
      <c r="X38" s="898">
        <v>779</v>
      </c>
      <c r="Y38" s="898">
        <v>59</v>
      </c>
      <c r="Z38" s="898">
        <v>11</v>
      </c>
      <c r="AA38" s="898">
        <v>930</v>
      </c>
      <c r="AB38" s="898">
        <v>880</v>
      </c>
      <c r="AC38" s="898">
        <v>43</v>
      </c>
      <c r="AD38" s="898">
        <v>7</v>
      </c>
      <c r="AE38" s="898">
        <v>1002</v>
      </c>
      <c r="AF38" s="898">
        <v>979</v>
      </c>
      <c r="AG38" s="898">
        <v>16</v>
      </c>
      <c r="AH38" s="898">
        <v>7</v>
      </c>
      <c r="AI38" s="898">
        <v>1075</v>
      </c>
      <c r="AJ38" s="898">
        <v>1008</v>
      </c>
      <c r="AK38" s="898">
        <v>63</v>
      </c>
      <c r="AL38" s="898">
        <v>4</v>
      </c>
      <c r="AM38" s="888">
        <f t="shared" si="22"/>
        <v>873</v>
      </c>
      <c r="AN38" s="888">
        <f t="shared" si="23"/>
        <v>641</v>
      </c>
      <c r="AO38" s="888">
        <f t="shared" si="24"/>
        <v>218</v>
      </c>
      <c r="AP38" s="888">
        <f t="shared" si="25"/>
        <v>14</v>
      </c>
      <c r="AQ38" s="888">
        <f t="shared" si="26"/>
        <v>1038</v>
      </c>
      <c r="AR38" s="888">
        <f t="shared" si="27"/>
        <v>861</v>
      </c>
      <c r="AS38" s="888">
        <f t="shared" si="28"/>
        <v>170</v>
      </c>
      <c r="AT38" s="888">
        <f t="shared" si="29"/>
        <v>7</v>
      </c>
      <c r="AU38" s="888">
        <f t="shared" si="30"/>
        <v>1033</v>
      </c>
      <c r="AV38" s="888">
        <f t="shared" si="31"/>
        <v>929</v>
      </c>
      <c r="AW38" s="888">
        <f t="shared" si="32"/>
        <v>99</v>
      </c>
      <c r="AX38" s="888">
        <f t="shared" si="33"/>
        <v>4</v>
      </c>
      <c r="AY38" s="888">
        <f t="shared" si="34"/>
        <v>970</v>
      </c>
      <c r="AZ38" s="888">
        <f t="shared" si="35"/>
        <v>807</v>
      </c>
      <c r="BA38" s="888">
        <f t="shared" si="36"/>
        <v>158</v>
      </c>
      <c r="BB38" s="888">
        <f t="shared" si="37"/>
        <v>4</v>
      </c>
      <c r="BC38" s="888">
        <f t="shared" si="38"/>
        <v>873</v>
      </c>
      <c r="BD38" s="888">
        <f t="shared" si="39"/>
        <v>779</v>
      </c>
      <c r="BE38" s="888">
        <f t="shared" si="40"/>
        <v>59</v>
      </c>
      <c r="BF38" s="888">
        <f t="shared" si="41"/>
        <v>11</v>
      </c>
      <c r="BG38" s="888">
        <f t="shared" si="42"/>
        <v>930</v>
      </c>
      <c r="BH38" s="888">
        <f t="shared" si="43"/>
        <v>880</v>
      </c>
      <c r="BI38" s="888">
        <f t="shared" si="44"/>
        <v>43</v>
      </c>
      <c r="BJ38" s="888">
        <f t="shared" si="45"/>
        <v>7</v>
      </c>
      <c r="BK38" s="888">
        <f t="shared" si="46"/>
        <v>1002</v>
      </c>
      <c r="BL38" s="888">
        <f t="shared" si="47"/>
        <v>979</v>
      </c>
      <c r="BM38" s="888">
        <f t="shared" si="48"/>
        <v>16</v>
      </c>
      <c r="BN38" s="888">
        <f t="shared" si="49"/>
        <v>7</v>
      </c>
      <c r="BO38" s="888">
        <f t="shared" si="50"/>
        <v>1075</v>
      </c>
      <c r="BP38" s="888">
        <f t="shared" si="51"/>
        <v>1008</v>
      </c>
      <c r="BQ38" s="888">
        <f t="shared" si="52"/>
        <v>63</v>
      </c>
      <c r="BR38" s="888">
        <f t="shared" si="53"/>
        <v>4</v>
      </c>
    </row>
    <row r="39" spans="1:75" x14ac:dyDescent="0.25">
      <c r="A39" s="890" t="s">
        <v>215</v>
      </c>
      <c r="B39" s="890" t="s">
        <v>216</v>
      </c>
      <c r="C39" s="891" t="s">
        <v>212</v>
      </c>
      <c r="D39" s="891">
        <v>4.1100000000000003</v>
      </c>
      <c r="E39" s="891" t="s">
        <v>73</v>
      </c>
      <c r="F39" s="893">
        <v>0</v>
      </c>
      <c r="G39" s="897">
        <v>1556</v>
      </c>
      <c r="H39" s="897">
        <v>1143</v>
      </c>
      <c r="I39" s="897">
        <v>389</v>
      </c>
      <c r="J39" s="897">
        <v>24</v>
      </c>
      <c r="K39" s="897">
        <v>1851</v>
      </c>
      <c r="L39" s="897">
        <v>1535</v>
      </c>
      <c r="M39" s="897">
        <v>303</v>
      </c>
      <c r="N39" s="898">
        <v>13</v>
      </c>
      <c r="O39" s="898">
        <v>1842</v>
      </c>
      <c r="P39" s="898">
        <v>1656</v>
      </c>
      <c r="Q39" s="898">
        <v>177</v>
      </c>
      <c r="R39" s="898">
        <v>8</v>
      </c>
      <c r="S39" s="898">
        <v>1729</v>
      </c>
      <c r="T39" s="898">
        <v>1439</v>
      </c>
      <c r="U39" s="898">
        <v>282</v>
      </c>
      <c r="V39" s="898">
        <v>8</v>
      </c>
      <c r="W39" s="898">
        <v>1556</v>
      </c>
      <c r="X39" s="898">
        <v>1389</v>
      </c>
      <c r="Y39" s="898">
        <v>106</v>
      </c>
      <c r="Z39" s="898">
        <v>20</v>
      </c>
      <c r="AA39" s="898">
        <v>1659</v>
      </c>
      <c r="AB39" s="898">
        <v>1569</v>
      </c>
      <c r="AC39" s="898">
        <v>77</v>
      </c>
      <c r="AD39" s="898">
        <v>13</v>
      </c>
      <c r="AE39" s="898">
        <v>1786</v>
      </c>
      <c r="AF39" s="898">
        <v>1745</v>
      </c>
      <c r="AG39" s="898">
        <v>28</v>
      </c>
      <c r="AH39" s="898">
        <v>12</v>
      </c>
      <c r="AI39" s="898">
        <v>1916</v>
      </c>
      <c r="AJ39" s="898">
        <v>1798</v>
      </c>
      <c r="AK39" s="898">
        <v>112</v>
      </c>
      <c r="AL39" s="898">
        <v>7</v>
      </c>
      <c r="AM39" s="888">
        <f t="shared" si="22"/>
        <v>1556</v>
      </c>
      <c r="AN39" s="888">
        <f t="shared" si="23"/>
        <v>1143</v>
      </c>
      <c r="AO39" s="888">
        <f t="shared" si="24"/>
        <v>389</v>
      </c>
      <c r="AP39" s="888">
        <f t="shared" si="25"/>
        <v>24</v>
      </c>
      <c r="AQ39" s="888">
        <f t="shared" si="26"/>
        <v>1851</v>
      </c>
      <c r="AR39" s="888">
        <f t="shared" si="27"/>
        <v>1535</v>
      </c>
      <c r="AS39" s="888">
        <f t="shared" si="28"/>
        <v>303</v>
      </c>
      <c r="AT39" s="888">
        <f t="shared" si="29"/>
        <v>13</v>
      </c>
      <c r="AU39" s="888">
        <f t="shared" si="30"/>
        <v>1842</v>
      </c>
      <c r="AV39" s="888">
        <f t="shared" si="31"/>
        <v>1656</v>
      </c>
      <c r="AW39" s="888">
        <f t="shared" si="32"/>
        <v>177</v>
      </c>
      <c r="AX39" s="888">
        <f t="shared" si="33"/>
        <v>8</v>
      </c>
      <c r="AY39" s="888">
        <f t="shared" si="34"/>
        <v>1729</v>
      </c>
      <c r="AZ39" s="888">
        <f t="shared" si="35"/>
        <v>1439</v>
      </c>
      <c r="BA39" s="888">
        <f t="shared" si="36"/>
        <v>282</v>
      </c>
      <c r="BB39" s="888">
        <f t="shared" si="37"/>
        <v>8</v>
      </c>
      <c r="BC39" s="888">
        <f t="shared" si="38"/>
        <v>1556</v>
      </c>
      <c r="BD39" s="888">
        <f t="shared" si="39"/>
        <v>1389</v>
      </c>
      <c r="BE39" s="888">
        <f t="shared" si="40"/>
        <v>106</v>
      </c>
      <c r="BF39" s="888">
        <f t="shared" si="41"/>
        <v>20</v>
      </c>
      <c r="BG39" s="888">
        <f t="shared" si="42"/>
        <v>1659</v>
      </c>
      <c r="BH39" s="888">
        <f t="shared" si="43"/>
        <v>1569</v>
      </c>
      <c r="BI39" s="888">
        <f t="shared" si="44"/>
        <v>77</v>
      </c>
      <c r="BJ39" s="888">
        <f t="shared" si="45"/>
        <v>13</v>
      </c>
      <c r="BK39" s="888">
        <f t="shared" si="46"/>
        <v>1786</v>
      </c>
      <c r="BL39" s="888">
        <f t="shared" si="47"/>
        <v>1745</v>
      </c>
      <c r="BM39" s="888">
        <f t="shared" si="48"/>
        <v>28</v>
      </c>
      <c r="BN39" s="888">
        <f t="shared" si="49"/>
        <v>12</v>
      </c>
      <c r="BO39" s="888">
        <f t="shared" si="50"/>
        <v>1916</v>
      </c>
      <c r="BP39" s="888">
        <f t="shared" si="51"/>
        <v>1798</v>
      </c>
      <c r="BQ39" s="888">
        <f t="shared" si="52"/>
        <v>112</v>
      </c>
      <c r="BR39" s="888">
        <f t="shared" si="53"/>
        <v>7</v>
      </c>
      <c r="BS39" s="904" t="s">
        <v>133</v>
      </c>
      <c r="BT39" s="904" t="s">
        <v>133</v>
      </c>
      <c r="BU39" s="904" t="s">
        <v>133</v>
      </c>
      <c r="BV39" s="904" t="s">
        <v>133</v>
      </c>
      <c r="BW39" s="904" t="s">
        <v>133</v>
      </c>
    </row>
    <row r="40" spans="1:75" x14ac:dyDescent="0.25">
      <c r="A40" s="890" t="s">
        <v>217</v>
      </c>
      <c r="B40" s="890" t="s">
        <v>218</v>
      </c>
      <c r="C40" s="891" t="s">
        <v>212</v>
      </c>
      <c r="D40" s="891">
        <v>2.48</v>
      </c>
      <c r="E40" s="891" t="s">
        <v>73</v>
      </c>
      <c r="F40" s="893">
        <v>0</v>
      </c>
      <c r="G40" s="897">
        <v>939</v>
      </c>
      <c r="H40" s="897">
        <v>690</v>
      </c>
      <c r="I40" s="897">
        <v>235</v>
      </c>
      <c r="J40" s="897">
        <v>15</v>
      </c>
      <c r="K40" s="897">
        <v>1117</v>
      </c>
      <c r="L40" s="897">
        <v>926</v>
      </c>
      <c r="M40" s="897">
        <v>183</v>
      </c>
      <c r="N40" s="898">
        <v>8</v>
      </c>
      <c r="O40" s="898">
        <v>1111</v>
      </c>
      <c r="P40" s="898">
        <v>999</v>
      </c>
      <c r="Q40" s="898">
        <v>107</v>
      </c>
      <c r="R40" s="898">
        <v>5</v>
      </c>
      <c r="S40" s="898">
        <v>1043</v>
      </c>
      <c r="T40" s="898">
        <v>868</v>
      </c>
      <c r="U40" s="898">
        <v>170</v>
      </c>
      <c r="V40" s="898">
        <v>5</v>
      </c>
      <c r="W40" s="898">
        <v>939</v>
      </c>
      <c r="X40" s="898">
        <v>838</v>
      </c>
      <c r="Y40" s="898">
        <v>64</v>
      </c>
      <c r="Z40" s="898">
        <v>12</v>
      </c>
      <c r="AA40" s="898">
        <v>1001</v>
      </c>
      <c r="AB40" s="898">
        <v>947</v>
      </c>
      <c r="AC40" s="898">
        <v>47</v>
      </c>
      <c r="AD40" s="898">
        <v>8</v>
      </c>
      <c r="AE40" s="898">
        <v>1078</v>
      </c>
      <c r="AF40" s="898">
        <v>1053</v>
      </c>
      <c r="AG40" s="898">
        <v>17</v>
      </c>
      <c r="AH40" s="898">
        <v>7</v>
      </c>
      <c r="AI40" s="898">
        <v>1156</v>
      </c>
      <c r="AJ40" s="898">
        <v>1085</v>
      </c>
      <c r="AK40" s="898">
        <v>67</v>
      </c>
      <c r="AL40" s="898">
        <v>4</v>
      </c>
      <c r="AM40" s="888">
        <f t="shared" si="22"/>
        <v>939</v>
      </c>
      <c r="AN40" s="888">
        <f t="shared" si="23"/>
        <v>690</v>
      </c>
      <c r="AO40" s="888">
        <f t="shared" si="24"/>
        <v>235</v>
      </c>
      <c r="AP40" s="888">
        <f t="shared" si="25"/>
        <v>15</v>
      </c>
      <c r="AQ40" s="888">
        <f t="shared" si="26"/>
        <v>1117</v>
      </c>
      <c r="AR40" s="888">
        <f t="shared" si="27"/>
        <v>926</v>
      </c>
      <c r="AS40" s="888">
        <f t="shared" si="28"/>
        <v>183</v>
      </c>
      <c r="AT40" s="888">
        <f t="shared" si="29"/>
        <v>8</v>
      </c>
      <c r="AU40" s="888">
        <f t="shared" si="30"/>
        <v>1111</v>
      </c>
      <c r="AV40" s="888">
        <f t="shared" si="31"/>
        <v>999</v>
      </c>
      <c r="AW40" s="888">
        <f t="shared" si="32"/>
        <v>107</v>
      </c>
      <c r="AX40" s="888">
        <f t="shared" si="33"/>
        <v>5</v>
      </c>
      <c r="AY40" s="888">
        <f t="shared" si="34"/>
        <v>1043</v>
      </c>
      <c r="AZ40" s="888">
        <f t="shared" si="35"/>
        <v>868</v>
      </c>
      <c r="BA40" s="888">
        <f t="shared" si="36"/>
        <v>170</v>
      </c>
      <c r="BB40" s="888">
        <f t="shared" si="37"/>
        <v>5</v>
      </c>
      <c r="BC40" s="888">
        <f t="shared" si="38"/>
        <v>939</v>
      </c>
      <c r="BD40" s="888">
        <f t="shared" si="39"/>
        <v>838</v>
      </c>
      <c r="BE40" s="888">
        <f t="shared" si="40"/>
        <v>64</v>
      </c>
      <c r="BF40" s="888">
        <f t="shared" si="41"/>
        <v>12</v>
      </c>
      <c r="BG40" s="888">
        <f t="shared" si="42"/>
        <v>1001</v>
      </c>
      <c r="BH40" s="888">
        <f t="shared" si="43"/>
        <v>947</v>
      </c>
      <c r="BI40" s="888">
        <f t="shared" si="44"/>
        <v>47</v>
      </c>
      <c r="BJ40" s="888">
        <f t="shared" si="45"/>
        <v>8</v>
      </c>
      <c r="BK40" s="888">
        <f t="shared" si="46"/>
        <v>1078</v>
      </c>
      <c r="BL40" s="888">
        <f t="shared" si="47"/>
        <v>1053</v>
      </c>
      <c r="BM40" s="888">
        <f t="shared" si="48"/>
        <v>17</v>
      </c>
      <c r="BN40" s="888">
        <f t="shared" si="49"/>
        <v>7</v>
      </c>
      <c r="BO40" s="888">
        <f t="shared" si="50"/>
        <v>1156</v>
      </c>
      <c r="BP40" s="888">
        <f t="shared" si="51"/>
        <v>1085</v>
      </c>
      <c r="BQ40" s="888">
        <f t="shared" si="52"/>
        <v>67</v>
      </c>
      <c r="BR40" s="888">
        <f t="shared" si="53"/>
        <v>4</v>
      </c>
      <c r="BS40" s="904" t="s">
        <v>133</v>
      </c>
      <c r="BT40" s="904" t="s">
        <v>133</v>
      </c>
      <c r="BU40" s="904" t="s">
        <v>133</v>
      </c>
      <c r="BV40" s="904" t="s">
        <v>133</v>
      </c>
      <c r="BW40" s="904" t="s">
        <v>133</v>
      </c>
    </row>
    <row r="41" spans="1:75" x14ac:dyDescent="0.25">
      <c r="A41" s="890" t="s">
        <v>219</v>
      </c>
      <c r="B41" s="890" t="s">
        <v>220</v>
      </c>
      <c r="C41" s="891" t="s">
        <v>212</v>
      </c>
      <c r="D41" s="891">
        <v>1.85</v>
      </c>
      <c r="E41" s="891" t="s">
        <v>73</v>
      </c>
      <c r="F41" s="893">
        <v>0</v>
      </c>
      <c r="G41" s="897">
        <v>1707</v>
      </c>
      <c r="H41" s="897">
        <v>1254</v>
      </c>
      <c r="I41" s="897">
        <v>426</v>
      </c>
      <c r="J41" s="897">
        <v>27</v>
      </c>
      <c r="K41" s="897">
        <v>2030</v>
      </c>
      <c r="L41" s="897">
        <v>1684</v>
      </c>
      <c r="M41" s="897">
        <v>332</v>
      </c>
      <c r="N41" s="898">
        <v>14</v>
      </c>
      <c r="O41" s="898">
        <v>2020</v>
      </c>
      <c r="P41" s="898">
        <v>1817</v>
      </c>
      <c r="Q41" s="898">
        <v>194</v>
      </c>
      <c r="R41" s="898">
        <v>9</v>
      </c>
      <c r="S41" s="898">
        <v>1896</v>
      </c>
      <c r="T41" s="898">
        <v>1578</v>
      </c>
      <c r="U41" s="898">
        <v>310</v>
      </c>
      <c r="V41" s="898">
        <v>8</v>
      </c>
      <c r="W41" s="898">
        <v>1707</v>
      </c>
      <c r="X41" s="898">
        <v>1523</v>
      </c>
      <c r="Y41" s="898">
        <v>116</v>
      </c>
      <c r="Z41" s="898">
        <v>21</v>
      </c>
      <c r="AA41" s="898">
        <v>1819</v>
      </c>
      <c r="AB41" s="898">
        <v>1721</v>
      </c>
      <c r="AC41" s="898">
        <v>85</v>
      </c>
      <c r="AD41" s="898">
        <v>14</v>
      </c>
      <c r="AE41" s="898">
        <v>1959</v>
      </c>
      <c r="AF41" s="898">
        <v>1914</v>
      </c>
      <c r="AG41" s="898">
        <v>31</v>
      </c>
      <c r="AH41" s="898">
        <v>14</v>
      </c>
      <c r="AI41" s="898">
        <v>2102</v>
      </c>
      <c r="AJ41" s="898">
        <v>1971</v>
      </c>
      <c r="AK41" s="898">
        <v>122</v>
      </c>
      <c r="AL41" s="898">
        <v>8</v>
      </c>
      <c r="AM41" s="888">
        <f t="shared" si="22"/>
        <v>1707</v>
      </c>
      <c r="AN41" s="888">
        <f t="shared" si="23"/>
        <v>1254</v>
      </c>
      <c r="AO41" s="888">
        <f t="shared" si="24"/>
        <v>426</v>
      </c>
      <c r="AP41" s="888">
        <f t="shared" si="25"/>
        <v>27</v>
      </c>
      <c r="AQ41" s="888">
        <f t="shared" si="26"/>
        <v>2030</v>
      </c>
      <c r="AR41" s="888">
        <f t="shared" si="27"/>
        <v>1684</v>
      </c>
      <c r="AS41" s="888">
        <f t="shared" si="28"/>
        <v>332</v>
      </c>
      <c r="AT41" s="888">
        <f t="shared" si="29"/>
        <v>14</v>
      </c>
      <c r="AU41" s="888">
        <f t="shared" si="30"/>
        <v>2020</v>
      </c>
      <c r="AV41" s="888">
        <f t="shared" si="31"/>
        <v>1817</v>
      </c>
      <c r="AW41" s="888">
        <f t="shared" si="32"/>
        <v>194</v>
      </c>
      <c r="AX41" s="888">
        <f t="shared" si="33"/>
        <v>9</v>
      </c>
      <c r="AY41" s="888">
        <f t="shared" si="34"/>
        <v>1896</v>
      </c>
      <c r="AZ41" s="888">
        <f t="shared" si="35"/>
        <v>1578</v>
      </c>
      <c r="BA41" s="888">
        <f t="shared" si="36"/>
        <v>310</v>
      </c>
      <c r="BB41" s="888">
        <f t="shared" si="37"/>
        <v>8</v>
      </c>
      <c r="BC41" s="888">
        <f t="shared" si="38"/>
        <v>1707</v>
      </c>
      <c r="BD41" s="888">
        <f t="shared" si="39"/>
        <v>1523</v>
      </c>
      <c r="BE41" s="888">
        <f t="shared" si="40"/>
        <v>116</v>
      </c>
      <c r="BF41" s="888">
        <f t="shared" si="41"/>
        <v>21</v>
      </c>
      <c r="BG41" s="888">
        <f t="shared" si="42"/>
        <v>1819</v>
      </c>
      <c r="BH41" s="888">
        <f t="shared" si="43"/>
        <v>1721</v>
      </c>
      <c r="BI41" s="888">
        <f t="shared" si="44"/>
        <v>85</v>
      </c>
      <c r="BJ41" s="888">
        <f t="shared" si="45"/>
        <v>14</v>
      </c>
      <c r="BK41" s="888">
        <f t="shared" si="46"/>
        <v>1959</v>
      </c>
      <c r="BL41" s="888">
        <f t="shared" si="47"/>
        <v>1914</v>
      </c>
      <c r="BM41" s="888">
        <f t="shared" si="48"/>
        <v>31</v>
      </c>
      <c r="BN41" s="888">
        <f t="shared" si="49"/>
        <v>14</v>
      </c>
      <c r="BO41" s="888">
        <f t="shared" si="50"/>
        <v>2102</v>
      </c>
      <c r="BP41" s="888">
        <f t="shared" si="51"/>
        <v>1971</v>
      </c>
      <c r="BQ41" s="888">
        <f t="shared" si="52"/>
        <v>122</v>
      </c>
      <c r="BR41" s="888">
        <f t="shared" si="53"/>
        <v>8</v>
      </c>
      <c r="BS41" s="904" t="s">
        <v>133</v>
      </c>
      <c r="BT41" s="904" t="s">
        <v>133</v>
      </c>
      <c r="BU41" s="904" t="s">
        <v>133</v>
      </c>
      <c r="BV41" s="904" t="s">
        <v>133</v>
      </c>
      <c r="BW41" s="904" t="s">
        <v>133</v>
      </c>
    </row>
    <row r="42" spans="1:75" x14ac:dyDescent="0.25">
      <c r="A42" s="884" t="s">
        <v>221</v>
      </c>
      <c r="B42" s="884" t="s">
        <v>222</v>
      </c>
      <c r="C42" s="886" t="s">
        <v>212</v>
      </c>
      <c r="D42" s="886">
        <v>1.1499999999999999</v>
      </c>
      <c r="E42" s="886" t="s">
        <v>73</v>
      </c>
      <c r="F42" s="887">
        <v>1193</v>
      </c>
      <c r="G42" s="897">
        <v>436</v>
      </c>
      <c r="H42" s="897">
        <v>320</v>
      </c>
      <c r="I42" s="897">
        <v>109</v>
      </c>
      <c r="J42" s="897">
        <v>7</v>
      </c>
      <c r="K42" s="897">
        <v>518</v>
      </c>
      <c r="L42" s="897">
        <v>430</v>
      </c>
      <c r="M42" s="897">
        <v>85</v>
      </c>
      <c r="N42" s="898">
        <v>4</v>
      </c>
      <c r="O42" s="898">
        <v>515</v>
      </c>
      <c r="P42" s="898">
        <v>463</v>
      </c>
      <c r="Q42" s="898">
        <v>50</v>
      </c>
      <c r="R42" s="898">
        <v>2</v>
      </c>
      <c r="S42" s="898">
        <v>484</v>
      </c>
      <c r="T42" s="898">
        <v>403</v>
      </c>
      <c r="U42" s="898">
        <v>79</v>
      </c>
      <c r="V42" s="898">
        <v>2</v>
      </c>
      <c r="W42" s="898">
        <v>436</v>
      </c>
      <c r="X42" s="898">
        <v>389</v>
      </c>
      <c r="Y42" s="898">
        <v>30</v>
      </c>
      <c r="Z42" s="898">
        <v>5</v>
      </c>
      <c r="AA42" s="898">
        <v>464</v>
      </c>
      <c r="AB42" s="898">
        <v>439</v>
      </c>
      <c r="AC42" s="898">
        <v>22</v>
      </c>
      <c r="AD42" s="898">
        <v>4</v>
      </c>
      <c r="AE42" s="898">
        <v>500</v>
      </c>
      <c r="AF42" s="898">
        <v>488</v>
      </c>
      <c r="AG42" s="898">
        <v>8</v>
      </c>
      <c r="AH42" s="898">
        <v>3</v>
      </c>
      <c r="AI42" s="898">
        <v>536</v>
      </c>
      <c r="AJ42" s="898">
        <v>503</v>
      </c>
      <c r="AK42" s="898">
        <v>31</v>
      </c>
      <c r="AL42" s="898">
        <v>2</v>
      </c>
      <c r="AM42" s="888">
        <f t="shared" si="22"/>
        <v>436</v>
      </c>
      <c r="AN42" s="888">
        <f t="shared" si="23"/>
        <v>320</v>
      </c>
      <c r="AO42" s="888">
        <f t="shared" si="24"/>
        <v>109</v>
      </c>
      <c r="AP42" s="888">
        <f t="shared" si="25"/>
        <v>7</v>
      </c>
      <c r="AQ42" s="888">
        <f t="shared" si="26"/>
        <v>518</v>
      </c>
      <c r="AR42" s="888">
        <f t="shared" si="27"/>
        <v>430</v>
      </c>
      <c r="AS42" s="888">
        <f t="shared" si="28"/>
        <v>85</v>
      </c>
      <c r="AT42" s="888">
        <f t="shared" si="29"/>
        <v>4</v>
      </c>
      <c r="AU42" s="888">
        <f t="shared" si="30"/>
        <v>515</v>
      </c>
      <c r="AV42" s="888">
        <f t="shared" si="31"/>
        <v>463</v>
      </c>
      <c r="AW42" s="888">
        <f t="shared" si="32"/>
        <v>50</v>
      </c>
      <c r="AX42" s="888">
        <f t="shared" si="33"/>
        <v>2</v>
      </c>
      <c r="AY42" s="888">
        <f t="shared" si="34"/>
        <v>484</v>
      </c>
      <c r="AZ42" s="888">
        <f t="shared" si="35"/>
        <v>403</v>
      </c>
      <c r="BA42" s="888">
        <f t="shared" si="36"/>
        <v>79</v>
      </c>
      <c r="BB42" s="888">
        <f t="shared" si="37"/>
        <v>2</v>
      </c>
      <c r="BC42" s="888">
        <f t="shared" si="38"/>
        <v>436</v>
      </c>
      <c r="BD42" s="888">
        <f t="shared" si="39"/>
        <v>389</v>
      </c>
      <c r="BE42" s="888">
        <f t="shared" si="40"/>
        <v>30</v>
      </c>
      <c r="BF42" s="888">
        <f t="shared" si="41"/>
        <v>5</v>
      </c>
      <c r="BG42" s="888">
        <f t="shared" si="42"/>
        <v>464</v>
      </c>
      <c r="BH42" s="888">
        <f t="shared" si="43"/>
        <v>439</v>
      </c>
      <c r="BI42" s="888">
        <f t="shared" si="44"/>
        <v>22</v>
      </c>
      <c r="BJ42" s="888">
        <f t="shared" si="45"/>
        <v>4</v>
      </c>
      <c r="BK42" s="888">
        <f t="shared" si="46"/>
        <v>500</v>
      </c>
      <c r="BL42" s="888">
        <f t="shared" si="47"/>
        <v>488</v>
      </c>
      <c r="BM42" s="888">
        <f t="shared" si="48"/>
        <v>8</v>
      </c>
      <c r="BN42" s="888">
        <f t="shared" si="49"/>
        <v>3</v>
      </c>
      <c r="BO42" s="888">
        <f t="shared" si="50"/>
        <v>536</v>
      </c>
      <c r="BP42" s="888">
        <f t="shared" si="51"/>
        <v>503</v>
      </c>
      <c r="BQ42" s="888">
        <f t="shared" si="52"/>
        <v>31</v>
      </c>
      <c r="BR42" s="888">
        <f t="shared" si="53"/>
        <v>2</v>
      </c>
    </row>
    <row r="43" spans="1:75" x14ac:dyDescent="0.25">
      <c r="A43" s="884" t="s">
        <v>223</v>
      </c>
      <c r="B43" s="884" t="s">
        <v>224</v>
      </c>
      <c r="C43" s="886" t="s">
        <v>212</v>
      </c>
      <c r="D43" s="886">
        <v>1.56</v>
      </c>
      <c r="E43" s="886" t="s">
        <v>73</v>
      </c>
      <c r="F43" s="887">
        <v>2365</v>
      </c>
      <c r="G43" s="897">
        <v>591</v>
      </c>
      <c r="H43" s="897">
        <v>434</v>
      </c>
      <c r="I43" s="897">
        <v>148</v>
      </c>
      <c r="J43" s="897">
        <v>9</v>
      </c>
      <c r="K43" s="897">
        <v>703</v>
      </c>
      <c r="L43" s="897">
        <v>583</v>
      </c>
      <c r="M43" s="897">
        <v>115</v>
      </c>
      <c r="N43" s="898">
        <v>5</v>
      </c>
      <c r="O43" s="898">
        <v>699</v>
      </c>
      <c r="P43" s="898">
        <v>629</v>
      </c>
      <c r="Q43" s="898">
        <v>67</v>
      </c>
      <c r="R43" s="898">
        <v>3</v>
      </c>
      <c r="S43" s="898">
        <v>656</v>
      </c>
      <c r="T43" s="898">
        <v>546</v>
      </c>
      <c r="U43" s="898">
        <v>107</v>
      </c>
      <c r="V43" s="898">
        <v>3</v>
      </c>
      <c r="W43" s="898">
        <v>591</v>
      </c>
      <c r="X43" s="898">
        <v>527</v>
      </c>
      <c r="Y43" s="898">
        <v>40</v>
      </c>
      <c r="Z43" s="898">
        <v>7</v>
      </c>
      <c r="AA43" s="898">
        <v>630</v>
      </c>
      <c r="AB43" s="898">
        <v>596</v>
      </c>
      <c r="AC43" s="898">
        <v>29</v>
      </c>
      <c r="AD43" s="898">
        <v>5</v>
      </c>
      <c r="AE43" s="898">
        <v>678</v>
      </c>
      <c r="AF43" s="898">
        <v>662</v>
      </c>
      <c r="AG43" s="898">
        <v>11</v>
      </c>
      <c r="AH43" s="898">
        <v>5</v>
      </c>
      <c r="AI43" s="898">
        <v>727</v>
      </c>
      <c r="AJ43" s="898">
        <v>682</v>
      </c>
      <c r="AK43" s="898">
        <v>42</v>
      </c>
      <c r="AL43" s="898">
        <v>3</v>
      </c>
      <c r="AM43" s="888">
        <f t="shared" si="22"/>
        <v>591</v>
      </c>
      <c r="AN43" s="888">
        <f t="shared" si="23"/>
        <v>434</v>
      </c>
      <c r="AO43" s="888">
        <f t="shared" si="24"/>
        <v>148</v>
      </c>
      <c r="AP43" s="888">
        <f t="shared" si="25"/>
        <v>9</v>
      </c>
      <c r="AQ43" s="888">
        <f t="shared" si="26"/>
        <v>703</v>
      </c>
      <c r="AR43" s="888">
        <f t="shared" si="27"/>
        <v>583</v>
      </c>
      <c r="AS43" s="888">
        <f t="shared" si="28"/>
        <v>115</v>
      </c>
      <c r="AT43" s="888">
        <f t="shared" si="29"/>
        <v>5</v>
      </c>
      <c r="AU43" s="888">
        <f t="shared" si="30"/>
        <v>699</v>
      </c>
      <c r="AV43" s="888">
        <f t="shared" si="31"/>
        <v>629</v>
      </c>
      <c r="AW43" s="888">
        <f t="shared" si="32"/>
        <v>67</v>
      </c>
      <c r="AX43" s="888">
        <f t="shared" si="33"/>
        <v>3</v>
      </c>
      <c r="AY43" s="888">
        <f t="shared" si="34"/>
        <v>656</v>
      </c>
      <c r="AZ43" s="888">
        <f t="shared" si="35"/>
        <v>546</v>
      </c>
      <c r="BA43" s="888">
        <f t="shared" si="36"/>
        <v>107</v>
      </c>
      <c r="BB43" s="888">
        <f t="shared" si="37"/>
        <v>3</v>
      </c>
      <c r="BC43" s="888">
        <f t="shared" si="38"/>
        <v>591</v>
      </c>
      <c r="BD43" s="888">
        <f t="shared" si="39"/>
        <v>527</v>
      </c>
      <c r="BE43" s="888">
        <f t="shared" si="40"/>
        <v>40</v>
      </c>
      <c r="BF43" s="888">
        <f t="shared" si="41"/>
        <v>7</v>
      </c>
      <c r="BG43" s="888">
        <f t="shared" si="42"/>
        <v>630</v>
      </c>
      <c r="BH43" s="888">
        <f t="shared" si="43"/>
        <v>596</v>
      </c>
      <c r="BI43" s="888">
        <f t="shared" si="44"/>
        <v>29</v>
      </c>
      <c r="BJ43" s="888">
        <f t="shared" si="45"/>
        <v>5</v>
      </c>
      <c r="BK43" s="888">
        <f t="shared" si="46"/>
        <v>678</v>
      </c>
      <c r="BL43" s="888">
        <f t="shared" si="47"/>
        <v>662</v>
      </c>
      <c r="BM43" s="888">
        <f t="shared" si="48"/>
        <v>11</v>
      </c>
      <c r="BN43" s="888">
        <f t="shared" si="49"/>
        <v>5</v>
      </c>
      <c r="BO43" s="888">
        <f t="shared" si="50"/>
        <v>727</v>
      </c>
      <c r="BP43" s="888">
        <f t="shared" si="51"/>
        <v>682</v>
      </c>
      <c r="BQ43" s="888">
        <f t="shared" si="52"/>
        <v>42</v>
      </c>
      <c r="BR43" s="888">
        <f t="shared" si="53"/>
        <v>3</v>
      </c>
    </row>
    <row r="44" spans="1:75" x14ac:dyDescent="0.25">
      <c r="A44" s="884" t="s">
        <v>225</v>
      </c>
      <c r="B44" s="884" t="s">
        <v>226</v>
      </c>
      <c r="C44" s="886" t="s">
        <v>112</v>
      </c>
      <c r="D44" s="886">
        <v>6.95</v>
      </c>
      <c r="E44" s="886" t="s">
        <v>73</v>
      </c>
      <c r="F44" s="887">
        <v>5966</v>
      </c>
      <c r="G44" s="897">
        <v>5778</v>
      </c>
      <c r="H44" s="897">
        <v>4244</v>
      </c>
      <c r="I44" s="897">
        <v>1443</v>
      </c>
      <c r="J44" s="897">
        <v>91</v>
      </c>
      <c r="K44" s="897">
        <v>6873</v>
      </c>
      <c r="L44" s="897">
        <v>5699</v>
      </c>
      <c r="M44" s="897">
        <v>1125</v>
      </c>
      <c r="N44" s="898">
        <v>49</v>
      </c>
      <c r="O44" s="898">
        <v>6836</v>
      </c>
      <c r="P44" s="898">
        <v>6149</v>
      </c>
      <c r="Q44" s="898">
        <v>658</v>
      </c>
      <c r="R44" s="898">
        <v>30</v>
      </c>
      <c r="S44" s="898">
        <v>6417</v>
      </c>
      <c r="T44" s="898">
        <v>5340</v>
      </c>
      <c r="U44" s="898">
        <v>1049</v>
      </c>
      <c r="V44" s="898">
        <v>28</v>
      </c>
      <c r="W44" s="898">
        <v>5778</v>
      </c>
      <c r="X44" s="898">
        <v>5155</v>
      </c>
      <c r="Y44" s="898">
        <v>392</v>
      </c>
      <c r="Z44" s="898">
        <v>73</v>
      </c>
      <c r="AA44" s="898">
        <v>6158</v>
      </c>
      <c r="AB44" s="898">
        <v>5824</v>
      </c>
      <c r="AC44" s="898">
        <v>287</v>
      </c>
      <c r="AD44" s="898">
        <v>47</v>
      </c>
      <c r="AE44" s="898">
        <v>6630</v>
      </c>
      <c r="AF44" s="898">
        <v>6479</v>
      </c>
      <c r="AG44" s="898">
        <v>105</v>
      </c>
      <c r="AH44" s="898">
        <v>46</v>
      </c>
      <c r="AI44" s="898">
        <v>7113</v>
      </c>
      <c r="AJ44" s="898">
        <v>6673</v>
      </c>
      <c r="AK44" s="898">
        <v>415</v>
      </c>
      <c r="AL44" s="898">
        <v>26</v>
      </c>
      <c r="AM44" s="888">
        <f t="shared" si="22"/>
        <v>5.7779999999999996</v>
      </c>
      <c r="AN44" s="888">
        <f t="shared" si="23"/>
        <v>4.2439999999999998</v>
      </c>
      <c r="AO44" s="888">
        <f t="shared" si="24"/>
        <v>1.4430000000000001</v>
      </c>
      <c r="AP44" s="888">
        <f t="shared" si="25"/>
        <v>9.0999999999999998E-2</v>
      </c>
      <c r="AQ44" s="888">
        <f t="shared" si="26"/>
        <v>6.8730000000000002</v>
      </c>
      <c r="AR44" s="888">
        <f t="shared" si="27"/>
        <v>5.6989999999999998</v>
      </c>
      <c r="AS44" s="888">
        <f t="shared" si="28"/>
        <v>1.125</v>
      </c>
      <c r="AT44" s="888">
        <f t="shared" si="29"/>
        <v>4.9000000000000002E-2</v>
      </c>
      <c r="AU44" s="888">
        <f t="shared" si="30"/>
        <v>6.8360000000000003</v>
      </c>
      <c r="AV44" s="888">
        <f t="shared" si="31"/>
        <v>6.149</v>
      </c>
      <c r="AW44" s="888">
        <f t="shared" si="32"/>
        <v>0.65800000000000003</v>
      </c>
      <c r="AX44" s="888">
        <f t="shared" si="33"/>
        <v>0.03</v>
      </c>
      <c r="AY44" s="888">
        <f t="shared" si="34"/>
        <v>6.4169999999999998</v>
      </c>
      <c r="AZ44" s="888">
        <f t="shared" si="35"/>
        <v>5.34</v>
      </c>
      <c r="BA44" s="888">
        <f t="shared" si="36"/>
        <v>1.0489999999999999</v>
      </c>
      <c r="BB44" s="888">
        <f t="shared" si="37"/>
        <v>2.8000000000000001E-2</v>
      </c>
      <c r="BC44" s="888">
        <f t="shared" si="38"/>
        <v>5.7779999999999996</v>
      </c>
      <c r="BD44" s="888">
        <f t="shared" si="39"/>
        <v>5.1550000000000002</v>
      </c>
      <c r="BE44" s="888">
        <f t="shared" si="40"/>
        <v>0.39200000000000002</v>
      </c>
      <c r="BF44" s="888">
        <f t="shared" si="41"/>
        <v>7.2999999999999995E-2</v>
      </c>
      <c r="BG44" s="888">
        <f t="shared" si="42"/>
        <v>6.1580000000000004</v>
      </c>
      <c r="BH44" s="888">
        <f t="shared" si="43"/>
        <v>5.8239999999999998</v>
      </c>
      <c r="BI44" s="888">
        <f t="shared" si="44"/>
        <v>0.28699999999999998</v>
      </c>
      <c r="BJ44" s="888">
        <f t="shared" si="45"/>
        <v>4.7E-2</v>
      </c>
      <c r="BK44" s="888">
        <f t="shared" si="46"/>
        <v>6.63</v>
      </c>
      <c r="BL44" s="888">
        <f t="shared" si="47"/>
        <v>6.4790000000000001</v>
      </c>
      <c r="BM44" s="888">
        <f t="shared" si="48"/>
        <v>0.105</v>
      </c>
      <c r="BN44" s="888">
        <f t="shared" si="49"/>
        <v>4.5999999999999999E-2</v>
      </c>
      <c r="BO44" s="888">
        <f t="shared" si="50"/>
        <v>7.1130000000000004</v>
      </c>
      <c r="BP44" s="888">
        <f t="shared" si="51"/>
        <v>6.673</v>
      </c>
      <c r="BQ44" s="888">
        <f t="shared" si="52"/>
        <v>0.41499999999999998</v>
      </c>
      <c r="BR44" s="888">
        <f t="shared" si="53"/>
        <v>2.5999999999999999E-2</v>
      </c>
      <c r="BS44" s="904" t="s">
        <v>134</v>
      </c>
    </row>
    <row r="45" spans="1:75" x14ac:dyDescent="0.25">
      <c r="A45" s="884" t="s">
        <v>227</v>
      </c>
      <c r="B45" s="884" t="s">
        <v>228</v>
      </c>
      <c r="C45" s="886" t="s">
        <v>112</v>
      </c>
      <c r="D45" s="886">
        <v>47.62</v>
      </c>
      <c r="E45" s="886" t="s">
        <v>73</v>
      </c>
      <c r="F45" s="887">
        <v>8112</v>
      </c>
      <c r="G45" s="897">
        <v>9863</v>
      </c>
      <c r="H45" s="897">
        <v>7245</v>
      </c>
      <c r="I45" s="897">
        <v>2464</v>
      </c>
      <c r="J45" s="897">
        <v>155</v>
      </c>
      <c r="K45" s="897">
        <v>11731</v>
      </c>
      <c r="L45" s="897">
        <v>9729</v>
      </c>
      <c r="M45" s="897">
        <v>1920</v>
      </c>
      <c r="N45" s="898">
        <v>83</v>
      </c>
      <c r="O45" s="898">
        <v>11669</v>
      </c>
      <c r="P45" s="898">
        <v>10496</v>
      </c>
      <c r="Q45" s="898">
        <v>1123</v>
      </c>
      <c r="R45" s="898">
        <v>50</v>
      </c>
      <c r="S45" s="898">
        <v>10954</v>
      </c>
      <c r="T45" s="898">
        <v>9116</v>
      </c>
      <c r="U45" s="898">
        <v>1790</v>
      </c>
      <c r="V45" s="898">
        <v>48</v>
      </c>
      <c r="W45" s="898">
        <v>9863</v>
      </c>
      <c r="X45" s="898">
        <v>8799</v>
      </c>
      <c r="Y45" s="898">
        <v>670</v>
      </c>
      <c r="Z45" s="898">
        <v>124</v>
      </c>
      <c r="AA45" s="898">
        <v>10512</v>
      </c>
      <c r="AB45" s="898">
        <v>9942</v>
      </c>
      <c r="AC45" s="898">
        <v>490</v>
      </c>
      <c r="AD45" s="898">
        <v>80</v>
      </c>
      <c r="AE45" s="898">
        <v>11317</v>
      </c>
      <c r="AF45" s="898">
        <v>11060</v>
      </c>
      <c r="AG45" s="898">
        <v>179</v>
      </c>
      <c r="AH45" s="898">
        <v>78</v>
      </c>
      <c r="AI45" s="898">
        <v>12142</v>
      </c>
      <c r="AJ45" s="898">
        <v>11391</v>
      </c>
      <c r="AK45" s="898">
        <v>708</v>
      </c>
      <c r="AL45" s="898">
        <v>44</v>
      </c>
      <c r="AM45" s="888">
        <f t="shared" si="22"/>
        <v>9.8629999999999995</v>
      </c>
      <c r="AN45" s="888">
        <f t="shared" si="23"/>
        <v>7.2450000000000001</v>
      </c>
      <c r="AO45" s="888">
        <f t="shared" si="24"/>
        <v>2.464</v>
      </c>
      <c r="AP45" s="888">
        <f t="shared" si="25"/>
        <v>0.155</v>
      </c>
      <c r="AQ45" s="888">
        <f t="shared" si="26"/>
        <v>11.731</v>
      </c>
      <c r="AR45" s="888">
        <f t="shared" si="27"/>
        <v>9.7289999999999992</v>
      </c>
      <c r="AS45" s="888">
        <f t="shared" si="28"/>
        <v>1.92</v>
      </c>
      <c r="AT45" s="888">
        <f t="shared" si="29"/>
        <v>8.3000000000000004E-2</v>
      </c>
      <c r="AU45" s="888">
        <f t="shared" si="30"/>
        <v>11.669</v>
      </c>
      <c r="AV45" s="888">
        <f t="shared" si="31"/>
        <v>10.496</v>
      </c>
      <c r="AW45" s="888">
        <f t="shared" si="32"/>
        <v>1.123</v>
      </c>
      <c r="AX45" s="888">
        <f t="shared" si="33"/>
        <v>0.05</v>
      </c>
      <c r="AY45" s="888">
        <f t="shared" si="34"/>
        <v>10.954000000000001</v>
      </c>
      <c r="AZ45" s="888">
        <f t="shared" si="35"/>
        <v>9.1159999999999997</v>
      </c>
      <c r="BA45" s="888">
        <f t="shared" si="36"/>
        <v>1.79</v>
      </c>
      <c r="BB45" s="888">
        <f t="shared" si="37"/>
        <v>4.8000000000000001E-2</v>
      </c>
      <c r="BC45" s="888">
        <f t="shared" si="38"/>
        <v>9.8629999999999995</v>
      </c>
      <c r="BD45" s="888">
        <f t="shared" si="39"/>
        <v>8.7989999999999995</v>
      </c>
      <c r="BE45" s="888">
        <f t="shared" si="40"/>
        <v>0.67</v>
      </c>
      <c r="BF45" s="888">
        <f t="shared" si="41"/>
        <v>0.124</v>
      </c>
      <c r="BG45" s="888">
        <f t="shared" si="42"/>
        <v>10.512</v>
      </c>
      <c r="BH45" s="888">
        <f t="shared" si="43"/>
        <v>9.9420000000000002</v>
      </c>
      <c r="BI45" s="888">
        <f t="shared" si="44"/>
        <v>0.49</v>
      </c>
      <c r="BJ45" s="888">
        <f t="shared" si="45"/>
        <v>0.08</v>
      </c>
      <c r="BK45" s="888">
        <f t="shared" si="46"/>
        <v>11.317</v>
      </c>
      <c r="BL45" s="888">
        <f t="shared" si="47"/>
        <v>11.06</v>
      </c>
      <c r="BM45" s="888">
        <f t="shared" si="48"/>
        <v>0.17899999999999999</v>
      </c>
      <c r="BN45" s="888">
        <f t="shared" si="49"/>
        <v>7.8E-2</v>
      </c>
      <c r="BO45" s="888">
        <f t="shared" si="50"/>
        <v>12.141999999999999</v>
      </c>
      <c r="BP45" s="888">
        <f t="shared" si="51"/>
        <v>11.391</v>
      </c>
      <c r="BQ45" s="888">
        <f t="shared" si="52"/>
        <v>0.70799999999999996</v>
      </c>
      <c r="BR45" s="888">
        <f t="shared" si="53"/>
        <v>4.3999999999999997E-2</v>
      </c>
      <c r="BS45" s="904" t="s">
        <v>134</v>
      </c>
    </row>
    <row r="46" spans="1:75" x14ac:dyDescent="0.25">
      <c r="A46" s="884" t="s">
        <v>229</v>
      </c>
      <c r="B46" s="884" t="s">
        <v>230</v>
      </c>
      <c r="C46" s="886" t="s">
        <v>112</v>
      </c>
      <c r="D46" s="886">
        <v>10.72</v>
      </c>
      <c r="E46" s="886" t="s">
        <v>73</v>
      </c>
      <c r="F46" s="887">
        <v>17838</v>
      </c>
      <c r="G46" s="897">
        <v>9892</v>
      </c>
      <c r="H46" s="897">
        <v>7266</v>
      </c>
      <c r="I46" s="897">
        <v>2471</v>
      </c>
      <c r="J46" s="897">
        <v>155</v>
      </c>
      <c r="K46" s="897">
        <v>11765</v>
      </c>
      <c r="L46" s="897">
        <v>9757</v>
      </c>
      <c r="M46" s="897">
        <v>1925</v>
      </c>
      <c r="N46" s="898">
        <v>83</v>
      </c>
      <c r="O46" s="898">
        <v>11703</v>
      </c>
      <c r="P46" s="898">
        <v>10526</v>
      </c>
      <c r="Q46" s="898">
        <v>1127</v>
      </c>
      <c r="R46" s="898">
        <v>51</v>
      </c>
      <c r="S46" s="898">
        <v>10986</v>
      </c>
      <c r="T46" s="898">
        <v>9142</v>
      </c>
      <c r="U46" s="898">
        <v>1795</v>
      </c>
      <c r="V46" s="898">
        <v>48</v>
      </c>
      <c r="W46" s="898">
        <v>9892</v>
      </c>
      <c r="X46" s="898">
        <v>8825</v>
      </c>
      <c r="Y46" s="898">
        <v>672</v>
      </c>
      <c r="Z46" s="898">
        <v>124</v>
      </c>
      <c r="AA46" s="898">
        <v>10542</v>
      </c>
      <c r="AB46" s="898">
        <v>9971</v>
      </c>
      <c r="AC46" s="898">
        <v>491</v>
      </c>
      <c r="AD46" s="898">
        <v>80</v>
      </c>
      <c r="AE46" s="898">
        <v>11350</v>
      </c>
      <c r="AF46" s="898">
        <v>11092</v>
      </c>
      <c r="AG46" s="898">
        <v>180</v>
      </c>
      <c r="AH46" s="898">
        <v>78</v>
      </c>
      <c r="AI46" s="898">
        <v>12178</v>
      </c>
      <c r="AJ46" s="898">
        <v>11424</v>
      </c>
      <c r="AK46" s="898">
        <v>710</v>
      </c>
      <c r="AL46" s="898">
        <v>44</v>
      </c>
      <c r="AM46" s="888">
        <f t="shared" si="22"/>
        <v>9.8919999999999995</v>
      </c>
      <c r="AN46" s="888">
        <f t="shared" si="23"/>
        <v>7.266</v>
      </c>
      <c r="AO46" s="888">
        <f t="shared" si="24"/>
        <v>2.4710000000000001</v>
      </c>
      <c r="AP46" s="888">
        <f t="shared" si="25"/>
        <v>0.155</v>
      </c>
      <c r="AQ46" s="888">
        <f t="shared" si="26"/>
        <v>11.765000000000001</v>
      </c>
      <c r="AR46" s="888">
        <f t="shared" si="27"/>
        <v>9.7569999999999997</v>
      </c>
      <c r="AS46" s="888">
        <f t="shared" si="28"/>
        <v>1.925</v>
      </c>
      <c r="AT46" s="888">
        <f t="shared" si="29"/>
        <v>8.3000000000000004E-2</v>
      </c>
      <c r="AU46" s="888">
        <f t="shared" si="30"/>
        <v>11.702999999999999</v>
      </c>
      <c r="AV46" s="888">
        <f t="shared" si="31"/>
        <v>10.526</v>
      </c>
      <c r="AW46" s="888">
        <f t="shared" si="32"/>
        <v>1.127</v>
      </c>
      <c r="AX46" s="888">
        <f t="shared" si="33"/>
        <v>5.0999999999999997E-2</v>
      </c>
      <c r="AY46" s="888">
        <f t="shared" si="34"/>
        <v>10.986000000000001</v>
      </c>
      <c r="AZ46" s="888">
        <f t="shared" si="35"/>
        <v>9.1419999999999995</v>
      </c>
      <c r="BA46" s="888">
        <f t="shared" si="36"/>
        <v>1.7949999999999999</v>
      </c>
      <c r="BB46" s="888">
        <f t="shared" si="37"/>
        <v>4.8000000000000001E-2</v>
      </c>
      <c r="BC46" s="888">
        <f t="shared" si="38"/>
        <v>9.8919999999999995</v>
      </c>
      <c r="BD46" s="888">
        <f t="shared" si="39"/>
        <v>8.8249999999999993</v>
      </c>
      <c r="BE46" s="888">
        <f t="shared" si="40"/>
        <v>0.67200000000000004</v>
      </c>
      <c r="BF46" s="888">
        <f t="shared" si="41"/>
        <v>0.124</v>
      </c>
      <c r="BG46" s="888">
        <f t="shared" si="42"/>
        <v>10.542</v>
      </c>
      <c r="BH46" s="888">
        <f t="shared" si="43"/>
        <v>9.9710000000000001</v>
      </c>
      <c r="BI46" s="888">
        <f t="shared" si="44"/>
        <v>0.49099999999999999</v>
      </c>
      <c r="BJ46" s="888">
        <f t="shared" si="45"/>
        <v>0.08</v>
      </c>
      <c r="BK46" s="888">
        <f t="shared" si="46"/>
        <v>11.35</v>
      </c>
      <c r="BL46" s="888">
        <f t="shared" si="47"/>
        <v>11.092000000000001</v>
      </c>
      <c r="BM46" s="888">
        <f t="shared" si="48"/>
        <v>0.18</v>
      </c>
      <c r="BN46" s="888">
        <f t="shared" si="49"/>
        <v>7.8E-2</v>
      </c>
      <c r="BO46" s="888">
        <f t="shared" si="50"/>
        <v>12.178000000000001</v>
      </c>
      <c r="BP46" s="888">
        <f t="shared" si="51"/>
        <v>11.423999999999999</v>
      </c>
      <c r="BQ46" s="888">
        <f t="shared" si="52"/>
        <v>0.71</v>
      </c>
      <c r="BR46" s="888">
        <f t="shared" si="53"/>
        <v>4.3999999999999997E-2</v>
      </c>
      <c r="BS46" s="904" t="s">
        <v>134</v>
      </c>
    </row>
    <row r="47" spans="1:75" x14ac:dyDescent="0.25">
      <c r="A47" s="884" t="s">
        <v>231</v>
      </c>
      <c r="B47" s="884" t="s">
        <v>232</v>
      </c>
      <c r="C47" s="886" t="s">
        <v>172</v>
      </c>
      <c r="D47" s="886">
        <v>3.06</v>
      </c>
      <c r="E47" s="886" t="s">
        <v>73</v>
      </c>
      <c r="F47" s="887">
        <v>2405</v>
      </c>
      <c r="G47" s="897">
        <v>983</v>
      </c>
      <c r="H47" s="897">
        <v>722</v>
      </c>
      <c r="I47" s="897">
        <v>246</v>
      </c>
      <c r="J47" s="897">
        <v>15</v>
      </c>
      <c r="K47" s="897">
        <v>1169</v>
      </c>
      <c r="L47" s="897">
        <v>970</v>
      </c>
      <c r="M47" s="897">
        <v>191</v>
      </c>
      <c r="N47" s="898">
        <v>8</v>
      </c>
      <c r="O47" s="898">
        <v>1163</v>
      </c>
      <c r="P47" s="898">
        <v>1046</v>
      </c>
      <c r="Q47" s="898">
        <v>112</v>
      </c>
      <c r="R47" s="898">
        <v>5</v>
      </c>
      <c r="S47" s="898">
        <v>1092</v>
      </c>
      <c r="T47" s="898">
        <v>909</v>
      </c>
      <c r="U47" s="898">
        <v>178</v>
      </c>
      <c r="V47" s="898">
        <v>5</v>
      </c>
      <c r="W47" s="898">
        <v>983</v>
      </c>
      <c r="X47" s="898">
        <v>877</v>
      </c>
      <c r="Y47" s="898">
        <v>67</v>
      </c>
      <c r="Z47" s="898">
        <v>12</v>
      </c>
      <c r="AA47" s="898">
        <v>1048</v>
      </c>
      <c r="AB47" s="898">
        <v>991</v>
      </c>
      <c r="AC47" s="898">
        <v>49</v>
      </c>
      <c r="AD47" s="898">
        <v>8</v>
      </c>
      <c r="AE47" s="898">
        <v>1128</v>
      </c>
      <c r="AF47" s="898">
        <v>1102</v>
      </c>
      <c r="AG47" s="898">
        <v>18</v>
      </c>
      <c r="AH47" s="898">
        <v>8</v>
      </c>
      <c r="AI47" s="898">
        <v>1210</v>
      </c>
      <c r="AJ47" s="898">
        <v>1135</v>
      </c>
      <c r="AK47" s="898">
        <v>71</v>
      </c>
      <c r="AL47" s="898">
        <v>4</v>
      </c>
      <c r="AM47" s="888">
        <f t="shared" si="22"/>
        <v>983</v>
      </c>
      <c r="AN47" s="888">
        <f t="shared" si="23"/>
        <v>722</v>
      </c>
      <c r="AO47" s="888">
        <f t="shared" si="24"/>
        <v>246</v>
      </c>
      <c r="AP47" s="888">
        <f t="shared" si="25"/>
        <v>15</v>
      </c>
      <c r="AQ47" s="888">
        <f t="shared" si="26"/>
        <v>1169</v>
      </c>
      <c r="AR47" s="888">
        <f t="shared" si="27"/>
        <v>970</v>
      </c>
      <c r="AS47" s="888">
        <f t="shared" si="28"/>
        <v>191</v>
      </c>
      <c r="AT47" s="888">
        <f t="shared" si="29"/>
        <v>8</v>
      </c>
      <c r="AU47" s="888">
        <f t="shared" si="30"/>
        <v>1163</v>
      </c>
      <c r="AV47" s="888">
        <f t="shared" si="31"/>
        <v>1046</v>
      </c>
      <c r="AW47" s="888">
        <f t="shared" si="32"/>
        <v>112</v>
      </c>
      <c r="AX47" s="888">
        <f t="shared" si="33"/>
        <v>5</v>
      </c>
      <c r="AY47" s="888">
        <f t="shared" si="34"/>
        <v>1092</v>
      </c>
      <c r="AZ47" s="888">
        <f t="shared" si="35"/>
        <v>909</v>
      </c>
      <c r="BA47" s="888">
        <f t="shared" si="36"/>
        <v>178</v>
      </c>
      <c r="BB47" s="888">
        <f t="shared" si="37"/>
        <v>5</v>
      </c>
      <c r="BC47" s="888">
        <f t="shared" si="38"/>
        <v>983</v>
      </c>
      <c r="BD47" s="888">
        <f t="shared" si="39"/>
        <v>877</v>
      </c>
      <c r="BE47" s="888">
        <f t="shared" si="40"/>
        <v>67</v>
      </c>
      <c r="BF47" s="888">
        <f t="shared" si="41"/>
        <v>12</v>
      </c>
      <c r="BG47" s="888">
        <f t="shared" si="42"/>
        <v>1048</v>
      </c>
      <c r="BH47" s="888">
        <f t="shared" si="43"/>
        <v>991</v>
      </c>
      <c r="BI47" s="888">
        <f t="shared" si="44"/>
        <v>49</v>
      </c>
      <c r="BJ47" s="888">
        <f t="shared" si="45"/>
        <v>8</v>
      </c>
      <c r="BK47" s="888">
        <f t="shared" si="46"/>
        <v>1128</v>
      </c>
      <c r="BL47" s="888">
        <f t="shared" si="47"/>
        <v>1102</v>
      </c>
      <c r="BM47" s="888">
        <f t="shared" si="48"/>
        <v>18</v>
      </c>
      <c r="BN47" s="888">
        <f t="shared" si="49"/>
        <v>8</v>
      </c>
      <c r="BO47" s="888">
        <f t="shared" si="50"/>
        <v>1210</v>
      </c>
      <c r="BP47" s="888">
        <f t="shared" si="51"/>
        <v>1135</v>
      </c>
      <c r="BQ47" s="888">
        <f t="shared" si="52"/>
        <v>71</v>
      </c>
      <c r="BR47" s="888">
        <f t="shared" si="53"/>
        <v>4</v>
      </c>
    </row>
    <row r="48" spans="1:75" x14ac:dyDescent="0.25">
      <c r="A48" s="884" t="s">
        <v>233</v>
      </c>
      <c r="B48" s="884" t="s">
        <v>234</v>
      </c>
      <c r="C48" s="886" t="s">
        <v>112</v>
      </c>
      <c r="D48" s="886">
        <v>38.159999999999997</v>
      </c>
      <c r="E48" s="886" t="s">
        <v>73</v>
      </c>
      <c r="F48" s="887">
        <v>31928</v>
      </c>
      <c r="G48" s="897">
        <v>25228</v>
      </c>
      <c r="H48" s="897">
        <v>18530</v>
      </c>
      <c r="I48" s="897">
        <v>6302</v>
      </c>
      <c r="J48" s="897">
        <v>396</v>
      </c>
      <c r="K48" s="897">
        <v>30006</v>
      </c>
      <c r="L48" s="897">
        <v>24884</v>
      </c>
      <c r="M48" s="897">
        <v>4910</v>
      </c>
      <c r="N48" s="898">
        <v>212</v>
      </c>
      <c r="O48" s="898">
        <v>29848</v>
      </c>
      <c r="P48" s="898">
        <v>26845</v>
      </c>
      <c r="Q48" s="898">
        <v>2874</v>
      </c>
      <c r="R48" s="898">
        <v>129</v>
      </c>
      <c r="S48" s="898">
        <v>28018</v>
      </c>
      <c r="T48" s="898">
        <v>23316</v>
      </c>
      <c r="U48" s="898">
        <v>4578</v>
      </c>
      <c r="V48" s="898">
        <v>124</v>
      </c>
      <c r="W48" s="898">
        <v>25228</v>
      </c>
      <c r="X48" s="898">
        <v>22507</v>
      </c>
      <c r="Y48" s="898">
        <v>1713</v>
      </c>
      <c r="Z48" s="898">
        <v>317</v>
      </c>
      <c r="AA48" s="898">
        <v>26887</v>
      </c>
      <c r="AB48" s="898">
        <v>25430</v>
      </c>
      <c r="AC48" s="898">
        <v>1253</v>
      </c>
      <c r="AD48" s="898">
        <v>204</v>
      </c>
      <c r="AE48" s="898">
        <v>28946</v>
      </c>
      <c r="AF48" s="898">
        <v>28288</v>
      </c>
      <c r="AG48" s="898">
        <v>458</v>
      </c>
      <c r="AH48" s="898">
        <v>200</v>
      </c>
      <c r="AI48" s="898">
        <v>31058</v>
      </c>
      <c r="AJ48" s="898">
        <v>29136</v>
      </c>
      <c r="AK48" s="898">
        <v>1810</v>
      </c>
      <c r="AL48" s="898">
        <v>112</v>
      </c>
      <c r="AM48" s="888">
        <f t="shared" si="22"/>
        <v>25.228000000000002</v>
      </c>
      <c r="AN48" s="888">
        <f t="shared" si="23"/>
        <v>18.53</v>
      </c>
      <c r="AO48" s="888">
        <f t="shared" si="24"/>
        <v>6.3019999999999996</v>
      </c>
      <c r="AP48" s="888">
        <f t="shared" si="25"/>
        <v>0.39600000000000002</v>
      </c>
      <c r="AQ48" s="888">
        <f t="shared" si="26"/>
        <v>30.006</v>
      </c>
      <c r="AR48" s="888">
        <f t="shared" si="27"/>
        <v>24.884</v>
      </c>
      <c r="AS48" s="888">
        <f t="shared" si="28"/>
        <v>4.91</v>
      </c>
      <c r="AT48" s="888">
        <f t="shared" si="29"/>
        <v>0.21199999999999999</v>
      </c>
      <c r="AU48" s="888">
        <f t="shared" si="30"/>
        <v>29.847999999999999</v>
      </c>
      <c r="AV48" s="888">
        <f t="shared" si="31"/>
        <v>26.844999999999999</v>
      </c>
      <c r="AW48" s="888">
        <f t="shared" si="32"/>
        <v>2.8740000000000001</v>
      </c>
      <c r="AX48" s="888">
        <f t="shared" si="33"/>
        <v>0.129</v>
      </c>
      <c r="AY48" s="888">
        <f t="shared" si="34"/>
        <v>28.018000000000001</v>
      </c>
      <c r="AZ48" s="888">
        <f t="shared" si="35"/>
        <v>23.315999999999999</v>
      </c>
      <c r="BA48" s="888">
        <f t="shared" si="36"/>
        <v>4.5780000000000003</v>
      </c>
      <c r="BB48" s="888">
        <f t="shared" si="37"/>
        <v>0.124</v>
      </c>
      <c r="BC48" s="888">
        <f t="shared" si="38"/>
        <v>25.228000000000002</v>
      </c>
      <c r="BD48" s="888">
        <f t="shared" si="39"/>
        <v>22.507000000000001</v>
      </c>
      <c r="BE48" s="888">
        <f t="shared" si="40"/>
        <v>1.7130000000000001</v>
      </c>
      <c r="BF48" s="888">
        <f t="shared" si="41"/>
        <v>0.317</v>
      </c>
      <c r="BG48" s="888">
        <f t="shared" si="42"/>
        <v>26.887</v>
      </c>
      <c r="BH48" s="888">
        <f t="shared" si="43"/>
        <v>25.43</v>
      </c>
      <c r="BI48" s="888">
        <f t="shared" si="44"/>
        <v>1.2529999999999999</v>
      </c>
      <c r="BJ48" s="888">
        <f t="shared" si="45"/>
        <v>0.20399999999999999</v>
      </c>
      <c r="BK48" s="888">
        <f t="shared" si="46"/>
        <v>28.946000000000002</v>
      </c>
      <c r="BL48" s="888">
        <f t="shared" si="47"/>
        <v>28.288</v>
      </c>
      <c r="BM48" s="888">
        <f t="shared" si="48"/>
        <v>0.45800000000000002</v>
      </c>
      <c r="BN48" s="888">
        <f t="shared" si="49"/>
        <v>0.2</v>
      </c>
      <c r="BO48" s="888">
        <f t="shared" si="50"/>
        <v>31.058</v>
      </c>
      <c r="BP48" s="888">
        <f t="shared" si="51"/>
        <v>29.135999999999999</v>
      </c>
      <c r="BQ48" s="888">
        <f t="shared" si="52"/>
        <v>1.81</v>
      </c>
      <c r="BR48" s="888">
        <f t="shared" si="53"/>
        <v>0.112</v>
      </c>
      <c r="BS48" s="904" t="s">
        <v>134</v>
      </c>
    </row>
    <row r="49" spans="1:75" x14ac:dyDescent="0.25">
      <c r="A49" s="890" t="s">
        <v>235</v>
      </c>
      <c r="B49" s="890" t="s">
        <v>236</v>
      </c>
      <c r="C49" s="891" t="s">
        <v>112</v>
      </c>
      <c r="D49" s="891">
        <v>21.5</v>
      </c>
      <c r="E49" s="891" t="s">
        <v>73</v>
      </c>
      <c r="F49" s="893">
        <v>0</v>
      </c>
      <c r="G49" s="897">
        <v>12151</v>
      </c>
      <c r="H49" s="897">
        <v>8925</v>
      </c>
      <c r="I49" s="897">
        <v>3035</v>
      </c>
      <c r="J49" s="897">
        <v>191</v>
      </c>
      <c r="K49" s="897">
        <v>14452</v>
      </c>
      <c r="L49" s="897">
        <v>11985</v>
      </c>
      <c r="M49" s="897">
        <v>2365</v>
      </c>
      <c r="N49" s="898">
        <v>102</v>
      </c>
      <c r="O49" s="898">
        <v>14376</v>
      </c>
      <c r="P49" s="898">
        <v>12930</v>
      </c>
      <c r="Q49" s="898">
        <v>1384</v>
      </c>
      <c r="R49" s="898">
        <v>62</v>
      </c>
      <c r="S49" s="898">
        <v>13495</v>
      </c>
      <c r="T49" s="898">
        <v>11230</v>
      </c>
      <c r="U49" s="898">
        <v>2205</v>
      </c>
      <c r="V49" s="898">
        <v>60</v>
      </c>
      <c r="W49" s="898">
        <v>12151</v>
      </c>
      <c r="X49" s="898">
        <v>10840</v>
      </c>
      <c r="Y49" s="898">
        <v>825</v>
      </c>
      <c r="Z49" s="898">
        <v>153</v>
      </c>
      <c r="AA49" s="898">
        <v>12950</v>
      </c>
      <c r="AB49" s="898">
        <v>12248</v>
      </c>
      <c r="AC49" s="898">
        <v>604</v>
      </c>
      <c r="AD49" s="898">
        <v>98</v>
      </c>
      <c r="AE49" s="898">
        <v>13941</v>
      </c>
      <c r="AF49" s="898">
        <v>13625</v>
      </c>
      <c r="AG49" s="898">
        <v>221</v>
      </c>
      <c r="AH49" s="898">
        <v>96</v>
      </c>
      <c r="AI49" s="898">
        <v>14959</v>
      </c>
      <c r="AJ49" s="898">
        <v>14033</v>
      </c>
      <c r="AK49" s="898">
        <v>872</v>
      </c>
      <c r="AL49" s="898">
        <v>54</v>
      </c>
      <c r="AM49" s="888">
        <f t="shared" si="22"/>
        <v>12.151</v>
      </c>
      <c r="AN49" s="888">
        <f t="shared" si="23"/>
        <v>8.9250000000000007</v>
      </c>
      <c r="AO49" s="888">
        <f t="shared" si="24"/>
        <v>3.0350000000000001</v>
      </c>
      <c r="AP49" s="888">
        <f t="shared" si="25"/>
        <v>0.191</v>
      </c>
      <c r="AQ49" s="888">
        <f t="shared" si="26"/>
        <v>14.452</v>
      </c>
      <c r="AR49" s="888">
        <f t="shared" si="27"/>
        <v>11.984999999999999</v>
      </c>
      <c r="AS49" s="888">
        <f t="shared" si="28"/>
        <v>2.3650000000000002</v>
      </c>
      <c r="AT49" s="888">
        <f t="shared" si="29"/>
        <v>0.10199999999999999</v>
      </c>
      <c r="AU49" s="888">
        <f t="shared" si="30"/>
        <v>14.375999999999999</v>
      </c>
      <c r="AV49" s="888">
        <f t="shared" si="31"/>
        <v>12.93</v>
      </c>
      <c r="AW49" s="888">
        <f t="shared" si="32"/>
        <v>1.3839999999999999</v>
      </c>
      <c r="AX49" s="888">
        <f t="shared" si="33"/>
        <v>6.2E-2</v>
      </c>
      <c r="AY49" s="888">
        <f t="shared" si="34"/>
        <v>13.494999999999999</v>
      </c>
      <c r="AZ49" s="888">
        <f t="shared" si="35"/>
        <v>11.23</v>
      </c>
      <c r="BA49" s="888">
        <f t="shared" si="36"/>
        <v>2.2050000000000001</v>
      </c>
      <c r="BB49" s="888">
        <f t="shared" si="37"/>
        <v>0.06</v>
      </c>
      <c r="BC49" s="888">
        <f t="shared" si="38"/>
        <v>12.151</v>
      </c>
      <c r="BD49" s="888">
        <f t="shared" si="39"/>
        <v>10.84</v>
      </c>
      <c r="BE49" s="888">
        <f t="shared" si="40"/>
        <v>0.82499999999999996</v>
      </c>
      <c r="BF49" s="888">
        <f t="shared" si="41"/>
        <v>0.153</v>
      </c>
      <c r="BG49" s="888">
        <f t="shared" si="42"/>
        <v>12.95</v>
      </c>
      <c r="BH49" s="888">
        <f t="shared" si="43"/>
        <v>12.247999999999999</v>
      </c>
      <c r="BI49" s="888">
        <f t="shared" si="44"/>
        <v>0.60399999999999998</v>
      </c>
      <c r="BJ49" s="888">
        <f t="shared" si="45"/>
        <v>9.8000000000000004E-2</v>
      </c>
      <c r="BK49" s="888">
        <f t="shared" si="46"/>
        <v>13.941000000000001</v>
      </c>
      <c r="BL49" s="888">
        <f t="shared" si="47"/>
        <v>13.625</v>
      </c>
      <c r="BM49" s="888">
        <f t="shared" si="48"/>
        <v>0.221</v>
      </c>
      <c r="BN49" s="888">
        <f t="shared" si="49"/>
        <v>9.6000000000000002E-2</v>
      </c>
      <c r="BO49" s="888">
        <f t="shared" si="50"/>
        <v>14.959</v>
      </c>
      <c r="BP49" s="888">
        <f t="shared" si="51"/>
        <v>14.032999999999999</v>
      </c>
      <c r="BQ49" s="888">
        <f t="shared" si="52"/>
        <v>0.872</v>
      </c>
      <c r="BR49" s="888">
        <f t="shared" si="53"/>
        <v>5.3999999999999999E-2</v>
      </c>
      <c r="BS49" s="904" t="s">
        <v>134</v>
      </c>
      <c r="BT49" s="904" t="s">
        <v>133</v>
      </c>
      <c r="BU49" s="904" t="s">
        <v>133</v>
      </c>
      <c r="BV49" s="904" t="s">
        <v>133</v>
      </c>
      <c r="BW49" s="904" t="s">
        <v>133</v>
      </c>
    </row>
    <row r="50" spans="1:75" x14ac:dyDescent="0.25">
      <c r="A50" s="890" t="s">
        <v>237</v>
      </c>
      <c r="B50" s="890" t="s">
        <v>238</v>
      </c>
      <c r="C50" s="891" t="s">
        <v>112</v>
      </c>
      <c r="D50" s="891">
        <v>24.94</v>
      </c>
      <c r="E50" s="891" t="s">
        <v>73</v>
      </c>
      <c r="F50" s="893">
        <v>0</v>
      </c>
      <c r="G50" s="897">
        <v>14095</v>
      </c>
      <c r="H50" s="897">
        <v>10353</v>
      </c>
      <c r="I50" s="897">
        <v>3521</v>
      </c>
      <c r="J50" s="897">
        <v>221</v>
      </c>
      <c r="K50" s="897">
        <v>16765</v>
      </c>
      <c r="L50" s="897">
        <v>13903</v>
      </c>
      <c r="M50" s="897">
        <v>2743</v>
      </c>
      <c r="N50" s="898">
        <v>119</v>
      </c>
      <c r="O50" s="898">
        <v>16676</v>
      </c>
      <c r="P50" s="898">
        <v>14999</v>
      </c>
      <c r="Q50" s="898">
        <v>1605</v>
      </c>
      <c r="R50" s="898">
        <v>72</v>
      </c>
      <c r="S50" s="898">
        <v>15654</v>
      </c>
      <c r="T50" s="898">
        <v>13027</v>
      </c>
      <c r="U50" s="898">
        <v>2558</v>
      </c>
      <c r="V50" s="898">
        <v>69</v>
      </c>
      <c r="W50" s="898">
        <v>14095</v>
      </c>
      <c r="X50" s="898">
        <v>12575</v>
      </c>
      <c r="Y50" s="898">
        <v>957</v>
      </c>
      <c r="Z50" s="898">
        <v>177</v>
      </c>
      <c r="AA50" s="898">
        <v>15022</v>
      </c>
      <c r="AB50" s="898">
        <v>14208</v>
      </c>
      <c r="AC50" s="898">
        <v>700</v>
      </c>
      <c r="AD50" s="898">
        <v>114</v>
      </c>
      <c r="AE50" s="898">
        <v>16172</v>
      </c>
      <c r="AF50" s="898">
        <v>15804</v>
      </c>
      <c r="AG50" s="898">
        <v>256</v>
      </c>
      <c r="AH50" s="898">
        <v>112</v>
      </c>
      <c r="AI50" s="898">
        <v>17352</v>
      </c>
      <c r="AJ50" s="898">
        <v>16278</v>
      </c>
      <c r="AK50" s="898">
        <v>1011</v>
      </c>
      <c r="AL50" s="898">
        <v>63</v>
      </c>
      <c r="AM50" s="888">
        <f t="shared" si="22"/>
        <v>14.095000000000001</v>
      </c>
      <c r="AN50" s="888">
        <f t="shared" si="23"/>
        <v>10.353</v>
      </c>
      <c r="AO50" s="888">
        <f t="shared" si="24"/>
        <v>3.5209999999999999</v>
      </c>
      <c r="AP50" s="888">
        <f t="shared" si="25"/>
        <v>0.221</v>
      </c>
      <c r="AQ50" s="888">
        <f t="shared" si="26"/>
        <v>16.765000000000001</v>
      </c>
      <c r="AR50" s="888">
        <f t="shared" si="27"/>
        <v>13.903</v>
      </c>
      <c r="AS50" s="888">
        <f t="shared" si="28"/>
        <v>2.7429999999999999</v>
      </c>
      <c r="AT50" s="888">
        <f t="shared" si="29"/>
        <v>0.11899999999999999</v>
      </c>
      <c r="AU50" s="888">
        <f t="shared" si="30"/>
        <v>16.675999999999998</v>
      </c>
      <c r="AV50" s="888">
        <f t="shared" si="31"/>
        <v>14.999000000000001</v>
      </c>
      <c r="AW50" s="888">
        <f t="shared" si="32"/>
        <v>1.605</v>
      </c>
      <c r="AX50" s="888">
        <f t="shared" si="33"/>
        <v>7.1999999999999995E-2</v>
      </c>
      <c r="AY50" s="888">
        <f t="shared" si="34"/>
        <v>15.654</v>
      </c>
      <c r="AZ50" s="888">
        <f t="shared" si="35"/>
        <v>13.026999999999999</v>
      </c>
      <c r="BA50" s="888">
        <f t="shared" si="36"/>
        <v>2.5579999999999998</v>
      </c>
      <c r="BB50" s="888">
        <f t="shared" si="37"/>
        <v>6.9000000000000006E-2</v>
      </c>
      <c r="BC50" s="888">
        <f t="shared" si="38"/>
        <v>14.095000000000001</v>
      </c>
      <c r="BD50" s="888">
        <f t="shared" si="39"/>
        <v>12.574999999999999</v>
      </c>
      <c r="BE50" s="888">
        <f t="shared" si="40"/>
        <v>0.95699999999999996</v>
      </c>
      <c r="BF50" s="888">
        <f t="shared" si="41"/>
        <v>0.17699999999999999</v>
      </c>
      <c r="BG50" s="888">
        <f t="shared" si="42"/>
        <v>15.022</v>
      </c>
      <c r="BH50" s="888">
        <f t="shared" si="43"/>
        <v>14.208</v>
      </c>
      <c r="BI50" s="888">
        <f t="shared" si="44"/>
        <v>0.7</v>
      </c>
      <c r="BJ50" s="888">
        <f t="shared" si="45"/>
        <v>0.114</v>
      </c>
      <c r="BK50" s="888">
        <f t="shared" si="46"/>
        <v>16.172000000000001</v>
      </c>
      <c r="BL50" s="888">
        <f t="shared" si="47"/>
        <v>15.804</v>
      </c>
      <c r="BM50" s="888">
        <f t="shared" si="48"/>
        <v>0.25600000000000001</v>
      </c>
      <c r="BN50" s="888">
        <f t="shared" si="49"/>
        <v>0.112</v>
      </c>
      <c r="BO50" s="888">
        <f t="shared" si="50"/>
        <v>17.352</v>
      </c>
      <c r="BP50" s="888">
        <f t="shared" si="51"/>
        <v>16.277999999999999</v>
      </c>
      <c r="BQ50" s="888">
        <f t="shared" si="52"/>
        <v>1.0109999999999999</v>
      </c>
      <c r="BR50" s="888">
        <f t="shared" si="53"/>
        <v>6.3E-2</v>
      </c>
      <c r="BS50" s="904" t="s">
        <v>134</v>
      </c>
      <c r="BT50" s="904" t="s">
        <v>133</v>
      </c>
      <c r="BU50" s="904" t="s">
        <v>133</v>
      </c>
      <c r="BV50" s="904" t="s">
        <v>133</v>
      </c>
      <c r="BW50" s="904" t="s">
        <v>133</v>
      </c>
    </row>
    <row r="51" spans="1:75" x14ac:dyDescent="0.25">
      <c r="A51" s="884" t="s">
        <v>239</v>
      </c>
      <c r="B51" s="884" t="s">
        <v>240</v>
      </c>
      <c r="C51" s="886" t="s">
        <v>112</v>
      </c>
      <c r="D51" s="886">
        <v>11.06</v>
      </c>
      <c r="E51" s="886" t="s">
        <v>73</v>
      </c>
      <c r="F51" s="887">
        <v>15552</v>
      </c>
      <c r="G51" s="897">
        <v>12662</v>
      </c>
      <c r="H51" s="897">
        <v>9300</v>
      </c>
      <c r="I51" s="897">
        <v>3163</v>
      </c>
      <c r="J51" s="897">
        <v>199</v>
      </c>
      <c r="K51" s="897">
        <v>15060</v>
      </c>
      <c r="L51" s="897">
        <v>12489</v>
      </c>
      <c r="M51" s="897">
        <v>2464</v>
      </c>
      <c r="N51" s="898">
        <v>106</v>
      </c>
      <c r="O51" s="898">
        <v>14980</v>
      </c>
      <c r="P51" s="898">
        <v>13473</v>
      </c>
      <c r="Q51" s="898">
        <v>1442</v>
      </c>
      <c r="R51" s="898">
        <v>65</v>
      </c>
      <c r="S51" s="898">
        <v>14062</v>
      </c>
      <c r="T51" s="898">
        <v>11702</v>
      </c>
      <c r="U51" s="898">
        <v>2298</v>
      </c>
      <c r="V51" s="898">
        <v>62</v>
      </c>
      <c r="W51" s="898">
        <v>12662</v>
      </c>
      <c r="X51" s="898">
        <v>11296</v>
      </c>
      <c r="Y51" s="898">
        <v>860</v>
      </c>
      <c r="Z51" s="898">
        <v>159</v>
      </c>
      <c r="AA51" s="898">
        <v>13494</v>
      </c>
      <c r="AB51" s="898">
        <v>12763</v>
      </c>
      <c r="AC51" s="898">
        <v>629</v>
      </c>
      <c r="AD51" s="898">
        <v>102</v>
      </c>
      <c r="AE51" s="898">
        <v>14528</v>
      </c>
      <c r="AF51" s="898">
        <v>14197</v>
      </c>
      <c r="AG51" s="898">
        <v>230</v>
      </c>
      <c r="AH51" s="898">
        <v>100</v>
      </c>
      <c r="AI51" s="898">
        <v>15588</v>
      </c>
      <c r="AJ51" s="898">
        <v>14623</v>
      </c>
      <c r="AK51" s="898">
        <v>908</v>
      </c>
      <c r="AL51" s="898">
        <v>56</v>
      </c>
      <c r="AM51" s="888">
        <f t="shared" si="22"/>
        <v>12.662000000000001</v>
      </c>
      <c r="AN51" s="888">
        <f t="shared" si="23"/>
        <v>9.3000000000000007</v>
      </c>
      <c r="AO51" s="888">
        <f t="shared" si="24"/>
        <v>3.1629999999999998</v>
      </c>
      <c r="AP51" s="888">
        <f t="shared" si="25"/>
        <v>0.19900000000000001</v>
      </c>
      <c r="AQ51" s="888">
        <f t="shared" si="26"/>
        <v>15.06</v>
      </c>
      <c r="AR51" s="888">
        <f t="shared" si="27"/>
        <v>12.489000000000001</v>
      </c>
      <c r="AS51" s="888">
        <f t="shared" si="28"/>
        <v>2.464</v>
      </c>
      <c r="AT51" s="888">
        <f t="shared" si="29"/>
        <v>0.106</v>
      </c>
      <c r="AU51" s="888">
        <f t="shared" si="30"/>
        <v>14.98</v>
      </c>
      <c r="AV51" s="888">
        <f t="shared" si="31"/>
        <v>13.473000000000001</v>
      </c>
      <c r="AW51" s="888">
        <f t="shared" si="32"/>
        <v>1.4419999999999999</v>
      </c>
      <c r="AX51" s="888">
        <f t="shared" si="33"/>
        <v>6.5000000000000002E-2</v>
      </c>
      <c r="AY51" s="888">
        <f t="shared" si="34"/>
        <v>14.061999999999999</v>
      </c>
      <c r="AZ51" s="888">
        <f t="shared" si="35"/>
        <v>11.702</v>
      </c>
      <c r="BA51" s="888">
        <f t="shared" si="36"/>
        <v>2.298</v>
      </c>
      <c r="BB51" s="888">
        <f t="shared" si="37"/>
        <v>6.2E-2</v>
      </c>
      <c r="BC51" s="888">
        <f t="shared" si="38"/>
        <v>12.662000000000001</v>
      </c>
      <c r="BD51" s="888">
        <f t="shared" si="39"/>
        <v>11.295999999999999</v>
      </c>
      <c r="BE51" s="888">
        <f t="shared" si="40"/>
        <v>0.86</v>
      </c>
      <c r="BF51" s="888">
        <f t="shared" si="41"/>
        <v>0.159</v>
      </c>
      <c r="BG51" s="888">
        <f t="shared" si="42"/>
        <v>13.494</v>
      </c>
      <c r="BH51" s="888">
        <f t="shared" si="43"/>
        <v>12.763</v>
      </c>
      <c r="BI51" s="888">
        <f t="shared" si="44"/>
        <v>0.629</v>
      </c>
      <c r="BJ51" s="888">
        <f t="shared" si="45"/>
        <v>0.10199999999999999</v>
      </c>
      <c r="BK51" s="888">
        <f t="shared" si="46"/>
        <v>14.528</v>
      </c>
      <c r="BL51" s="888">
        <f t="shared" si="47"/>
        <v>14.196999999999999</v>
      </c>
      <c r="BM51" s="888">
        <f t="shared" si="48"/>
        <v>0.23</v>
      </c>
      <c r="BN51" s="888">
        <f t="shared" si="49"/>
        <v>0.1</v>
      </c>
      <c r="BO51" s="888">
        <f t="shared" si="50"/>
        <v>15.587999999999999</v>
      </c>
      <c r="BP51" s="888">
        <f t="shared" si="51"/>
        <v>14.622999999999999</v>
      </c>
      <c r="BQ51" s="888">
        <f t="shared" si="52"/>
        <v>0.90800000000000003</v>
      </c>
      <c r="BR51" s="888">
        <f t="shared" si="53"/>
        <v>5.6000000000000001E-2</v>
      </c>
      <c r="BS51" s="904" t="s">
        <v>134</v>
      </c>
    </row>
    <row r="52" spans="1:75" x14ac:dyDescent="0.25">
      <c r="A52" s="884" t="s">
        <v>241</v>
      </c>
      <c r="B52" s="884" t="s">
        <v>242</v>
      </c>
      <c r="C52" s="886" t="s">
        <v>112</v>
      </c>
      <c r="D52" s="886">
        <v>10.7</v>
      </c>
      <c r="E52" s="886" t="s">
        <v>73</v>
      </c>
      <c r="F52" s="887">
        <v>13259</v>
      </c>
      <c r="G52" s="897">
        <v>12251</v>
      </c>
      <c r="H52" s="897">
        <v>8999</v>
      </c>
      <c r="I52" s="897">
        <v>3060</v>
      </c>
      <c r="J52" s="897">
        <v>192</v>
      </c>
      <c r="K52" s="897">
        <v>14572</v>
      </c>
      <c r="L52" s="897">
        <v>12084</v>
      </c>
      <c r="M52" s="897">
        <v>2385</v>
      </c>
      <c r="N52" s="898">
        <v>103</v>
      </c>
      <c r="O52" s="898">
        <v>14495</v>
      </c>
      <c r="P52" s="898">
        <v>13037</v>
      </c>
      <c r="Q52" s="898">
        <v>1395</v>
      </c>
      <c r="R52" s="898">
        <v>63</v>
      </c>
      <c r="S52" s="898">
        <v>13606</v>
      </c>
      <c r="T52" s="898">
        <v>11323</v>
      </c>
      <c r="U52" s="898">
        <v>2223</v>
      </c>
      <c r="V52" s="898">
        <v>60</v>
      </c>
      <c r="W52" s="898">
        <v>12251</v>
      </c>
      <c r="X52" s="898">
        <v>10930</v>
      </c>
      <c r="Y52" s="898">
        <v>832</v>
      </c>
      <c r="Z52" s="898">
        <v>154</v>
      </c>
      <c r="AA52" s="898">
        <v>13057</v>
      </c>
      <c r="AB52" s="898">
        <v>12349</v>
      </c>
      <c r="AC52" s="898">
        <v>609</v>
      </c>
      <c r="AD52" s="898">
        <v>99</v>
      </c>
      <c r="AE52" s="898">
        <v>14057</v>
      </c>
      <c r="AF52" s="898">
        <v>13737</v>
      </c>
      <c r="AG52" s="898">
        <v>223</v>
      </c>
      <c r="AH52" s="898">
        <v>97</v>
      </c>
      <c r="AI52" s="898">
        <v>15082</v>
      </c>
      <c r="AJ52" s="898">
        <v>14149</v>
      </c>
      <c r="AK52" s="898">
        <v>879</v>
      </c>
      <c r="AL52" s="898">
        <v>54</v>
      </c>
      <c r="AM52" s="888">
        <f t="shared" si="22"/>
        <v>12.250999999999999</v>
      </c>
      <c r="AN52" s="888">
        <f t="shared" si="23"/>
        <v>8.9990000000000006</v>
      </c>
      <c r="AO52" s="888">
        <f t="shared" si="24"/>
        <v>3.06</v>
      </c>
      <c r="AP52" s="888">
        <f t="shared" si="25"/>
        <v>0.192</v>
      </c>
      <c r="AQ52" s="888">
        <f t="shared" si="26"/>
        <v>14.571999999999999</v>
      </c>
      <c r="AR52" s="888">
        <f t="shared" si="27"/>
        <v>12.084</v>
      </c>
      <c r="AS52" s="888">
        <f t="shared" si="28"/>
        <v>2.3849999999999998</v>
      </c>
      <c r="AT52" s="888">
        <f t="shared" si="29"/>
        <v>0.10299999999999999</v>
      </c>
      <c r="AU52" s="888">
        <f t="shared" si="30"/>
        <v>14.494999999999999</v>
      </c>
      <c r="AV52" s="888">
        <f t="shared" si="31"/>
        <v>13.037000000000001</v>
      </c>
      <c r="AW52" s="888">
        <f t="shared" si="32"/>
        <v>1.395</v>
      </c>
      <c r="AX52" s="888">
        <f t="shared" si="33"/>
        <v>6.3E-2</v>
      </c>
      <c r="AY52" s="888">
        <f t="shared" si="34"/>
        <v>13.606</v>
      </c>
      <c r="AZ52" s="888">
        <f t="shared" si="35"/>
        <v>11.323</v>
      </c>
      <c r="BA52" s="888">
        <f t="shared" si="36"/>
        <v>2.2229999999999999</v>
      </c>
      <c r="BB52" s="888">
        <f t="shared" si="37"/>
        <v>0.06</v>
      </c>
      <c r="BC52" s="888">
        <f t="shared" si="38"/>
        <v>12.250999999999999</v>
      </c>
      <c r="BD52" s="888">
        <f t="shared" si="39"/>
        <v>10.93</v>
      </c>
      <c r="BE52" s="888">
        <f t="shared" si="40"/>
        <v>0.83199999999999996</v>
      </c>
      <c r="BF52" s="888">
        <f t="shared" si="41"/>
        <v>0.154</v>
      </c>
      <c r="BG52" s="888">
        <f t="shared" si="42"/>
        <v>13.057</v>
      </c>
      <c r="BH52" s="888">
        <f t="shared" si="43"/>
        <v>12.349</v>
      </c>
      <c r="BI52" s="888">
        <f t="shared" si="44"/>
        <v>0.60899999999999999</v>
      </c>
      <c r="BJ52" s="888">
        <f t="shared" si="45"/>
        <v>9.9000000000000005E-2</v>
      </c>
      <c r="BK52" s="888">
        <f t="shared" si="46"/>
        <v>14.057</v>
      </c>
      <c r="BL52" s="888">
        <f t="shared" si="47"/>
        <v>13.737</v>
      </c>
      <c r="BM52" s="888">
        <f t="shared" si="48"/>
        <v>0.223</v>
      </c>
      <c r="BN52" s="888">
        <f t="shared" si="49"/>
        <v>9.7000000000000003E-2</v>
      </c>
      <c r="BO52" s="888">
        <f t="shared" si="50"/>
        <v>15.082000000000001</v>
      </c>
      <c r="BP52" s="888">
        <f t="shared" si="51"/>
        <v>14.148999999999999</v>
      </c>
      <c r="BQ52" s="888">
        <f t="shared" si="52"/>
        <v>0.879</v>
      </c>
      <c r="BR52" s="888">
        <f t="shared" si="53"/>
        <v>5.3999999999999999E-2</v>
      </c>
      <c r="BS52" s="904" t="s">
        <v>134</v>
      </c>
    </row>
    <row r="53" spans="1:75" x14ac:dyDescent="0.25">
      <c r="A53" s="884" t="s">
        <v>243</v>
      </c>
      <c r="B53" s="884" t="s">
        <v>244</v>
      </c>
      <c r="C53" s="886" t="s">
        <v>112</v>
      </c>
      <c r="D53" s="886">
        <v>10.54</v>
      </c>
      <c r="E53" s="886" t="s">
        <v>73</v>
      </c>
      <c r="F53" s="887">
        <v>11306</v>
      </c>
      <c r="G53" s="897">
        <v>12065</v>
      </c>
      <c r="H53" s="897">
        <v>8862</v>
      </c>
      <c r="I53" s="897">
        <v>3014</v>
      </c>
      <c r="J53" s="897">
        <v>189</v>
      </c>
      <c r="K53" s="897">
        <v>14350</v>
      </c>
      <c r="L53" s="897">
        <v>11900</v>
      </c>
      <c r="M53" s="897">
        <v>2348</v>
      </c>
      <c r="N53" s="898">
        <v>101</v>
      </c>
      <c r="O53" s="898">
        <v>14274</v>
      </c>
      <c r="P53" s="898">
        <v>12838</v>
      </c>
      <c r="Q53" s="898">
        <v>1374</v>
      </c>
      <c r="R53" s="898">
        <v>62</v>
      </c>
      <c r="S53" s="898">
        <v>13399</v>
      </c>
      <c r="T53" s="898">
        <v>11151</v>
      </c>
      <c r="U53" s="898">
        <v>2189</v>
      </c>
      <c r="V53" s="898">
        <v>59</v>
      </c>
      <c r="W53" s="898">
        <v>12065</v>
      </c>
      <c r="X53" s="898">
        <v>10764</v>
      </c>
      <c r="Y53" s="898">
        <v>819</v>
      </c>
      <c r="Z53" s="898">
        <v>152</v>
      </c>
      <c r="AA53" s="898">
        <v>12858</v>
      </c>
      <c r="AB53" s="898">
        <v>12162</v>
      </c>
      <c r="AC53" s="898">
        <v>599</v>
      </c>
      <c r="AD53" s="898">
        <v>98</v>
      </c>
      <c r="AE53" s="898">
        <v>13843</v>
      </c>
      <c r="AF53" s="898">
        <v>13528</v>
      </c>
      <c r="AG53" s="898">
        <v>219</v>
      </c>
      <c r="AH53" s="898">
        <v>95</v>
      </c>
      <c r="AI53" s="898">
        <v>14853</v>
      </c>
      <c r="AJ53" s="898">
        <v>13934</v>
      </c>
      <c r="AK53" s="898">
        <v>866</v>
      </c>
      <c r="AL53" s="898">
        <v>54</v>
      </c>
      <c r="AM53" s="888">
        <f t="shared" si="22"/>
        <v>12.065</v>
      </c>
      <c r="AN53" s="888">
        <f t="shared" si="23"/>
        <v>8.8620000000000001</v>
      </c>
      <c r="AO53" s="888">
        <f t="shared" si="24"/>
        <v>3.0139999999999998</v>
      </c>
      <c r="AP53" s="888">
        <f t="shared" si="25"/>
        <v>0.189</v>
      </c>
      <c r="AQ53" s="888">
        <f t="shared" si="26"/>
        <v>14.35</v>
      </c>
      <c r="AR53" s="888">
        <f t="shared" si="27"/>
        <v>11.9</v>
      </c>
      <c r="AS53" s="888">
        <f t="shared" si="28"/>
        <v>2.3479999999999999</v>
      </c>
      <c r="AT53" s="888">
        <f t="shared" si="29"/>
        <v>0.10100000000000001</v>
      </c>
      <c r="AU53" s="888">
        <f t="shared" si="30"/>
        <v>14.273999999999999</v>
      </c>
      <c r="AV53" s="888">
        <f t="shared" si="31"/>
        <v>12.837999999999999</v>
      </c>
      <c r="AW53" s="888">
        <f t="shared" si="32"/>
        <v>1.3740000000000001</v>
      </c>
      <c r="AX53" s="888">
        <f t="shared" si="33"/>
        <v>6.2E-2</v>
      </c>
      <c r="AY53" s="888">
        <f t="shared" si="34"/>
        <v>13.398999999999999</v>
      </c>
      <c r="AZ53" s="888">
        <f t="shared" si="35"/>
        <v>11.151</v>
      </c>
      <c r="BA53" s="888">
        <f t="shared" si="36"/>
        <v>2.1890000000000001</v>
      </c>
      <c r="BB53" s="888">
        <f t="shared" si="37"/>
        <v>5.8999999999999997E-2</v>
      </c>
      <c r="BC53" s="888">
        <f t="shared" si="38"/>
        <v>12.065</v>
      </c>
      <c r="BD53" s="888">
        <f t="shared" si="39"/>
        <v>10.763999999999999</v>
      </c>
      <c r="BE53" s="888">
        <f t="shared" si="40"/>
        <v>0.81899999999999995</v>
      </c>
      <c r="BF53" s="888">
        <f t="shared" si="41"/>
        <v>0.152</v>
      </c>
      <c r="BG53" s="888">
        <f t="shared" si="42"/>
        <v>12.858000000000001</v>
      </c>
      <c r="BH53" s="888">
        <f t="shared" si="43"/>
        <v>12.162000000000001</v>
      </c>
      <c r="BI53" s="888">
        <f t="shared" si="44"/>
        <v>0.59899999999999998</v>
      </c>
      <c r="BJ53" s="888">
        <f t="shared" si="45"/>
        <v>9.8000000000000004E-2</v>
      </c>
      <c r="BK53" s="888">
        <f t="shared" si="46"/>
        <v>13.843</v>
      </c>
      <c r="BL53" s="888">
        <f t="shared" si="47"/>
        <v>13.528</v>
      </c>
      <c r="BM53" s="888">
        <f t="shared" si="48"/>
        <v>0.219</v>
      </c>
      <c r="BN53" s="888">
        <f t="shared" si="49"/>
        <v>9.5000000000000001E-2</v>
      </c>
      <c r="BO53" s="888">
        <f t="shared" si="50"/>
        <v>14.853</v>
      </c>
      <c r="BP53" s="888">
        <f t="shared" si="51"/>
        <v>13.933999999999999</v>
      </c>
      <c r="BQ53" s="888">
        <f t="shared" si="52"/>
        <v>0.86599999999999999</v>
      </c>
      <c r="BR53" s="888">
        <f t="shared" si="53"/>
        <v>5.3999999999999999E-2</v>
      </c>
      <c r="BS53" s="904" t="s">
        <v>134</v>
      </c>
    </row>
    <row r="54" spans="1:75" x14ac:dyDescent="0.25">
      <c r="A54" s="884" t="s">
        <v>245</v>
      </c>
      <c r="B54" s="884" t="s">
        <v>246</v>
      </c>
      <c r="C54" s="886" t="s">
        <v>112</v>
      </c>
      <c r="D54" s="886">
        <v>10.43</v>
      </c>
      <c r="E54" s="886" t="s">
        <v>73</v>
      </c>
      <c r="F54" s="887">
        <v>11306</v>
      </c>
      <c r="G54" s="897">
        <v>11944</v>
      </c>
      <c r="H54" s="897">
        <v>8773</v>
      </c>
      <c r="I54" s="897">
        <v>2983</v>
      </c>
      <c r="J54" s="897">
        <v>187</v>
      </c>
      <c r="K54" s="897">
        <v>14206</v>
      </c>
      <c r="L54" s="897">
        <v>11781</v>
      </c>
      <c r="M54" s="897">
        <v>2325</v>
      </c>
      <c r="N54" s="898">
        <v>100</v>
      </c>
      <c r="O54" s="898">
        <v>14131</v>
      </c>
      <c r="P54" s="898">
        <v>12709</v>
      </c>
      <c r="Q54" s="898">
        <v>1360</v>
      </c>
      <c r="R54" s="898">
        <v>61</v>
      </c>
      <c r="S54" s="898">
        <v>13265</v>
      </c>
      <c r="T54" s="898">
        <v>11039</v>
      </c>
      <c r="U54" s="898">
        <v>2167</v>
      </c>
      <c r="V54" s="898">
        <v>59</v>
      </c>
      <c r="W54" s="898">
        <v>11944</v>
      </c>
      <c r="X54" s="898">
        <v>10656</v>
      </c>
      <c r="Y54" s="898">
        <v>811</v>
      </c>
      <c r="Z54" s="898">
        <v>150</v>
      </c>
      <c r="AA54" s="898">
        <v>12729</v>
      </c>
      <c r="AB54" s="898">
        <v>12039</v>
      </c>
      <c r="AC54" s="898">
        <v>593</v>
      </c>
      <c r="AD54" s="898">
        <v>97</v>
      </c>
      <c r="AE54" s="898">
        <v>13704</v>
      </c>
      <c r="AF54" s="898">
        <v>13392</v>
      </c>
      <c r="AG54" s="898">
        <v>217</v>
      </c>
      <c r="AH54" s="898">
        <v>94</v>
      </c>
      <c r="AI54" s="898">
        <v>14704</v>
      </c>
      <c r="AJ54" s="898">
        <v>13794</v>
      </c>
      <c r="AK54" s="898">
        <v>857</v>
      </c>
      <c r="AL54" s="898">
        <v>53</v>
      </c>
      <c r="AM54" s="888">
        <f t="shared" si="22"/>
        <v>11.944000000000001</v>
      </c>
      <c r="AN54" s="888">
        <f t="shared" si="23"/>
        <v>8.7729999999999997</v>
      </c>
      <c r="AO54" s="888">
        <f t="shared" si="24"/>
        <v>2.9830000000000001</v>
      </c>
      <c r="AP54" s="888">
        <f t="shared" si="25"/>
        <v>0.187</v>
      </c>
      <c r="AQ54" s="888">
        <f t="shared" si="26"/>
        <v>14.206</v>
      </c>
      <c r="AR54" s="888">
        <f t="shared" si="27"/>
        <v>11.781000000000001</v>
      </c>
      <c r="AS54" s="888">
        <f t="shared" si="28"/>
        <v>2.3250000000000002</v>
      </c>
      <c r="AT54" s="888">
        <f t="shared" si="29"/>
        <v>0.1</v>
      </c>
      <c r="AU54" s="888">
        <f t="shared" si="30"/>
        <v>14.131</v>
      </c>
      <c r="AV54" s="888">
        <f t="shared" si="31"/>
        <v>12.709</v>
      </c>
      <c r="AW54" s="888">
        <f t="shared" si="32"/>
        <v>1.36</v>
      </c>
      <c r="AX54" s="888">
        <f t="shared" si="33"/>
        <v>6.0999999999999999E-2</v>
      </c>
      <c r="AY54" s="888">
        <f t="shared" si="34"/>
        <v>13.265000000000001</v>
      </c>
      <c r="AZ54" s="888">
        <f t="shared" si="35"/>
        <v>11.039</v>
      </c>
      <c r="BA54" s="888">
        <f t="shared" si="36"/>
        <v>2.1669999999999998</v>
      </c>
      <c r="BB54" s="888">
        <f t="shared" si="37"/>
        <v>5.8999999999999997E-2</v>
      </c>
      <c r="BC54" s="888">
        <f t="shared" si="38"/>
        <v>11.944000000000001</v>
      </c>
      <c r="BD54" s="888">
        <f t="shared" si="39"/>
        <v>10.656000000000001</v>
      </c>
      <c r="BE54" s="888">
        <f t="shared" si="40"/>
        <v>0.81100000000000005</v>
      </c>
      <c r="BF54" s="888">
        <f t="shared" si="41"/>
        <v>0.15</v>
      </c>
      <c r="BG54" s="888">
        <f t="shared" si="42"/>
        <v>12.728999999999999</v>
      </c>
      <c r="BH54" s="888">
        <f t="shared" si="43"/>
        <v>12.039</v>
      </c>
      <c r="BI54" s="888">
        <f t="shared" si="44"/>
        <v>0.59299999999999997</v>
      </c>
      <c r="BJ54" s="888">
        <f t="shared" si="45"/>
        <v>9.7000000000000003E-2</v>
      </c>
      <c r="BK54" s="888">
        <f t="shared" si="46"/>
        <v>13.704000000000001</v>
      </c>
      <c r="BL54" s="888">
        <f t="shared" si="47"/>
        <v>13.391999999999999</v>
      </c>
      <c r="BM54" s="888">
        <f t="shared" si="48"/>
        <v>0.217</v>
      </c>
      <c r="BN54" s="888">
        <f t="shared" si="49"/>
        <v>9.4E-2</v>
      </c>
      <c r="BO54" s="888">
        <f t="shared" si="50"/>
        <v>14.704000000000001</v>
      </c>
      <c r="BP54" s="888">
        <f t="shared" si="51"/>
        <v>13.794</v>
      </c>
      <c r="BQ54" s="888">
        <f t="shared" si="52"/>
        <v>0.85699999999999998</v>
      </c>
      <c r="BR54" s="888">
        <f t="shared" si="53"/>
        <v>5.2999999999999999E-2</v>
      </c>
      <c r="BS54" s="904" t="s">
        <v>134</v>
      </c>
    </row>
    <row r="55" spans="1:75" x14ac:dyDescent="0.25">
      <c r="A55" s="884" t="s">
        <v>247</v>
      </c>
      <c r="B55" s="884" t="s">
        <v>248</v>
      </c>
      <c r="C55" s="886" t="s">
        <v>112</v>
      </c>
      <c r="D55" s="886">
        <v>10.32</v>
      </c>
      <c r="E55" s="886" t="s">
        <v>73</v>
      </c>
      <c r="F55" s="887">
        <v>10299</v>
      </c>
      <c r="G55" s="897">
        <v>11817</v>
      </c>
      <c r="H55" s="897">
        <v>8679</v>
      </c>
      <c r="I55" s="897">
        <v>2952</v>
      </c>
      <c r="J55" s="897">
        <v>185</v>
      </c>
      <c r="K55" s="897">
        <v>14055</v>
      </c>
      <c r="L55" s="897">
        <v>11655</v>
      </c>
      <c r="M55" s="897">
        <v>2300</v>
      </c>
      <c r="N55" s="898">
        <v>99</v>
      </c>
      <c r="O55" s="898">
        <v>13981</v>
      </c>
      <c r="P55" s="898">
        <v>12574</v>
      </c>
      <c r="Q55" s="898">
        <v>1346</v>
      </c>
      <c r="R55" s="898">
        <v>60</v>
      </c>
      <c r="S55" s="898">
        <v>13124</v>
      </c>
      <c r="T55" s="898">
        <v>10921</v>
      </c>
      <c r="U55" s="898">
        <v>2144</v>
      </c>
      <c r="V55" s="898">
        <v>58</v>
      </c>
      <c r="W55" s="898">
        <v>11817</v>
      </c>
      <c r="X55" s="898">
        <v>10542</v>
      </c>
      <c r="Y55" s="898">
        <v>802</v>
      </c>
      <c r="Z55" s="898">
        <v>148</v>
      </c>
      <c r="AA55" s="898">
        <v>12594</v>
      </c>
      <c r="AB55" s="898">
        <v>11911</v>
      </c>
      <c r="AC55" s="898">
        <v>587</v>
      </c>
      <c r="AD55" s="898">
        <v>96</v>
      </c>
      <c r="AE55" s="898">
        <v>13558</v>
      </c>
      <c r="AF55" s="898">
        <v>13250</v>
      </c>
      <c r="AG55" s="898">
        <v>215</v>
      </c>
      <c r="AH55" s="898">
        <v>93</v>
      </c>
      <c r="AI55" s="898">
        <v>14547</v>
      </c>
      <c r="AJ55" s="898">
        <v>13647</v>
      </c>
      <c r="AK55" s="898">
        <v>848</v>
      </c>
      <c r="AL55" s="898">
        <v>53</v>
      </c>
      <c r="AM55" s="888">
        <f t="shared" si="22"/>
        <v>11.817</v>
      </c>
      <c r="AN55" s="888">
        <f t="shared" si="23"/>
        <v>8.6790000000000003</v>
      </c>
      <c r="AO55" s="888">
        <f t="shared" si="24"/>
        <v>2.952</v>
      </c>
      <c r="AP55" s="888">
        <f t="shared" si="25"/>
        <v>0.185</v>
      </c>
      <c r="AQ55" s="888">
        <f t="shared" si="26"/>
        <v>14.055</v>
      </c>
      <c r="AR55" s="888">
        <f t="shared" si="27"/>
        <v>11.654999999999999</v>
      </c>
      <c r="AS55" s="888">
        <f t="shared" si="28"/>
        <v>2.2999999999999998</v>
      </c>
      <c r="AT55" s="888">
        <f t="shared" si="29"/>
        <v>9.9000000000000005E-2</v>
      </c>
      <c r="AU55" s="888">
        <f t="shared" si="30"/>
        <v>13.981</v>
      </c>
      <c r="AV55" s="888">
        <f t="shared" si="31"/>
        <v>12.574</v>
      </c>
      <c r="AW55" s="888">
        <f t="shared" si="32"/>
        <v>1.3460000000000001</v>
      </c>
      <c r="AX55" s="888">
        <f t="shared" si="33"/>
        <v>0.06</v>
      </c>
      <c r="AY55" s="888">
        <f t="shared" si="34"/>
        <v>13.124000000000001</v>
      </c>
      <c r="AZ55" s="888">
        <f t="shared" si="35"/>
        <v>10.920999999999999</v>
      </c>
      <c r="BA55" s="888">
        <f t="shared" si="36"/>
        <v>2.1440000000000001</v>
      </c>
      <c r="BB55" s="888">
        <f t="shared" si="37"/>
        <v>5.8000000000000003E-2</v>
      </c>
      <c r="BC55" s="888">
        <f t="shared" si="38"/>
        <v>11.817</v>
      </c>
      <c r="BD55" s="888">
        <f t="shared" si="39"/>
        <v>10.542</v>
      </c>
      <c r="BE55" s="888">
        <f t="shared" si="40"/>
        <v>0.80200000000000005</v>
      </c>
      <c r="BF55" s="888">
        <f t="shared" si="41"/>
        <v>0.14799999999999999</v>
      </c>
      <c r="BG55" s="888">
        <f t="shared" si="42"/>
        <v>12.593999999999999</v>
      </c>
      <c r="BH55" s="888">
        <f t="shared" si="43"/>
        <v>11.911</v>
      </c>
      <c r="BI55" s="888">
        <f t="shared" si="44"/>
        <v>0.58699999999999997</v>
      </c>
      <c r="BJ55" s="888">
        <f t="shared" si="45"/>
        <v>9.6000000000000002E-2</v>
      </c>
      <c r="BK55" s="888">
        <f t="shared" si="46"/>
        <v>13.558</v>
      </c>
      <c r="BL55" s="888">
        <f t="shared" si="47"/>
        <v>13.25</v>
      </c>
      <c r="BM55" s="888">
        <f t="shared" si="48"/>
        <v>0.215</v>
      </c>
      <c r="BN55" s="888">
        <f t="shared" si="49"/>
        <v>9.2999999999999999E-2</v>
      </c>
      <c r="BO55" s="888">
        <f t="shared" si="50"/>
        <v>14.547000000000001</v>
      </c>
      <c r="BP55" s="888">
        <f t="shared" si="51"/>
        <v>13.647</v>
      </c>
      <c r="BQ55" s="888">
        <f t="shared" si="52"/>
        <v>0.84799999999999998</v>
      </c>
      <c r="BR55" s="888">
        <f t="shared" si="53"/>
        <v>5.2999999999999999E-2</v>
      </c>
      <c r="BS55" s="904" t="s">
        <v>134</v>
      </c>
    </row>
    <row r="56" spans="1:75" x14ac:dyDescent="0.25">
      <c r="A56" s="884" t="s">
        <v>249</v>
      </c>
      <c r="B56" s="884" t="s">
        <v>250</v>
      </c>
      <c r="C56" s="886" t="s">
        <v>112</v>
      </c>
      <c r="D56" s="886">
        <v>10.220000000000001</v>
      </c>
      <c r="E56" s="886" t="s">
        <v>73</v>
      </c>
      <c r="F56" s="887">
        <v>9640</v>
      </c>
      <c r="G56" s="897">
        <v>11698</v>
      </c>
      <c r="H56" s="897">
        <v>8592</v>
      </c>
      <c r="I56" s="897">
        <v>2922</v>
      </c>
      <c r="J56" s="897">
        <v>184</v>
      </c>
      <c r="K56" s="897">
        <v>13914</v>
      </c>
      <c r="L56" s="897">
        <v>11538</v>
      </c>
      <c r="M56" s="897">
        <v>2277</v>
      </c>
      <c r="N56" s="898">
        <v>98</v>
      </c>
      <c r="O56" s="898">
        <v>13840</v>
      </c>
      <c r="P56" s="898">
        <v>12448</v>
      </c>
      <c r="Q56" s="898">
        <v>1332</v>
      </c>
      <c r="R56" s="898">
        <v>60</v>
      </c>
      <c r="S56" s="898">
        <v>12992</v>
      </c>
      <c r="T56" s="898">
        <v>10812</v>
      </c>
      <c r="U56" s="898">
        <v>2123</v>
      </c>
      <c r="V56" s="898">
        <v>57</v>
      </c>
      <c r="W56" s="898">
        <v>11698</v>
      </c>
      <c r="X56" s="898">
        <v>10436</v>
      </c>
      <c r="Y56" s="898">
        <v>794</v>
      </c>
      <c r="Z56" s="898">
        <v>147</v>
      </c>
      <c r="AA56" s="898">
        <v>12467</v>
      </c>
      <c r="AB56" s="898">
        <v>11792</v>
      </c>
      <c r="AC56" s="898">
        <v>581</v>
      </c>
      <c r="AD56" s="898">
        <v>95</v>
      </c>
      <c r="AE56" s="898">
        <v>13422</v>
      </c>
      <c r="AF56" s="898">
        <v>13117</v>
      </c>
      <c r="AG56" s="898">
        <v>212</v>
      </c>
      <c r="AH56" s="898">
        <v>93</v>
      </c>
      <c r="AI56" s="898">
        <v>14401</v>
      </c>
      <c r="AJ56" s="898">
        <v>13510</v>
      </c>
      <c r="AK56" s="898">
        <v>839</v>
      </c>
      <c r="AL56" s="898">
        <v>52</v>
      </c>
      <c r="AM56" s="888">
        <f t="shared" si="22"/>
        <v>11.698</v>
      </c>
      <c r="AN56" s="888">
        <f t="shared" si="23"/>
        <v>8.5920000000000005</v>
      </c>
      <c r="AO56" s="888">
        <f t="shared" si="24"/>
        <v>2.9220000000000002</v>
      </c>
      <c r="AP56" s="888">
        <f t="shared" si="25"/>
        <v>0.184</v>
      </c>
      <c r="AQ56" s="888">
        <f t="shared" si="26"/>
        <v>13.914</v>
      </c>
      <c r="AR56" s="888">
        <f t="shared" si="27"/>
        <v>11.538</v>
      </c>
      <c r="AS56" s="888">
        <f t="shared" si="28"/>
        <v>2.2770000000000001</v>
      </c>
      <c r="AT56" s="888">
        <f t="shared" si="29"/>
        <v>9.8000000000000004E-2</v>
      </c>
      <c r="AU56" s="888">
        <f t="shared" si="30"/>
        <v>13.84</v>
      </c>
      <c r="AV56" s="888">
        <f t="shared" si="31"/>
        <v>12.448</v>
      </c>
      <c r="AW56" s="888">
        <f t="shared" si="32"/>
        <v>1.3320000000000001</v>
      </c>
      <c r="AX56" s="888">
        <f t="shared" si="33"/>
        <v>0.06</v>
      </c>
      <c r="AY56" s="888">
        <f t="shared" si="34"/>
        <v>12.992000000000001</v>
      </c>
      <c r="AZ56" s="888">
        <f t="shared" si="35"/>
        <v>10.811999999999999</v>
      </c>
      <c r="BA56" s="888">
        <f t="shared" si="36"/>
        <v>2.1230000000000002</v>
      </c>
      <c r="BB56" s="888">
        <f t="shared" si="37"/>
        <v>5.7000000000000002E-2</v>
      </c>
      <c r="BC56" s="888">
        <f t="shared" si="38"/>
        <v>11.698</v>
      </c>
      <c r="BD56" s="888">
        <f t="shared" si="39"/>
        <v>10.436</v>
      </c>
      <c r="BE56" s="888">
        <f t="shared" si="40"/>
        <v>0.79400000000000004</v>
      </c>
      <c r="BF56" s="888">
        <f t="shared" si="41"/>
        <v>0.14699999999999999</v>
      </c>
      <c r="BG56" s="888">
        <f t="shared" si="42"/>
        <v>12.467000000000001</v>
      </c>
      <c r="BH56" s="888">
        <f t="shared" si="43"/>
        <v>11.792</v>
      </c>
      <c r="BI56" s="888">
        <f t="shared" si="44"/>
        <v>0.58099999999999996</v>
      </c>
      <c r="BJ56" s="888">
        <f t="shared" si="45"/>
        <v>9.5000000000000001E-2</v>
      </c>
      <c r="BK56" s="888">
        <f t="shared" si="46"/>
        <v>13.422000000000001</v>
      </c>
      <c r="BL56" s="888">
        <f t="shared" si="47"/>
        <v>13.117000000000001</v>
      </c>
      <c r="BM56" s="888">
        <f t="shared" si="48"/>
        <v>0.21199999999999999</v>
      </c>
      <c r="BN56" s="888">
        <f t="shared" si="49"/>
        <v>9.2999999999999999E-2</v>
      </c>
      <c r="BO56" s="888">
        <f t="shared" si="50"/>
        <v>14.401</v>
      </c>
      <c r="BP56" s="888">
        <f t="shared" si="51"/>
        <v>13.51</v>
      </c>
      <c r="BQ56" s="888">
        <f t="shared" si="52"/>
        <v>0.83899999999999997</v>
      </c>
      <c r="BR56" s="888">
        <f t="shared" si="53"/>
        <v>5.1999999999999998E-2</v>
      </c>
      <c r="BS56" s="904" t="s">
        <v>134</v>
      </c>
    </row>
    <row r="57" spans="1:75" x14ac:dyDescent="0.25">
      <c r="A57" s="884" t="s">
        <v>251</v>
      </c>
      <c r="B57" s="884" t="s">
        <v>252</v>
      </c>
      <c r="C57" s="886" t="s">
        <v>112</v>
      </c>
      <c r="D57" s="886">
        <v>10.14</v>
      </c>
      <c r="E57" s="886" t="s">
        <v>73</v>
      </c>
      <c r="F57" s="887">
        <v>9157</v>
      </c>
      <c r="G57" s="897">
        <v>11610</v>
      </c>
      <c r="H57" s="897">
        <v>8528</v>
      </c>
      <c r="I57" s="897">
        <v>2900</v>
      </c>
      <c r="J57" s="897">
        <v>182</v>
      </c>
      <c r="K57" s="897">
        <v>13809</v>
      </c>
      <c r="L57" s="897">
        <v>11452</v>
      </c>
      <c r="M57" s="897">
        <v>2260</v>
      </c>
      <c r="N57" s="898">
        <v>98</v>
      </c>
      <c r="O57" s="898">
        <v>13736</v>
      </c>
      <c r="P57" s="898">
        <v>12354</v>
      </c>
      <c r="Q57" s="898">
        <v>1322</v>
      </c>
      <c r="R57" s="898">
        <v>59</v>
      </c>
      <c r="S57" s="898">
        <v>12894</v>
      </c>
      <c r="T57" s="898">
        <v>10730</v>
      </c>
      <c r="U57" s="898">
        <v>2107</v>
      </c>
      <c r="V57" s="898">
        <v>57</v>
      </c>
      <c r="W57" s="898">
        <v>11610</v>
      </c>
      <c r="X57" s="898">
        <v>10358</v>
      </c>
      <c r="Y57" s="898">
        <v>788</v>
      </c>
      <c r="Z57" s="898">
        <v>146</v>
      </c>
      <c r="AA57" s="898">
        <v>12374</v>
      </c>
      <c r="AB57" s="898">
        <v>11703</v>
      </c>
      <c r="AC57" s="898">
        <v>577</v>
      </c>
      <c r="AD57" s="898">
        <v>94</v>
      </c>
      <c r="AE57" s="898">
        <v>13321</v>
      </c>
      <c r="AF57" s="898">
        <v>13018</v>
      </c>
      <c r="AG57" s="898">
        <v>211</v>
      </c>
      <c r="AH57" s="898">
        <v>92</v>
      </c>
      <c r="AI57" s="898">
        <v>14293</v>
      </c>
      <c r="AJ57" s="898">
        <v>13408</v>
      </c>
      <c r="AK57" s="898">
        <v>833</v>
      </c>
      <c r="AL57" s="898">
        <v>52</v>
      </c>
      <c r="AM57" s="888">
        <f t="shared" si="22"/>
        <v>11.61</v>
      </c>
      <c r="AN57" s="888">
        <f t="shared" si="23"/>
        <v>8.5280000000000005</v>
      </c>
      <c r="AO57" s="888">
        <f t="shared" si="24"/>
        <v>2.9</v>
      </c>
      <c r="AP57" s="888">
        <f t="shared" si="25"/>
        <v>0.182</v>
      </c>
      <c r="AQ57" s="888">
        <f t="shared" si="26"/>
        <v>13.808999999999999</v>
      </c>
      <c r="AR57" s="888">
        <f t="shared" si="27"/>
        <v>11.452</v>
      </c>
      <c r="AS57" s="888">
        <f t="shared" si="28"/>
        <v>2.2599999999999998</v>
      </c>
      <c r="AT57" s="888">
        <f t="shared" si="29"/>
        <v>9.8000000000000004E-2</v>
      </c>
      <c r="AU57" s="888">
        <f t="shared" si="30"/>
        <v>13.736000000000001</v>
      </c>
      <c r="AV57" s="888">
        <f t="shared" si="31"/>
        <v>12.353999999999999</v>
      </c>
      <c r="AW57" s="888">
        <f t="shared" si="32"/>
        <v>1.3220000000000001</v>
      </c>
      <c r="AX57" s="888">
        <f t="shared" si="33"/>
        <v>5.8999999999999997E-2</v>
      </c>
      <c r="AY57" s="888">
        <f t="shared" si="34"/>
        <v>12.894</v>
      </c>
      <c r="AZ57" s="888">
        <f t="shared" si="35"/>
        <v>10.73</v>
      </c>
      <c r="BA57" s="888">
        <f t="shared" si="36"/>
        <v>2.1070000000000002</v>
      </c>
      <c r="BB57" s="888">
        <f t="shared" si="37"/>
        <v>5.7000000000000002E-2</v>
      </c>
      <c r="BC57" s="888">
        <f t="shared" si="38"/>
        <v>11.61</v>
      </c>
      <c r="BD57" s="888">
        <f t="shared" si="39"/>
        <v>10.358000000000001</v>
      </c>
      <c r="BE57" s="888">
        <f t="shared" si="40"/>
        <v>0.78800000000000003</v>
      </c>
      <c r="BF57" s="888">
        <f t="shared" si="41"/>
        <v>0.14599999999999999</v>
      </c>
      <c r="BG57" s="888">
        <f t="shared" si="42"/>
        <v>12.374000000000001</v>
      </c>
      <c r="BH57" s="888">
        <f t="shared" si="43"/>
        <v>11.702999999999999</v>
      </c>
      <c r="BI57" s="888">
        <f t="shared" si="44"/>
        <v>0.57699999999999996</v>
      </c>
      <c r="BJ57" s="888">
        <f t="shared" si="45"/>
        <v>9.4E-2</v>
      </c>
      <c r="BK57" s="888">
        <f t="shared" si="46"/>
        <v>13.321</v>
      </c>
      <c r="BL57" s="888">
        <f t="shared" si="47"/>
        <v>13.018000000000001</v>
      </c>
      <c r="BM57" s="888">
        <f t="shared" si="48"/>
        <v>0.21099999999999999</v>
      </c>
      <c r="BN57" s="888">
        <f t="shared" si="49"/>
        <v>9.1999999999999998E-2</v>
      </c>
      <c r="BO57" s="888">
        <f t="shared" si="50"/>
        <v>14.292999999999999</v>
      </c>
      <c r="BP57" s="888">
        <f t="shared" si="51"/>
        <v>13.407999999999999</v>
      </c>
      <c r="BQ57" s="888">
        <f t="shared" si="52"/>
        <v>0.83299999999999996</v>
      </c>
      <c r="BR57" s="888">
        <f t="shared" si="53"/>
        <v>5.1999999999999998E-2</v>
      </c>
      <c r="BS57" s="904" t="s">
        <v>134</v>
      </c>
    </row>
    <row r="58" spans="1:75" x14ac:dyDescent="0.25">
      <c r="A58" s="884" t="s">
        <v>253</v>
      </c>
      <c r="B58" s="884" t="s">
        <v>254</v>
      </c>
      <c r="C58" s="886" t="s">
        <v>112</v>
      </c>
      <c r="D58" s="886">
        <v>10.08</v>
      </c>
      <c r="E58" s="886" t="s">
        <v>73</v>
      </c>
      <c r="F58" s="887">
        <v>8782</v>
      </c>
      <c r="G58" s="897">
        <v>11540</v>
      </c>
      <c r="H58" s="897">
        <v>8477</v>
      </c>
      <c r="I58" s="897">
        <v>2883</v>
      </c>
      <c r="J58" s="897">
        <v>181</v>
      </c>
      <c r="K58" s="897">
        <v>13726</v>
      </c>
      <c r="L58" s="897">
        <v>11383</v>
      </c>
      <c r="M58" s="897">
        <v>2246</v>
      </c>
      <c r="N58" s="898">
        <v>97</v>
      </c>
      <c r="O58" s="898">
        <v>13654</v>
      </c>
      <c r="P58" s="898">
        <v>12280</v>
      </c>
      <c r="Q58" s="898">
        <v>1314</v>
      </c>
      <c r="R58" s="898">
        <v>59</v>
      </c>
      <c r="S58" s="898">
        <v>12817</v>
      </c>
      <c r="T58" s="898">
        <v>10666</v>
      </c>
      <c r="U58" s="898">
        <v>2094</v>
      </c>
      <c r="V58" s="898">
        <v>57</v>
      </c>
      <c r="W58" s="898">
        <v>11540</v>
      </c>
      <c r="X58" s="898">
        <v>10296</v>
      </c>
      <c r="Y58" s="898">
        <v>784</v>
      </c>
      <c r="Z58" s="898">
        <v>145</v>
      </c>
      <c r="AA58" s="898">
        <v>12299</v>
      </c>
      <c r="AB58" s="898">
        <v>11633</v>
      </c>
      <c r="AC58" s="898">
        <v>573</v>
      </c>
      <c r="AD58" s="898">
        <v>93</v>
      </c>
      <c r="AE58" s="898">
        <v>13241</v>
      </c>
      <c r="AF58" s="898">
        <v>12940</v>
      </c>
      <c r="AG58" s="898">
        <v>210</v>
      </c>
      <c r="AH58" s="898">
        <v>91</v>
      </c>
      <c r="AI58" s="898">
        <v>14207</v>
      </c>
      <c r="AJ58" s="898">
        <v>13328</v>
      </c>
      <c r="AK58" s="898">
        <v>828</v>
      </c>
      <c r="AL58" s="898">
        <v>51</v>
      </c>
      <c r="AM58" s="888">
        <f t="shared" si="22"/>
        <v>11.54</v>
      </c>
      <c r="AN58" s="888">
        <f t="shared" si="23"/>
        <v>8.4770000000000003</v>
      </c>
      <c r="AO58" s="888">
        <f t="shared" si="24"/>
        <v>2.883</v>
      </c>
      <c r="AP58" s="888">
        <f t="shared" si="25"/>
        <v>0.18099999999999999</v>
      </c>
      <c r="AQ58" s="888">
        <f t="shared" si="26"/>
        <v>13.726000000000001</v>
      </c>
      <c r="AR58" s="888">
        <f t="shared" si="27"/>
        <v>11.382999999999999</v>
      </c>
      <c r="AS58" s="888">
        <f t="shared" si="28"/>
        <v>2.246</v>
      </c>
      <c r="AT58" s="888">
        <f t="shared" si="29"/>
        <v>9.7000000000000003E-2</v>
      </c>
      <c r="AU58" s="888">
        <f t="shared" si="30"/>
        <v>13.654</v>
      </c>
      <c r="AV58" s="888">
        <f t="shared" si="31"/>
        <v>12.28</v>
      </c>
      <c r="AW58" s="888">
        <f t="shared" si="32"/>
        <v>1.3140000000000001</v>
      </c>
      <c r="AX58" s="888">
        <f t="shared" si="33"/>
        <v>5.8999999999999997E-2</v>
      </c>
      <c r="AY58" s="888">
        <f t="shared" si="34"/>
        <v>12.817</v>
      </c>
      <c r="AZ58" s="888">
        <f t="shared" si="35"/>
        <v>10.666</v>
      </c>
      <c r="BA58" s="888">
        <f t="shared" si="36"/>
        <v>2.0939999999999999</v>
      </c>
      <c r="BB58" s="888">
        <f t="shared" si="37"/>
        <v>5.7000000000000002E-2</v>
      </c>
      <c r="BC58" s="888">
        <f t="shared" si="38"/>
        <v>11.54</v>
      </c>
      <c r="BD58" s="888">
        <f t="shared" si="39"/>
        <v>10.295999999999999</v>
      </c>
      <c r="BE58" s="888">
        <f t="shared" si="40"/>
        <v>0.78400000000000003</v>
      </c>
      <c r="BF58" s="888">
        <f t="shared" si="41"/>
        <v>0.14499999999999999</v>
      </c>
      <c r="BG58" s="888">
        <f t="shared" si="42"/>
        <v>12.298999999999999</v>
      </c>
      <c r="BH58" s="888">
        <f t="shared" si="43"/>
        <v>11.632999999999999</v>
      </c>
      <c r="BI58" s="888">
        <f t="shared" si="44"/>
        <v>0.57299999999999995</v>
      </c>
      <c r="BJ58" s="888">
        <f t="shared" si="45"/>
        <v>9.2999999999999999E-2</v>
      </c>
      <c r="BK58" s="888">
        <f t="shared" si="46"/>
        <v>13.241</v>
      </c>
      <c r="BL58" s="888">
        <f t="shared" si="47"/>
        <v>12.94</v>
      </c>
      <c r="BM58" s="888">
        <f t="shared" si="48"/>
        <v>0.21</v>
      </c>
      <c r="BN58" s="888">
        <f t="shared" si="49"/>
        <v>9.0999999999999998E-2</v>
      </c>
      <c r="BO58" s="888">
        <f t="shared" si="50"/>
        <v>14.207000000000001</v>
      </c>
      <c r="BP58" s="888">
        <f t="shared" si="51"/>
        <v>13.327999999999999</v>
      </c>
      <c r="BQ58" s="888">
        <f t="shared" si="52"/>
        <v>0.82799999999999996</v>
      </c>
      <c r="BR58" s="888">
        <f t="shared" si="53"/>
        <v>5.0999999999999997E-2</v>
      </c>
      <c r="BS58" s="904" t="s">
        <v>134</v>
      </c>
    </row>
    <row r="59" spans="1:75" x14ac:dyDescent="0.25">
      <c r="A59" s="884" t="s">
        <v>255</v>
      </c>
      <c r="B59" s="884" t="s">
        <v>256</v>
      </c>
      <c r="C59" s="886" t="s">
        <v>112</v>
      </c>
      <c r="D59" s="886">
        <v>10.029999999999999</v>
      </c>
      <c r="E59" s="886" t="s">
        <v>73</v>
      </c>
      <c r="F59" s="887">
        <v>8476</v>
      </c>
      <c r="G59" s="897">
        <v>11483</v>
      </c>
      <c r="H59" s="897">
        <v>8434</v>
      </c>
      <c r="I59" s="897">
        <v>2868</v>
      </c>
      <c r="J59" s="897">
        <v>180</v>
      </c>
      <c r="K59" s="897">
        <v>13658</v>
      </c>
      <c r="L59" s="897">
        <v>11326</v>
      </c>
      <c r="M59" s="897">
        <v>2235</v>
      </c>
      <c r="N59" s="898">
        <v>97</v>
      </c>
      <c r="O59" s="898">
        <v>13585</v>
      </c>
      <c r="P59" s="898">
        <v>12219</v>
      </c>
      <c r="Q59" s="898">
        <v>1308</v>
      </c>
      <c r="R59" s="898">
        <v>59</v>
      </c>
      <c r="S59" s="898">
        <v>12753</v>
      </c>
      <c r="T59" s="898">
        <v>10613</v>
      </c>
      <c r="U59" s="898">
        <v>2084</v>
      </c>
      <c r="V59" s="898">
        <v>56</v>
      </c>
      <c r="W59" s="898">
        <v>11483</v>
      </c>
      <c r="X59" s="898">
        <v>10244</v>
      </c>
      <c r="Y59" s="898">
        <v>780</v>
      </c>
      <c r="Z59" s="898">
        <v>144</v>
      </c>
      <c r="AA59" s="898">
        <v>12238</v>
      </c>
      <c r="AB59" s="898">
        <v>11575</v>
      </c>
      <c r="AC59" s="898">
        <v>570</v>
      </c>
      <c r="AD59" s="898">
        <v>93</v>
      </c>
      <c r="AE59" s="898">
        <v>13175</v>
      </c>
      <c r="AF59" s="898">
        <v>12875</v>
      </c>
      <c r="AG59" s="898">
        <v>209</v>
      </c>
      <c r="AH59" s="898">
        <v>91</v>
      </c>
      <c r="AI59" s="898">
        <v>14136</v>
      </c>
      <c r="AJ59" s="898">
        <v>13261</v>
      </c>
      <c r="AK59" s="898">
        <v>824</v>
      </c>
      <c r="AL59" s="898">
        <v>51</v>
      </c>
      <c r="AM59" s="888">
        <f t="shared" si="22"/>
        <v>11.483000000000001</v>
      </c>
      <c r="AN59" s="888">
        <f t="shared" si="23"/>
        <v>8.4339999999999993</v>
      </c>
      <c r="AO59" s="888">
        <f t="shared" si="24"/>
        <v>2.8679999999999999</v>
      </c>
      <c r="AP59" s="888">
        <f t="shared" si="25"/>
        <v>0.18</v>
      </c>
      <c r="AQ59" s="888">
        <f t="shared" si="26"/>
        <v>13.657999999999999</v>
      </c>
      <c r="AR59" s="888">
        <f t="shared" si="27"/>
        <v>11.326000000000001</v>
      </c>
      <c r="AS59" s="888">
        <f t="shared" si="28"/>
        <v>2.2349999999999999</v>
      </c>
      <c r="AT59" s="888">
        <f t="shared" si="29"/>
        <v>9.7000000000000003E-2</v>
      </c>
      <c r="AU59" s="888">
        <f t="shared" si="30"/>
        <v>13.585000000000001</v>
      </c>
      <c r="AV59" s="888">
        <f t="shared" si="31"/>
        <v>12.218999999999999</v>
      </c>
      <c r="AW59" s="888">
        <f t="shared" si="32"/>
        <v>1.3080000000000001</v>
      </c>
      <c r="AX59" s="888">
        <f t="shared" si="33"/>
        <v>5.8999999999999997E-2</v>
      </c>
      <c r="AY59" s="888">
        <f t="shared" si="34"/>
        <v>12.753</v>
      </c>
      <c r="AZ59" s="888">
        <f t="shared" si="35"/>
        <v>10.613</v>
      </c>
      <c r="BA59" s="888">
        <f t="shared" si="36"/>
        <v>2.0840000000000001</v>
      </c>
      <c r="BB59" s="888">
        <f t="shared" si="37"/>
        <v>5.6000000000000001E-2</v>
      </c>
      <c r="BC59" s="888">
        <f t="shared" si="38"/>
        <v>11.483000000000001</v>
      </c>
      <c r="BD59" s="888">
        <f t="shared" si="39"/>
        <v>10.244</v>
      </c>
      <c r="BE59" s="888">
        <f t="shared" si="40"/>
        <v>0.78</v>
      </c>
      <c r="BF59" s="888">
        <f t="shared" si="41"/>
        <v>0.14399999999999999</v>
      </c>
      <c r="BG59" s="888">
        <f t="shared" si="42"/>
        <v>12.238</v>
      </c>
      <c r="BH59" s="888">
        <f t="shared" si="43"/>
        <v>11.574999999999999</v>
      </c>
      <c r="BI59" s="888">
        <f t="shared" si="44"/>
        <v>0.56999999999999995</v>
      </c>
      <c r="BJ59" s="888">
        <f t="shared" si="45"/>
        <v>9.2999999999999999E-2</v>
      </c>
      <c r="BK59" s="888">
        <f t="shared" si="46"/>
        <v>13.175000000000001</v>
      </c>
      <c r="BL59" s="888">
        <f t="shared" si="47"/>
        <v>12.875</v>
      </c>
      <c r="BM59" s="888">
        <f t="shared" si="48"/>
        <v>0.20899999999999999</v>
      </c>
      <c r="BN59" s="888">
        <f t="shared" si="49"/>
        <v>9.0999999999999998E-2</v>
      </c>
      <c r="BO59" s="888">
        <f t="shared" si="50"/>
        <v>14.135999999999999</v>
      </c>
      <c r="BP59" s="888">
        <f t="shared" si="51"/>
        <v>13.260999999999999</v>
      </c>
      <c r="BQ59" s="888">
        <f t="shared" si="52"/>
        <v>0.82399999999999995</v>
      </c>
      <c r="BR59" s="888">
        <f t="shared" si="53"/>
        <v>5.0999999999999997E-2</v>
      </c>
      <c r="BS59" s="904" t="s">
        <v>134</v>
      </c>
    </row>
    <row r="60" spans="1:75" x14ac:dyDescent="0.25">
      <c r="A60" s="884" t="s">
        <v>257</v>
      </c>
      <c r="B60" s="884" t="s">
        <v>258</v>
      </c>
      <c r="C60" s="886" t="s">
        <v>112</v>
      </c>
      <c r="D60" s="886">
        <v>9.9700000000000006</v>
      </c>
      <c r="E60" s="886" t="s">
        <v>73</v>
      </c>
      <c r="F60" s="887">
        <v>8218</v>
      </c>
      <c r="G60" s="897">
        <v>11411</v>
      </c>
      <c r="H60" s="897">
        <v>8382</v>
      </c>
      <c r="I60" s="897">
        <v>2850</v>
      </c>
      <c r="J60" s="897">
        <v>179</v>
      </c>
      <c r="K60" s="897">
        <v>13573</v>
      </c>
      <c r="L60" s="897">
        <v>11256</v>
      </c>
      <c r="M60" s="897">
        <v>2221</v>
      </c>
      <c r="N60" s="898">
        <v>96</v>
      </c>
      <c r="O60" s="898">
        <v>13501</v>
      </c>
      <c r="P60" s="898">
        <v>12143</v>
      </c>
      <c r="Q60" s="898">
        <v>1300</v>
      </c>
      <c r="R60" s="898">
        <v>58</v>
      </c>
      <c r="S60" s="898">
        <v>12673</v>
      </c>
      <c r="T60" s="898">
        <v>10547</v>
      </c>
      <c r="U60" s="898">
        <v>2071</v>
      </c>
      <c r="V60" s="898">
        <v>56</v>
      </c>
      <c r="W60" s="898">
        <v>11411</v>
      </c>
      <c r="X60" s="898">
        <v>10181</v>
      </c>
      <c r="Y60" s="898">
        <v>775</v>
      </c>
      <c r="Z60" s="898">
        <v>143</v>
      </c>
      <c r="AA60" s="898">
        <v>12162</v>
      </c>
      <c r="AB60" s="898">
        <v>11503</v>
      </c>
      <c r="AC60" s="898">
        <v>567</v>
      </c>
      <c r="AD60" s="898">
        <v>92</v>
      </c>
      <c r="AE60" s="898">
        <v>13093</v>
      </c>
      <c r="AF60" s="898">
        <v>12795</v>
      </c>
      <c r="AG60" s="898">
        <v>207</v>
      </c>
      <c r="AH60" s="898">
        <v>90</v>
      </c>
      <c r="AI60" s="898">
        <v>14048</v>
      </c>
      <c r="AJ60" s="898">
        <v>13179</v>
      </c>
      <c r="AK60" s="898">
        <v>819</v>
      </c>
      <c r="AL60" s="898">
        <v>51</v>
      </c>
      <c r="AM60" s="888">
        <f t="shared" si="22"/>
        <v>11.411</v>
      </c>
      <c r="AN60" s="888">
        <f t="shared" si="23"/>
        <v>8.3819999999999997</v>
      </c>
      <c r="AO60" s="888">
        <f t="shared" si="24"/>
        <v>2.85</v>
      </c>
      <c r="AP60" s="888">
        <f t="shared" si="25"/>
        <v>0.17899999999999999</v>
      </c>
      <c r="AQ60" s="888">
        <f t="shared" si="26"/>
        <v>13.573</v>
      </c>
      <c r="AR60" s="888">
        <f t="shared" si="27"/>
        <v>11.256</v>
      </c>
      <c r="AS60" s="888">
        <f t="shared" si="28"/>
        <v>2.2210000000000001</v>
      </c>
      <c r="AT60" s="888">
        <f t="shared" si="29"/>
        <v>9.6000000000000002E-2</v>
      </c>
      <c r="AU60" s="888">
        <f t="shared" si="30"/>
        <v>13.500999999999999</v>
      </c>
      <c r="AV60" s="888">
        <f t="shared" si="31"/>
        <v>12.143000000000001</v>
      </c>
      <c r="AW60" s="888">
        <f t="shared" si="32"/>
        <v>1.3</v>
      </c>
      <c r="AX60" s="888">
        <f t="shared" si="33"/>
        <v>5.8000000000000003E-2</v>
      </c>
      <c r="AY60" s="888">
        <f t="shared" si="34"/>
        <v>12.673</v>
      </c>
      <c r="AZ60" s="888">
        <f t="shared" si="35"/>
        <v>10.547000000000001</v>
      </c>
      <c r="BA60" s="888">
        <f t="shared" si="36"/>
        <v>2.0710000000000002</v>
      </c>
      <c r="BB60" s="888">
        <f t="shared" si="37"/>
        <v>5.6000000000000001E-2</v>
      </c>
      <c r="BC60" s="888">
        <f t="shared" si="38"/>
        <v>11.411</v>
      </c>
      <c r="BD60" s="888">
        <f t="shared" si="39"/>
        <v>10.180999999999999</v>
      </c>
      <c r="BE60" s="888">
        <f t="shared" si="40"/>
        <v>0.77500000000000002</v>
      </c>
      <c r="BF60" s="888">
        <f t="shared" si="41"/>
        <v>0.14299999999999999</v>
      </c>
      <c r="BG60" s="888">
        <f t="shared" si="42"/>
        <v>12.162000000000001</v>
      </c>
      <c r="BH60" s="888">
        <f t="shared" si="43"/>
        <v>11.503</v>
      </c>
      <c r="BI60" s="888">
        <f t="shared" si="44"/>
        <v>0.56699999999999995</v>
      </c>
      <c r="BJ60" s="888">
        <f t="shared" si="45"/>
        <v>9.1999999999999998E-2</v>
      </c>
      <c r="BK60" s="888">
        <f t="shared" si="46"/>
        <v>13.093</v>
      </c>
      <c r="BL60" s="888">
        <f t="shared" si="47"/>
        <v>12.795</v>
      </c>
      <c r="BM60" s="888">
        <f t="shared" si="48"/>
        <v>0.20699999999999999</v>
      </c>
      <c r="BN60" s="888">
        <f t="shared" si="49"/>
        <v>0.09</v>
      </c>
      <c r="BO60" s="888">
        <f t="shared" si="50"/>
        <v>14.048</v>
      </c>
      <c r="BP60" s="888">
        <f t="shared" si="51"/>
        <v>13.179</v>
      </c>
      <c r="BQ60" s="888">
        <f t="shared" si="52"/>
        <v>0.81899999999999995</v>
      </c>
      <c r="BR60" s="888">
        <f t="shared" si="53"/>
        <v>5.0999999999999997E-2</v>
      </c>
      <c r="BS60" s="904" t="s">
        <v>134</v>
      </c>
    </row>
    <row r="61" spans="1:75" x14ac:dyDescent="0.25">
      <c r="A61" s="884" t="s">
        <v>259</v>
      </c>
      <c r="B61" s="894" t="s">
        <v>260</v>
      </c>
      <c r="C61" s="892" t="s">
        <v>112</v>
      </c>
      <c r="D61" s="892">
        <v>16.190000000000001</v>
      </c>
      <c r="E61" s="892" t="s">
        <v>73</v>
      </c>
      <c r="F61" s="893">
        <v>0</v>
      </c>
      <c r="G61" s="897">
        <v>18533</v>
      </c>
      <c r="H61" s="897">
        <v>13613</v>
      </c>
      <c r="I61" s="897">
        <v>4629</v>
      </c>
      <c r="J61" s="897">
        <v>291</v>
      </c>
      <c r="K61" s="897">
        <v>22043</v>
      </c>
      <c r="L61" s="897">
        <v>18280</v>
      </c>
      <c r="M61" s="897">
        <v>3607</v>
      </c>
      <c r="N61" s="898">
        <v>156</v>
      </c>
      <c r="O61" s="898">
        <v>21927</v>
      </c>
      <c r="P61" s="898">
        <v>19721</v>
      </c>
      <c r="Q61" s="898">
        <v>2111</v>
      </c>
      <c r="R61" s="898">
        <v>95</v>
      </c>
      <c r="S61" s="898">
        <v>20583</v>
      </c>
      <c r="T61" s="898">
        <v>17128</v>
      </c>
      <c r="U61" s="898">
        <v>3363</v>
      </c>
      <c r="V61" s="898">
        <v>91</v>
      </c>
      <c r="W61" s="898">
        <v>18533</v>
      </c>
      <c r="X61" s="898">
        <v>16534</v>
      </c>
      <c r="Y61" s="898">
        <v>1258</v>
      </c>
      <c r="Z61" s="898">
        <v>233</v>
      </c>
      <c r="AA61" s="898">
        <v>19752</v>
      </c>
      <c r="AB61" s="898">
        <v>18681</v>
      </c>
      <c r="AC61" s="898">
        <v>921</v>
      </c>
      <c r="AD61" s="898">
        <v>150</v>
      </c>
      <c r="AE61" s="898">
        <v>21264</v>
      </c>
      <c r="AF61" s="898">
        <v>20781</v>
      </c>
      <c r="AG61" s="898">
        <v>337</v>
      </c>
      <c r="AH61" s="898">
        <v>147</v>
      </c>
      <c r="AI61" s="898">
        <v>22815</v>
      </c>
      <c r="AJ61" s="898">
        <v>21403</v>
      </c>
      <c r="AK61" s="898">
        <v>1330</v>
      </c>
      <c r="AL61" s="898">
        <v>82</v>
      </c>
      <c r="AM61" s="888">
        <f t="shared" si="22"/>
        <v>18.533000000000001</v>
      </c>
      <c r="AN61" s="888">
        <f t="shared" si="23"/>
        <v>13.613</v>
      </c>
      <c r="AO61" s="888">
        <f t="shared" si="24"/>
        <v>4.6289999999999996</v>
      </c>
      <c r="AP61" s="888">
        <f t="shared" si="25"/>
        <v>0.29099999999999998</v>
      </c>
      <c r="AQ61" s="888">
        <f t="shared" si="26"/>
        <v>22.042999999999999</v>
      </c>
      <c r="AR61" s="888">
        <f t="shared" si="27"/>
        <v>18.28</v>
      </c>
      <c r="AS61" s="888">
        <f t="shared" si="28"/>
        <v>3.6070000000000002</v>
      </c>
      <c r="AT61" s="888">
        <f t="shared" si="29"/>
        <v>0.156</v>
      </c>
      <c r="AU61" s="888">
        <f t="shared" si="30"/>
        <v>21.927</v>
      </c>
      <c r="AV61" s="888">
        <f t="shared" si="31"/>
        <v>19.721</v>
      </c>
      <c r="AW61" s="888">
        <f t="shared" si="32"/>
        <v>2.1110000000000002</v>
      </c>
      <c r="AX61" s="888">
        <f t="shared" si="33"/>
        <v>9.5000000000000001E-2</v>
      </c>
      <c r="AY61" s="888">
        <f t="shared" si="34"/>
        <v>20.582999999999998</v>
      </c>
      <c r="AZ61" s="888">
        <f t="shared" si="35"/>
        <v>17.128</v>
      </c>
      <c r="BA61" s="888">
        <f t="shared" si="36"/>
        <v>3.363</v>
      </c>
      <c r="BB61" s="888">
        <f t="shared" si="37"/>
        <v>9.0999999999999998E-2</v>
      </c>
      <c r="BC61" s="888">
        <f t="shared" si="38"/>
        <v>18.533000000000001</v>
      </c>
      <c r="BD61" s="888">
        <f t="shared" si="39"/>
        <v>16.533999999999999</v>
      </c>
      <c r="BE61" s="888">
        <f t="shared" si="40"/>
        <v>1.258</v>
      </c>
      <c r="BF61" s="888">
        <f t="shared" si="41"/>
        <v>0.23300000000000001</v>
      </c>
      <c r="BG61" s="888">
        <f t="shared" si="42"/>
        <v>19.751999999999999</v>
      </c>
      <c r="BH61" s="888">
        <f t="shared" si="43"/>
        <v>18.681000000000001</v>
      </c>
      <c r="BI61" s="888">
        <f t="shared" si="44"/>
        <v>0.92100000000000004</v>
      </c>
      <c r="BJ61" s="888">
        <f t="shared" si="45"/>
        <v>0.15</v>
      </c>
      <c r="BK61" s="888">
        <f t="shared" si="46"/>
        <v>21.263999999999999</v>
      </c>
      <c r="BL61" s="888">
        <f t="shared" si="47"/>
        <v>20.780999999999999</v>
      </c>
      <c r="BM61" s="888">
        <f t="shared" si="48"/>
        <v>0.33700000000000002</v>
      </c>
      <c r="BN61" s="888">
        <f t="shared" si="49"/>
        <v>0.14699999999999999</v>
      </c>
      <c r="BO61" s="888">
        <f t="shared" si="50"/>
        <v>22.815000000000001</v>
      </c>
      <c r="BP61" s="888">
        <f t="shared" si="51"/>
        <v>21.402999999999999</v>
      </c>
      <c r="BQ61" s="888">
        <f t="shared" si="52"/>
        <v>1.33</v>
      </c>
      <c r="BR61" s="888">
        <f t="shared" si="53"/>
        <v>8.2000000000000003E-2</v>
      </c>
      <c r="BS61" s="904" t="s">
        <v>134</v>
      </c>
    </row>
    <row r="62" spans="1:75" x14ac:dyDescent="0.25">
      <c r="A62" s="884" t="s">
        <v>261</v>
      </c>
      <c r="B62" s="894" t="s">
        <v>262</v>
      </c>
      <c r="C62" s="892" t="s">
        <v>112</v>
      </c>
      <c r="D62" s="892">
        <v>7.95</v>
      </c>
      <c r="E62" s="892" t="s">
        <v>73</v>
      </c>
      <c r="F62" s="893">
        <v>0</v>
      </c>
      <c r="G62" s="897">
        <v>9100</v>
      </c>
      <c r="H62" s="897">
        <v>6684</v>
      </c>
      <c r="I62" s="897">
        <v>2273</v>
      </c>
      <c r="J62" s="897">
        <v>143</v>
      </c>
      <c r="K62" s="897">
        <v>10824</v>
      </c>
      <c r="L62" s="897">
        <v>8976</v>
      </c>
      <c r="M62" s="897">
        <v>1771</v>
      </c>
      <c r="N62" s="898">
        <v>77</v>
      </c>
      <c r="O62" s="898">
        <v>10767</v>
      </c>
      <c r="P62" s="898">
        <v>9684</v>
      </c>
      <c r="Q62" s="898">
        <v>1037</v>
      </c>
      <c r="R62" s="898">
        <v>47</v>
      </c>
      <c r="S62" s="898">
        <v>10107</v>
      </c>
      <c r="T62" s="898">
        <v>8411</v>
      </c>
      <c r="U62" s="898">
        <v>1651</v>
      </c>
      <c r="V62" s="898">
        <v>45</v>
      </c>
      <c r="W62" s="898">
        <v>9100</v>
      </c>
      <c r="X62" s="898">
        <v>8119</v>
      </c>
      <c r="Y62" s="898">
        <v>618</v>
      </c>
      <c r="Z62" s="898">
        <v>114</v>
      </c>
      <c r="AA62" s="898">
        <v>9699</v>
      </c>
      <c r="AB62" s="898">
        <v>9173</v>
      </c>
      <c r="AC62" s="898">
        <v>452</v>
      </c>
      <c r="AD62" s="898">
        <v>74</v>
      </c>
      <c r="AE62" s="898">
        <v>10441</v>
      </c>
      <c r="AF62" s="898">
        <v>10204</v>
      </c>
      <c r="AG62" s="898">
        <v>165</v>
      </c>
      <c r="AH62" s="898">
        <v>72</v>
      </c>
      <c r="AI62" s="898">
        <v>11203</v>
      </c>
      <c r="AJ62" s="898">
        <v>10510</v>
      </c>
      <c r="AK62" s="898">
        <v>653</v>
      </c>
      <c r="AL62" s="898">
        <v>40</v>
      </c>
      <c r="AM62" s="888">
        <f t="shared" si="22"/>
        <v>9.1</v>
      </c>
      <c r="AN62" s="888">
        <f t="shared" si="23"/>
        <v>6.6840000000000002</v>
      </c>
      <c r="AO62" s="888">
        <f t="shared" si="24"/>
        <v>2.2730000000000001</v>
      </c>
      <c r="AP62" s="888">
        <f t="shared" si="25"/>
        <v>0.14299999999999999</v>
      </c>
      <c r="AQ62" s="888">
        <f t="shared" si="26"/>
        <v>10.824</v>
      </c>
      <c r="AR62" s="888">
        <f t="shared" si="27"/>
        <v>8.9760000000000009</v>
      </c>
      <c r="AS62" s="888">
        <f t="shared" si="28"/>
        <v>1.7709999999999999</v>
      </c>
      <c r="AT62" s="888">
        <f t="shared" si="29"/>
        <v>7.6999999999999999E-2</v>
      </c>
      <c r="AU62" s="888">
        <f t="shared" si="30"/>
        <v>10.766999999999999</v>
      </c>
      <c r="AV62" s="888">
        <f t="shared" si="31"/>
        <v>9.6839999999999993</v>
      </c>
      <c r="AW62" s="888">
        <f t="shared" si="32"/>
        <v>1.0369999999999999</v>
      </c>
      <c r="AX62" s="888">
        <f t="shared" si="33"/>
        <v>4.7E-2</v>
      </c>
      <c r="AY62" s="888">
        <f t="shared" si="34"/>
        <v>10.106999999999999</v>
      </c>
      <c r="AZ62" s="888">
        <f t="shared" si="35"/>
        <v>8.4109999999999996</v>
      </c>
      <c r="BA62" s="888">
        <f t="shared" si="36"/>
        <v>1.651</v>
      </c>
      <c r="BB62" s="888">
        <f t="shared" si="37"/>
        <v>4.4999999999999998E-2</v>
      </c>
      <c r="BC62" s="888">
        <f t="shared" si="38"/>
        <v>9.1</v>
      </c>
      <c r="BD62" s="888">
        <f t="shared" si="39"/>
        <v>8.1189999999999998</v>
      </c>
      <c r="BE62" s="888">
        <f t="shared" si="40"/>
        <v>0.61799999999999999</v>
      </c>
      <c r="BF62" s="888">
        <f t="shared" si="41"/>
        <v>0.114</v>
      </c>
      <c r="BG62" s="888">
        <f t="shared" si="42"/>
        <v>9.6989999999999998</v>
      </c>
      <c r="BH62" s="888">
        <f t="shared" si="43"/>
        <v>9.173</v>
      </c>
      <c r="BI62" s="888">
        <f t="shared" si="44"/>
        <v>0.45200000000000001</v>
      </c>
      <c r="BJ62" s="888">
        <f t="shared" si="45"/>
        <v>7.3999999999999996E-2</v>
      </c>
      <c r="BK62" s="888">
        <f t="shared" si="46"/>
        <v>10.441000000000001</v>
      </c>
      <c r="BL62" s="888">
        <f t="shared" si="47"/>
        <v>10.204000000000001</v>
      </c>
      <c r="BM62" s="888">
        <f t="shared" si="48"/>
        <v>0.16500000000000001</v>
      </c>
      <c r="BN62" s="888">
        <f t="shared" si="49"/>
        <v>7.1999999999999995E-2</v>
      </c>
      <c r="BO62" s="888">
        <f t="shared" si="50"/>
        <v>11.202999999999999</v>
      </c>
      <c r="BP62" s="888">
        <f t="shared" si="51"/>
        <v>10.51</v>
      </c>
      <c r="BQ62" s="888">
        <f t="shared" si="52"/>
        <v>0.65300000000000002</v>
      </c>
      <c r="BR62" s="888">
        <f t="shared" si="53"/>
        <v>0.04</v>
      </c>
      <c r="BS62" s="904" t="s">
        <v>134</v>
      </c>
    </row>
    <row r="63" spans="1:75" x14ac:dyDescent="0.25">
      <c r="A63" s="884" t="s">
        <v>263</v>
      </c>
      <c r="B63" s="894" t="s">
        <v>264</v>
      </c>
      <c r="C63" s="892" t="s">
        <v>112</v>
      </c>
      <c r="D63" s="892">
        <v>11.25</v>
      </c>
      <c r="E63" s="892" t="s">
        <v>73</v>
      </c>
      <c r="F63" s="893">
        <v>0</v>
      </c>
      <c r="G63" s="897">
        <v>12878</v>
      </c>
      <c r="H63" s="897">
        <v>9459</v>
      </c>
      <c r="I63" s="897">
        <v>3217</v>
      </c>
      <c r="J63" s="897">
        <v>202</v>
      </c>
      <c r="K63" s="897">
        <v>15317</v>
      </c>
      <c r="L63" s="897">
        <v>12702</v>
      </c>
      <c r="M63" s="897">
        <v>2507</v>
      </c>
      <c r="N63" s="898">
        <v>108</v>
      </c>
      <c r="O63" s="898">
        <v>15236</v>
      </c>
      <c r="P63" s="898">
        <v>13704</v>
      </c>
      <c r="Q63" s="898">
        <v>1467</v>
      </c>
      <c r="R63" s="898">
        <v>66</v>
      </c>
      <c r="S63" s="898">
        <v>14302</v>
      </c>
      <c r="T63" s="898">
        <v>11902</v>
      </c>
      <c r="U63" s="898">
        <v>2337</v>
      </c>
      <c r="V63" s="898">
        <v>63</v>
      </c>
      <c r="W63" s="898">
        <v>12878</v>
      </c>
      <c r="X63" s="898">
        <v>11489</v>
      </c>
      <c r="Y63" s="898">
        <v>874</v>
      </c>
      <c r="Z63" s="898">
        <v>162</v>
      </c>
      <c r="AA63" s="898">
        <v>13725</v>
      </c>
      <c r="AB63" s="898">
        <v>12981</v>
      </c>
      <c r="AC63" s="898">
        <v>640</v>
      </c>
      <c r="AD63" s="898">
        <v>104</v>
      </c>
      <c r="AE63" s="898">
        <v>14776</v>
      </c>
      <c r="AF63" s="898">
        <v>14440</v>
      </c>
      <c r="AG63" s="898">
        <v>234</v>
      </c>
      <c r="AH63" s="898">
        <v>102</v>
      </c>
      <c r="AI63" s="898">
        <v>15854</v>
      </c>
      <c r="AJ63" s="898">
        <v>14873</v>
      </c>
      <c r="AK63" s="898">
        <v>924</v>
      </c>
      <c r="AL63" s="898">
        <v>57</v>
      </c>
      <c r="AM63" s="888">
        <f t="shared" si="22"/>
        <v>12.878</v>
      </c>
      <c r="AN63" s="888">
        <f t="shared" si="23"/>
        <v>9.4589999999999996</v>
      </c>
      <c r="AO63" s="888">
        <f t="shared" si="24"/>
        <v>3.2170000000000001</v>
      </c>
      <c r="AP63" s="888">
        <f t="shared" si="25"/>
        <v>0.20200000000000001</v>
      </c>
      <c r="AQ63" s="888">
        <f t="shared" si="26"/>
        <v>15.317</v>
      </c>
      <c r="AR63" s="888">
        <f t="shared" si="27"/>
        <v>12.702</v>
      </c>
      <c r="AS63" s="888">
        <f t="shared" si="28"/>
        <v>2.5070000000000001</v>
      </c>
      <c r="AT63" s="888">
        <f t="shared" si="29"/>
        <v>0.108</v>
      </c>
      <c r="AU63" s="888">
        <f t="shared" si="30"/>
        <v>15.236000000000001</v>
      </c>
      <c r="AV63" s="888">
        <f t="shared" si="31"/>
        <v>13.704000000000001</v>
      </c>
      <c r="AW63" s="888">
        <f t="shared" si="32"/>
        <v>1.4670000000000001</v>
      </c>
      <c r="AX63" s="888">
        <f t="shared" si="33"/>
        <v>6.6000000000000003E-2</v>
      </c>
      <c r="AY63" s="888">
        <f t="shared" si="34"/>
        <v>14.302</v>
      </c>
      <c r="AZ63" s="888">
        <f t="shared" si="35"/>
        <v>11.901999999999999</v>
      </c>
      <c r="BA63" s="888">
        <f t="shared" si="36"/>
        <v>2.3370000000000002</v>
      </c>
      <c r="BB63" s="888">
        <f t="shared" si="37"/>
        <v>6.3E-2</v>
      </c>
      <c r="BC63" s="888">
        <f t="shared" si="38"/>
        <v>12.878</v>
      </c>
      <c r="BD63" s="888">
        <f t="shared" si="39"/>
        <v>11.489000000000001</v>
      </c>
      <c r="BE63" s="888">
        <f t="shared" si="40"/>
        <v>0.874</v>
      </c>
      <c r="BF63" s="888">
        <f t="shared" si="41"/>
        <v>0.16200000000000001</v>
      </c>
      <c r="BG63" s="888">
        <f t="shared" si="42"/>
        <v>13.725</v>
      </c>
      <c r="BH63" s="888">
        <f t="shared" si="43"/>
        <v>12.981</v>
      </c>
      <c r="BI63" s="888">
        <f t="shared" si="44"/>
        <v>0.64</v>
      </c>
      <c r="BJ63" s="888">
        <f t="shared" si="45"/>
        <v>0.104</v>
      </c>
      <c r="BK63" s="888">
        <f t="shared" si="46"/>
        <v>14.776</v>
      </c>
      <c r="BL63" s="888">
        <f t="shared" si="47"/>
        <v>14.44</v>
      </c>
      <c r="BM63" s="888">
        <f t="shared" si="48"/>
        <v>0.23400000000000001</v>
      </c>
      <c r="BN63" s="888">
        <f t="shared" si="49"/>
        <v>0.10199999999999999</v>
      </c>
      <c r="BO63" s="888">
        <f t="shared" si="50"/>
        <v>15.853999999999999</v>
      </c>
      <c r="BP63" s="888">
        <f t="shared" si="51"/>
        <v>14.872999999999999</v>
      </c>
      <c r="BQ63" s="888">
        <f t="shared" si="52"/>
        <v>0.92400000000000004</v>
      </c>
      <c r="BR63" s="888">
        <f t="shared" si="53"/>
        <v>5.7000000000000002E-2</v>
      </c>
      <c r="BS63" s="904" t="s">
        <v>134</v>
      </c>
    </row>
    <row r="64" spans="1:75" x14ac:dyDescent="0.25">
      <c r="A64" s="884" t="s">
        <v>265</v>
      </c>
      <c r="B64" s="884" t="s">
        <v>266</v>
      </c>
      <c r="C64" s="886" t="s">
        <v>112</v>
      </c>
      <c r="D64" s="886">
        <v>34.799999999999997</v>
      </c>
      <c r="E64" s="886" t="s">
        <v>73</v>
      </c>
      <c r="F64" s="887">
        <v>35911</v>
      </c>
      <c r="G64" s="897">
        <v>26317</v>
      </c>
      <c r="H64" s="897">
        <v>19330</v>
      </c>
      <c r="I64" s="897">
        <v>6574</v>
      </c>
      <c r="J64" s="897">
        <v>413</v>
      </c>
      <c r="K64" s="897">
        <v>31301</v>
      </c>
      <c r="L64" s="897">
        <v>25958</v>
      </c>
      <c r="M64" s="897">
        <v>5122</v>
      </c>
      <c r="N64" s="898">
        <v>221</v>
      </c>
      <c r="O64" s="898">
        <v>31136</v>
      </c>
      <c r="P64" s="898">
        <v>28004</v>
      </c>
      <c r="Q64" s="898">
        <v>2998</v>
      </c>
      <c r="R64" s="898">
        <v>135</v>
      </c>
      <c r="S64" s="898">
        <v>29227</v>
      </c>
      <c r="T64" s="898">
        <v>24323</v>
      </c>
      <c r="U64" s="898">
        <v>4776</v>
      </c>
      <c r="V64" s="898">
        <v>129</v>
      </c>
      <c r="W64" s="898">
        <v>26317</v>
      </c>
      <c r="X64" s="898">
        <v>23478</v>
      </c>
      <c r="Y64" s="898">
        <v>1787</v>
      </c>
      <c r="Z64" s="898">
        <v>330</v>
      </c>
      <c r="AA64" s="898">
        <v>28048</v>
      </c>
      <c r="AB64" s="898">
        <v>26528</v>
      </c>
      <c r="AC64" s="898">
        <v>1307</v>
      </c>
      <c r="AD64" s="898">
        <v>213</v>
      </c>
      <c r="AE64" s="898">
        <v>30195</v>
      </c>
      <c r="AF64" s="898">
        <v>29509</v>
      </c>
      <c r="AG64" s="898">
        <v>478</v>
      </c>
      <c r="AH64" s="898">
        <v>208</v>
      </c>
      <c r="AI64" s="898">
        <v>32398</v>
      </c>
      <c r="AJ64" s="898">
        <v>30393</v>
      </c>
      <c r="AK64" s="898">
        <v>1888</v>
      </c>
      <c r="AL64" s="898">
        <v>117</v>
      </c>
      <c r="AM64" s="888">
        <f t="shared" si="22"/>
        <v>26.317</v>
      </c>
      <c r="AN64" s="888">
        <f t="shared" si="23"/>
        <v>19.329999999999998</v>
      </c>
      <c r="AO64" s="888">
        <f t="shared" si="24"/>
        <v>6.5739999999999998</v>
      </c>
      <c r="AP64" s="888">
        <f t="shared" si="25"/>
        <v>0.41299999999999998</v>
      </c>
      <c r="AQ64" s="888">
        <f t="shared" si="26"/>
        <v>31.300999999999998</v>
      </c>
      <c r="AR64" s="888">
        <f t="shared" si="27"/>
        <v>25.957999999999998</v>
      </c>
      <c r="AS64" s="888">
        <f t="shared" si="28"/>
        <v>5.1219999999999999</v>
      </c>
      <c r="AT64" s="888">
        <f t="shared" si="29"/>
        <v>0.221</v>
      </c>
      <c r="AU64" s="888">
        <f t="shared" si="30"/>
        <v>31.135999999999999</v>
      </c>
      <c r="AV64" s="888">
        <f t="shared" si="31"/>
        <v>28.004000000000001</v>
      </c>
      <c r="AW64" s="888">
        <f t="shared" si="32"/>
        <v>2.9980000000000002</v>
      </c>
      <c r="AX64" s="888">
        <f t="shared" si="33"/>
        <v>0.13500000000000001</v>
      </c>
      <c r="AY64" s="888">
        <f t="shared" si="34"/>
        <v>29.227</v>
      </c>
      <c r="AZ64" s="888">
        <f t="shared" si="35"/>
        <v>24.323</v>
      </c>
      <c r="BA64" s="888">
        <f t="shared" si="36"/>
        <v>4.7759999999999998</v>
      </c>
      <c r="BB64" s="888">
        <f t="shared" si="37"/>
        <v>0.129</v>
      </c>
      <c r="BC64" s="888">
        <f t="shared" si="38"/>
        <v>26.317</v>
      </c>
      <c r="BD64" s="888">
        <f t="shared" si="39"/>
        <v>23.478000000000002</v>
      </c>
      <c r="BE64" s="888">
        <f t="shared" si="40"/>
        <v>1.7869999999999999</v>
      </c>
      <c r="BF64" s="888">
        <f t="shared" si="41"/>
        <v>0.33</v>
      </c>
      <c r="BG64" s="888">
        <f t="shared" si="42"/>
        <v>28.047999999999998</v>
      </c>
      <c r="BH64" s="888">
        <f t="shared" si="43"/>
        <v>26.527999999999999</v>
      </c>
      <c r="BI64" s="888">
        <f t="shared" si="44"/>
        <v>1.3069999999999999</v>
      </c>
      <c r="BJ64" s="888">
        <f t="shared" si="45"/>
        <v>0.21299999999999999</v>
      </c>
      <c r="BK64" s="888">
        <f t="shared" si="46"/>
        <v>30.195</v>
      </c>
      <c r="BL64" s="888">
        <f t="shared" si="47"/>
        <v>29.509</v>
      </c>
      <c r="BM64" s="888">
        <f t="shared" si="48"/>
        <v>0.47799999999999998</v>
      </c>
      <c r="BN64" s="888">
        <f t="shared" si="49"/>
        <v>0.20799999999999999</v>
      </c>
      <c r="BO64" s="888">
        <f t="shared" si="50"/>
        <v>32.398000000000003</v>
      </c>
      <c r="BP64" s="888">
        <f t="shared" si="51"/>
        <v>30.393000000000001</v>
      </c>
      <c r="BQ64" s="888">
        <f t="shared" si="52"/>
        <v>1.8879999999999999</v>
      </c>
      <c r="BR64" s="888">
        <f t="shared" si="53"/>
        <v>0.11700000000000001</v>
      </c>
      <c r="BS64" s="904" t="s">
        <v>134</v>
      </c>
    </row>
    <row r="65" spans="1:71" x14ac:dyDescent="0.25">
      <c r="A65" s="884" t="s">
        <v>267</v>
      </c>
      <c r="B65" s="894" t="s">
        <v>268</v>
      </c>
      <c r="C65" s="892" t="s">
        <v>112</v>
      </c>
      <c r="D65" s="892">
        <v>22.59</v>
      </c>
      <c r="E65" s="892" t="s">
        <v>73</v>
      </c>
      <c r="F65" s="893">
        <v>0</v>
      </c>
      <c r="G65" s="897">
        <v>25859</v>
      </c>
      <c r="H65" s="897">
        <v>18994</v>
      </c>
      <c r="I65" s="897">
        <v>6459</v>
      </c>
      <c r="J65" s="897">
        <v>406</v>
      </c>
      <c r="K65" s="897">
        <v>30757</v>
      </c>
      <c r="L65" s="897">
        <v>25506</v>
      </c>
      <c r="M65" s="897">
        <v>5033</v>
      </c>
      <c r="N65" s="898">
        <v>217</v>
      </c>
      <c r="O65" s="898">
        <v>30594</v>
      </c>
      <c r="P65" s="898">
        <v>27517</v>
      </c>
      <c r="Q65" s="898">
        <v>2945</v>
      </c>
      <c r="R65" s="898">
        <v>132</v>
      </c>
      <c r="S65" s="898">
        <v>28719</v>
      </c>
      <c r="T65" s="898">
        <v>23899</v>
      </c>
      <c r="U65" s="898">
        <v>4693</v>
      </c>
      <c r="V65" s="898">
        <v>127</v>
      </c>
      <c r="W65" s="898">
        <v>25859</v>
      </c>
      <c r="X65" s="898">
        <v>23070</v>
      </c>
      <c r="Y65" s="898">
        <v>1756</v>
      </c>
      <c r="Z65" s="898">
        <v>325</v>
      </c>
      <c r="AA65" s="898">
        <v>27560</v>
      </c>
      <c r="AB65" s="898">
        <v>26066</v>
      </c>
      <c r="AC65" s="898">
        <v>1285</v>
      </c>
      <c r="AD65" s="898">
        <v>209</v>
      </c>
      <c r="AE65" s="898">
        <v>29670</v>
      </c>
      <c r="AF65" s="898">
        <v>28995</v>
      </c>
      <c r="AG65" s="898">
        <v>470</v>
      </c>
      <c r="AH65" s="898">
        <v>205</v>
      </c>
      <c r="AI65" s="898">
        <v>31834</v>
      </c>
      <c r="AJ65" s="898">
        <v>29864</v>
      </c>
      <c r="AK65" s="898">
        <v>1855</v>
      </c>
      <c r="AL65" s="898">
        <v>115</v>
      </c>
      <c r="AM65" s="888">
        <f t="shared" si="22"/>
        <v>25.859000000000002</v>
      </c>
      <c r="AN65" s="888">
        <f t="shared" si="23"/>
        <v>18.994</v>
      </c>
      <c r="AO65" s="888">
        <f t="shared" si="24"/>
        <v>6.4589999999999996</v>
      </c>
      <c r="AP65" s="888">
        <f t="shared" si="25"/>
        <v>0.40600000000000003</v>
      </c>
      <c r="AQ65" s="888">
        <f t="shared" si="26"/>
        <v>30.757000000000001</v>
      </c>
      <c r="AR65" s="888">
        <f t="shared" si="27"/>
        <v>25.506</v>
      </c>
      <c r="AS65" s="888">
        <f t="shared" si="28"/>
        <v>5.0330000000000004</v>
      </c>
      <c r="AT65" s="888">
        <f t="shared" si="29"/>
        <v>0.217</v>
      </c>
      <c r="AU65" s="888">
        <f t="shared" si="30"/>
        <v>30.594000000000001</v>
      </c>
      <c r="AV65" s="888">
        <f t="shared" si="31"/>
        <v>27.516999999999999</v>
      </c>
      <c r="AW65" s="888">
        <f t="shared" si="32"/>
        <v>2.9449999999999998</v>
      </c>
      <c r="AX65" s="888">
        <f t="shared" si="33"/>
        <v>0.13200000000000001</v>
      </c>
      <c r="AY65" s="888">
        <f t="shared" si="34"/>
        <v>28.719000000000001</v>
      </c>
      <c r="AZ65" s="888">
        <f t="shared" si="35"/>
        <v>23.899000000000001</v>
      </c>
      <c r="BA65" s="888">
        <f t="shared" si="36"/>
        <v>4.6929999999999996</v>
      </c>
      <c r="BB65" s="888">
        <f t="shared" si="37"/>
        <v>0.127</v>
      </c>
      <c r="BC65" s="888">
        <f t="shared" si="38"/>
        <v>25.859000000000002</v>
      </c>
      <c r="BD65" s="888">
        <f t="shared" si="39"/>
        <v>23.07</v>
      </c>
      <c r="BE65" s="888">
        <f t="shared" si="40"/>
        <v>1.756</v>
      </c>
      <c r="BF65" s="888">
        <f t="shared" si="41"/>
        <v>0.32500000000000001</v>
      </c>
      <c r="BG65" s="888">
        <f t="shared" si="42"/>
        <v>27.56</v>
      </c>
      <c r="BH65" s="888">
        <f t="shared" si="43"/>
        <v>26.065999999999999</v>
      </c>
      <c r="BI65" s="888">
        <f t="shared" si="44"/>
        <v>1.2849999999999999</v>
      </c>
      <c r="BJ65" s="888">
        <f t="shared" si="45"/>
        <v>0.20899999999999999</v>
      </c>
      <c r="BK65" s="888">
        <f t="shared" si="46"/>
        <v>29.67</v>
      </c>
      <c r="BL65" s="888">
        <f t="shared" si="47"/>
        <v>28.995000000000001</v>
      </c>
      <c r="BM65" s="888">
        <f t="shared" si="48"/>
        <v>0.47</v>
      </c>
      <c r="BN65" s="888">
        <f t="shared" si="49"/>
        <v>0.20499999999999999</v>
      </c>
      <c r="BO65" s="888">
        <f t="shared" si="50"/>
        <v>31.834</v>
      </c>
      <c r="BP65" s="888">
        <f t="shared" si="51"/>
        <v>29.864000000000001</v>
      </c>
      <c r="BQ65" s="888">
        <f t="shared" si="52"/>
        <v>1.855</v>
      </c>
      <c r="BR65" s="888">
        <f t="shared" si="53"/>
        <v>0.115</v>
      </c>
      <c r="BS65" s="904" t="s">
        <v>134</v>
      </c>
    </row>
    <row r="66" spans="1:71" x14ac:dyDescent="0.25">
      <c r="A66" s="884" t="s">
        <v>269</v>
      </c>
      <c r="B66" s="894" t="s">
        <v>270</v>
      </c>
      <c r="C66" s="892" t="s">
        <v>112</v>
      </c>
      <c r="D66" s="892">
        <v>11.21</v>
      </c>
      <c r="E66" s="892" t="s">
        <v>73</v>
      </c>
      <c r="F66" s="893">
        <v>0</v>
      </c>
      <c r="G66" s="897">
        <v>6335</v>
      </c>
      <c r="H66" s="897">
        <v>4653</v>
      </c>
      <c r="I66" s="897">
        <v>1583</v>
      </c>
      <c r="J66" s="897">
        <v>99</v>
      </c>
      <c r="K66" s="897">
        <v>7535</v>
      </c>
      <c r="L66" s="897">
        <v>6249</v>
      </c>
      <c r="M66" s="897">
        <v>1233</v>
      </c>
      <c r="N66" s="898">
        <v>53</v>
      </c>
      <c r="O66" s="898">
        <v>7496</v>
      </c>
      <c r="P66" s="898">
        <v>6742</v>
      </c>
      <c r="Q66" s="898">
        <v>722</v>
      </c>
      <c r="R66" s="898">
        <v>32</v>
      </c>
      <c r="S66" s="898">
        <v>7036</v>
      </c>
      <c r="T66" s="898">
        <v>5855</v>
      </c>
      <c r="U66" s="898">
        <v>1150</v>
      </c>
      <c r="V66" s="898">
        <v>31</v>
      </c>
      <c r="W66" s="898">
        <v>6335</v>
      </c>
      <c r="X66" s="898">
        <v>5652</v>
      </c>
      <c r="Y66" s="898">
        <v>430</v>
      </c>
      <c r="Z66" s="898">
        <v>80</v>
      </c>
      <c r="AA66" s="898">
        <v>6752</v>
      </c>
      <c r="AB66" s="898">
        <v>6386</v>
      </c>
      <c r="AC66" s="898">
        <v>315</v>
      </c>
      <c r="AD66" s="898">
        <v>51</v>
      </c>
      <c r="AE66" s="898">
        <v>7269</v>
      </c>
      <c r="AF66" s="898">
        <v>7104</v>
      </c>
      <c r="AG66" s="898">
        <v>115</v>
      </c>
      <c r="AH66" s="898">
        <v>50</v>
      </c>
      <c r="AI66" s="898">
        <v>7799</v>
      </c>
      <c r="AJ66" s="898">
        <v>7317</v>
      </c>
      <c r="AK66" s="898">
        <v>455</v>
      </c>
      <c r="AL66" s="898">
        <v>28</v>
      </c>
      <c r="AM66" s="888">
        <f t="shared" si="22"/>
        <v>6.335</v>
      </c>
      <c r="AN66" s="888">
        <f t="shared" si="23"/>
        <v>4.6529999999999996</v>
      </c>
      <c r="AO66" s="888">
        <f t="shared" si="24"/>
        <v>1.583</v>
      </c>
      <c r="AP66" s="888">
        <f t="shared" si="25"/>
        <v>9.9000000000000005E-2</v>
      </c>
      <c r="AQ66" s="888">
        <f t="shared" si="26"/>
        <v>7.5350000000000001</v>
      </c>
      <c r="AR66" s="888">
        <f t="shared" si="27"/>
        <v>6.2489999999999997</v>
      </c>
      <c r="AS66" s="888">
        <f t="shared" si="28"/>
        <v>1.2330000000000001</v>
      </c>
      <c r="AT66" s="888">
        <f t="shared" si="29"/>
        <v>5.2999999999999999E-2</v>
      </c>
      <c r="AU66" s="888">
        <f t="shared" si="30"/>
        <v>7.4960000000000004</v>
      </c>
      <c r="AV66" s="888">
        <f t="shared" si="31"/>
        <v>6.742</v>
      </c>
      <c r="AW66" s="888">
        <f t="shared" si="32"/>
        <v>0.72199999999999998</v>
      </c>
      <c r="AX66" s="888">
        <f t="shared" si="33"/>
        <v>3.2000000000000001E-2</v>
      </c>
      <c r="AY66" s="888">
        <f t="shared" si="34"/>
        <v>7.0359999999999996</v>
      </c>
      <c r="AZ66" s="888">
        <f t="shared" si="35"/>
        <v>5.8550000000000004</v>
      </c>
      <c r="BA66" s="888">
        <f t="shared" si="36"/>
        <v>1.1499999999999999</v>
      </c>
      <c r="BB66" s="888">
        <f t="shared" si="37"/>
        <v>3.1E-2</v>
      </c>
      <c r="BC66" s="888">
        <f t="shared" si="38"/>
        <v>6.335</v>
      </c>
      <c r="BD66" s="888">
        <f t="shared" si="39"/>
        <v>5.6520000000000001</v>
      </c>
      <c r="BE66" s="888">
        <f t="shared" si="40"/>
        <v>0.43</v>
      </c>
      <c r="BF66" s="888">
        <f t="shared" si="41"/>
        <v>0.08</v>
      </c>
      <c r="BG66" s="888">
        <f t="shared" si="42"/>
        <v>6.7519999999999998</v>
      </c>
      <c r="BH66" s="888">
        <f t="shared" si="43"/>
        <v>6.3860000000000001</v>
      </c>
      <c r="BI66" s="888">
        <f t="shared" si="44"/>
        <v>0.315</v>
      </c>
      <c r="BJ66" s="888">
        <f t="shared" si="45"/>
        <v>5.0999999999999997E-2</v>
      </c>
      <c r="BK66" s="888">
        <f t="shared" si="46"/>
        <v>7.2690000000000001</v>
      </c>
      <c r="BL66" s="888">
        <f t="shared" si="47"/>
        <v>7.1040000000000001</v>
      </c>
      <c r="BM66" s="888">
        <f t="shared" si="48"/>
        <v>0.115</v>
      </c>
      <c r="BN66" s="888">
        <f t="shared" si="49"/>
        <v>0.05</v>
      </c>
      <c r="BO66" s="888">
        <f t="shared" si="50"/>
        <v>7.7990000000000004</v>
      </c>
      <c r="BP66" s="888">
        <f t="shared" si="51"/>
        <v>7.3170000000000002</v>
      </c>
      <c r="BQ66" s="888">
        <f t="shared" si="52"/>
        <v>0.45500000000000002</v>
      </c>
      <c r="BR66" s="888">
        <f t="shared" si="53"/>
        <v>2.8000000000000001E-2</v>
      </c>
      <c r="BS66" s="904" t="s">
        <v>134</v>
      </c>
    </row>
    <row r="67" spans="1:71" x14ac:dyDescent="0.25">
      <c r="A67" s="884" t="s">
        <v>271</v>
      </c>
      <c r="B67" s="894" t="s">
        <v>272</v>
      </c>
      <c r="C67" s="892" t="s">
        <v>112</v>
      </c>
      <c r="D67" s="892">
        <v>33.979999999999997</v>
      </c>
      <c r="E67" s="892" t="s">
        <v>73</v>
      </c>
      <c r="F67" s="893">
        <v>0</v>
      </c>
      <c r="G67" s="897">
        <v>38897</v>
      </c>
      <c r="H67" s="897">
        <v>28570</v>
      </c>
      <c r="I67" s="897">
        <v>9716</v>
      </c>
      <c r="J67" s="897">
        <v>610</v>
      </c>
      <c r="K67" s="897">
        <v>46264</v>
      </c>
      <c r="L67" s="897">
        <v>38366</v>
      </c>
      <c r="M67" s="897">
        <v>7571</v>
      </c>
      <c r="N67" s="898">
        <v>327</v>
      </c>
      <c r="O67" s="898">
        <v>46020</v>
      </c>
      <c r="P67" s="898">
        <v>41391</v>
      </c>
      <c r="Q67" s="898">
        <v>4430</v>
      </c>
      <c r="R67" s="898">
        <v>199</v>
      </c>
      <c r="S67" s="898">
        <v>43199</v>
      </c>
      <c r="T67" s="898">
        <v>35950</v>
      </c>
      <c r="U67" s="898">
        <v>7059</v>
      </c>
      <c r="V67" s="898">
        <v>191</v>
      </c>
      <c r="W67" s="898">
        <v>38897</v>
      </c>
      <c r="X67" s="898">
        <v>34702</v>
      </c>
      <c r="Y67" s="898">
        <v>2641</v>
      </c>
      <c r="Z67" s="898">
        <v>488</v>
      </c>
      <c r="AA67" s="898">
        <v>41455</v>
      </c>
      <c r="AB67" s="898">
        <v>39209</v>
      </c>
      <c r="AC67" s="898">
        <v>1932</v>
      </c>
      <c r="AD67" s="898">
        <v>315</v>
      </c>
      <c r="AE67" s="898">
        <v>44629</v>
      </c>
      <c r="AF67" s="898">
        <v>43615</v>
      </c>
      <c r="AG67" s="898">
        <v>706</v>
      </c>
      <c r="AH67" s="898">
        <v>308</v>
      </c>
      <c r="AI67" s="898">
        <v>47885</v>
      </c>
      <c r="AJ67" s="898">
        <v>44922</v>
      </c>
      <c r="AK67" s="898">
        <v>2791</v>
      </c>
      <c r="AL67" s="898">
        <v>173</v>
      </c>
      <c r="AM67" s="888">
        <f t="shared" ref="AM67:AM117" si="54">IF($BS67="sf",G67/1000,G67)</f>
        <v>38.896999999999998</v>
      </c>
      <c r="AN67" s="888">
        <f t="shared" ref="AN67:AN117" si="55">IF($BS67="sf",H67/1000,H67)</f>
        <v>28.57</v>
      </c>
      <c r="AO67" s="888">
        <f t="shared" ref="AO67:AO117" si="56">IF($BS67="sf",I67/1000,I67)</f>
        <v>9.7159999999999993</v>
      </c>
      <c r="AP67" s="888">
        <f t="shared" ref="AP67:AP117" si="57">IF($BS67="sf",J67/1000,J67)</f>
        <v>0.61</v>
      </c>
      <c r="AQ67" s="888">
        <f t="shared" ref="AQ67:AQ117" si="58">IF($BS67="sf",K67/1000,K67)</f>
        <v>46.264000000000003</v>
      </c>
      <c r="AR67" s="888">
        <f t="shared" ref="AR67:AR117" si="59">IF($BS67="sf",L67/1000,L67)</f>
        <v>38.366</v>
      </c>
      <c r="AS67" s="888">
        <f t="shared" ref="AS67:AS117" si="60">IF($BS67="sf",M67/1000,M67)</f>
        <v>7.5709999999999997</v>
      </c>
      <c r="AT67" s="888">
        <f t="shared" ref="AT67:AT117" si="61">IF($BS67="sf",N67/1000,N67)</f>
        <v>0.32700000000000001</v>
      </c>
      <c r="AU67" s="888">
        <f t="shared" ref="AU67:AU117" si="62">IF($BS67="sf",O67/1000,O67)</f>
        <v>46.02</v>
      </c>
      <c r="AV67" s="888">
        <f t="shared" ref="AV67:AV117" si="63">IF($BS67="sf",P67/1000,P67)</f>
        <v>41.390999999999998</v>
      </c>
      <c r="AW67" s="888">
        <f t="shared" ref="AW67:AW117" si="64">IF($BS67="sf",Q67/1000,Q67)</f>
        <v>4.43</v>
      </c>
      <c r="AX67" s="888">
        <f t="shared" ref="AX67:AX117" si="65">IF($BS67="sf",R67/1000,R67)</f>
        <v>0.19900000000000001</v>
      </c>
      <c r="AY67" s="888">
        <f t="shared" ref="AY67:AY117" si="66">IF($BS67="sf",S67/1000,S67)</f>
        <v>43.198999999999998</v>
      </c>
      <c r="AZ67" s="888">
        <f t="shared" ref="AZ67:AZ117" si="67">IF($BS67="sf",T67/1000,T67)</f>
        <v>35.950000000000003</v>
      </c>
      <c r="BA67" s="888">
        <f t="shared" ref="BA67:BA117" si="68">IF($BS67="sf",U67/1000,U67)</f>
        <v>7.0590000000000002</v>
      </c>
      <c r="BB67" s="888">
        <f t="shared" ref="BB67:BB117" si="69">IF($BS67="sf",V67/1000,V67)</f>
        <v>0.191</v>
      </c>
      <c r="BC67" s="888">
        <f t="shared" ref="BC67:BC117" si="70">IF($BS67="sf",W67/1000,W67)</f>
        <v>38.896999999999998</v>
      </c>
      <c r="BD67" s="888">
        <f t="shared" ref="BD67:BD117" si="71">IF($BS67="sf",X67/1000,X67)</f>
        <v>34.701999999999998</v>
      </c>
      <c r="BE67" s="888">
        <f t="shared" ref="BE67:BE117" si="72">IF($BS67="sf",Y67/1000,Y67)</f>
        <v>2.641</v>
      </c>
      <c r="BF67" s="888">
        <f t="shared" ref="BF67:BF117" si="73">IF($BS67="sf",Z67/1000,Z67)</f>
        <v>0.48799999999999999</v>
      </c>
      <c r="BG67" s="888">
        <f t="shared" ref="BG67:BG117" si="74">IF($BS67="sf",AA67/1000,AA67)</f>
        <v>41.454999999999998</v>
      </c>
      <c r="BH67" s="888">
        <f t="shared" ref="BH67:BH117" si="75">IF($BS67="sf",AB67/1000,AB67)</f>
        <v>39.209000000000003</v>
      </c>
      <c r="BI67" s="888">
        <f t="shared" ref="BI67:BI117" si="76">IF($BS67="sf",AC67/1000,AC67)</f>
        <v>1.9319999999999999</v>
      </c>
      <c r="BJ67" s="888">
        <f t="shared" ref="BJ67:BJ117" si="77">IF($BS67="sf",AD67/1000,AD67)</f>
        <v>0.315</v>
      </c>
      <c r="BK67" s="888">
        <f t="shared" ref="BK67:BK117" si="78">IF($BS67="sf",AE67/1000,AE67)</f>
        <v>44.628999999999998</v>
      </c>
      <c r="BL67" s="888">
        <f t="shared" ref="BL67:BL117" si="79">IF($BS67="sf",AF67/1000,AF67)</f>
        <v>43.615000000000002</v>
      </c>
      <c r="BM67" s="888">
        <f t="shared" ref="BM67:BM117" si="80">IF($BS67="sf",AG67/1000,AG67)</f>
        <v>0.70599999999999996</v>
      </c>
      <c r="BN67" s="888">
        <f t="shared" ref="BN67:BN117" si="81">IF($BS67="sf",AH67/1000,AH67)</f>
        <v>0.308</v>
      </c>
      <c r="BO67" s="888">
        <f t="shared" ref="BO67:BO117" si="82">IF($BS67="sf",AI67/1000,AI67)</f>
        <v>47.884999999999998</v>
      </c>
      <c r="BP67" s="888">
        <f t="shared" ref="BP67:BP117" si="83">IF($BS67="sf",AJ67/1000,AJ67)</f>
        <v>44.921999999999997</v>
      </c>
      <c r="BQ67" s="888">
        <f t="shared" ref="BQ67:BQ117" si="84">IF($BS67="sf",AK67/1000,AK67)</f>
        <v>2.7909999999999999</v>
      </c>
      <c r="BR67" s="888">
        <f t="shared" ref="BR67:BR117" si="85">IF($BS67="sf",AL67/1000,AL67)</f>
        <v>0.17299999999999999</v>
      </c>
      <c r="BS67" s="904" t="s">
        <v>134</v>
      </c>
    </row>
    <row r="68" spans="1:71" x14ac:dyDescent="0.25">
      <c r="A68" s="884" t="s">
        <v>273</v>
      </c>
      <c r="B68" s="884" t="s">
        <v>274</v>
      </c>
      <c r="C68" s="886" t="s">
        <v>112</v>
      </c>
      <c r="D68" s="886">
        <v>11.07</v>
      </c>
      <c r="E68" s="886" t="s">
        <v>73</v>
      </c>
      <c r="F68" s="887">
        <v>11350</v>
      </c>
      <c r="G68" s="897">
        <v>12672</v>
      </c>
      <c r="H68" s="897">
        <v>9308</v>
      </c>
      <c r="I68" s="897">
        <v>3165</v>
      </c>
      <c r="J68" s="897">
        <v>199</v>
      </c>
      <c r="K68" s="897">
        <v>15072</v>
      </c>
      <c r="L68" s="897">
        <v>12499</v>
      </c>
      <c r="M68" s="897">
        <v>2466</v>
      </c>
      <c r="N68" s="898">
        <v>107</v>
      </c>
      <c r="O68" s="898">
        <v>14992</v>
      </c>
      <c r="P68" s="898">
        <v>13484</v>
      </c>
      <c r="Q68" s="898">
        <v>1443</v>
      </c>
      <c r="R68" s="898">
        <v>65</v>
      </c>
      <c r="S68" s="898">
        <v>14073</v>
      </c>
      <c r="T68" s="898">
        <v>11712</v>
      </c>
      <c r="U68" s="898">
        <v>2300</v>
      </c>
      <c r="V68" s="898">
        <v>62</v>
      </c>
      <c r="W68" s="898">
        <v>12672</v>
      </c>
      <c r="X68" s="898">
        <v>11305</v>
      </c>
      <c r="Y68" s="898">
        <v>860</v>
      </c>
      <c r="Z68" s="898">
        <v>159</v>
      </c>
      <c r="AA68" s="898">
        <v>13505</v>
      </c>
      <c r="AB68" s="898">
        <v>12773</v>
      </c>
      <c r="AC68" s="898">
        <v>629</v>
      </c>
      <c r="AD68" s="898">
        <v>102</v>
      </c>
      <c r="AE68" s="898">
        <v>14539</v>
      </c>
      <c r="AF68" s="898">
        <v>14209</v>
      </c>
      <c r="AG68" s="898">
        <v>230</v>
      </c>
      <c r="AH68" s="898">
        <v>100</v>
      </c>
      <c r="AI68" s="898">
        <v>15600</v>
      </c>
      <c r="AJ68" s="898">
        <v>14635</v>
      </c>
      <c r="AK68" s="898">
        <v>909</v>
      </c>
      <c r="AL68" s="898">
        <v>56</v>
      </c>
      <c r="AM68" s="888">
        <f t="shared" si="54"/>
        <v>12.672000000000001</v>
      </c>
      <c r="AN68" s="888">
        <f t="shared" si="55"/>
        <v>9.3079999999999998</v>
      </c>
      <c r="AO68" s="888">
        <f t="shared" si="56"/>
        <v>3.165</v>
      </c>
      <c r="AP68" s="888">
        <f t="shared" si="57"/>
        <v>0.19900000000000001</v>
      </c>
      <c r="AQ68" s="888">
        <f t="shared" si="58"/>
        <v>15.071999999999999</v>
      </c>
      <c r="AR68" s="888">
        <f t="shared" si="59"/>
        <v>12.499000000000001</v>
      </c>
      <c r="AS68" s="888">
        <f t="shared" si="60"/>
        <v>2.4660000000000002</v>
      </c>
      <c r="AT68" s="888">
        <f t="shared" si="61"/>
        <v>0.107</v>
      </c>
      <c r="AU68" s="888">
        <f t="shared" si="62"/>
        <v>14.992000000000001</v>
      </c>
      <c r="AV68" s="888">
        <f t="shared" si="63"/>
        <v>13.484</v>
      </c>
      <c r="AW68" s="888">
        <f t="shared" si="64"/>
        <v>1.4430000000000001</v>
      </c>
      <c r="AX68" s="888">
        <f t="shared" si="65"/>
        <v>6.5000000000000002E-2</v>
      </c>
      <c r="AY68" s="888">
        <f t="shared" si="66"/>
        <v>14.073</v>
      </c>
      <c r="AZ68" s="888">
        <f t="shared" si="67"/>
        <v>11.712</v>
      </c>
      <c r="BA68" s="888">
        <f t="shared" si="68"/>
        <v>2.2999999999999998</v>
      </c>
      <c r="BB68" s="888">
        <f t="shared" si="69"/>
        <v>6.2E-2</v>
      </c>
      <c r="BC68" s="888">
        <f t="shared" si="70"/>
        <v>12.672000000000001</v>
      </c>
      <c r="BD68" s="888">
        <f t="shared" si="71"/>
        <v>11.305</v>
      </c>
      <c r="BE68" s="888">
        <f t="shared" si="72"/>
        <v>0.86</v>
      </c>
      <c r="BF68" s="888">
        <f t="shared" si="73"/>
        <v>0.159</v>
      </c>
      <c r="BG68" s="888">
        <f t="shared" si="74"/>
        <v>13.505000000000001</v>
      </c>
      <c r="BH68" s="888">
        <f t="shared" si="75"/>
        <v>12.773</v>
      </c>
      <c r="BI68" s="888">
        <f t="shared" si="76"/>
        <v>0.629</v>
      </c>
      <c r="BJ68" s="888">
        <f t="shared" si="77"/>
        <v>0.10199999999999999</v>
      </c>
      <c r="BK68" s="888">
        <f t="shared" si="78"/>
        <v>14.539</v>
      </c>
      <c r="BL68" s="888">
        <f t="shared" si="79"/>
        <v>14.209</v>
      </c>
      <c r="BM68" s="888">
        <f t="shared" si="80"/>
        <v>0.23</v>
      </c>
      <c r="BN68" s="888">
        <f t="shared" si="81"/>
        <v>0.1</v>
      </c>
      <c r="BO68" s="888">
        <f t="shared" si="82"/>
        <v>15.6</v>
      </c>
      <c r="BP68" s="888">
        <f t="shared" si="83"/>
        <v>14.635</v>
      </c>
      <c r="BQ68" s="888">
        <f t="shared" si="84"/>
        <v>0.90900000000000003</v>
      </c>
      <c r="BR68" s="888">
        <f t="shared" si="85"/>
        <v>5.6000000000000001E-2</v>
      </c>
      <c r="BS68" s="904" t="s">
        <v>134</v>
      </c>
    </row>
    <row r="69" spans="1:71" x14ac:dyDescent="0.25">
      <c r="A69" s="884" t="s">
        <v>275</v>
      </c>
      <c r="B69" s="884" t="s">
        <v>276</v>
      </c>
      <c r="C69" s="886" t="s">
        <v>112</v>
      </c>
      <c r="D69" s="886">
        <v>11.26</v>
      </c>
      <c r="E69" s="886" t="s">
        <v>73</v>
      </c>
      <c r="F69" s="887">
        <v>8060</v>
      </c>
      <c r="G69" s="897">
        <v>12889</v>
      </c>
      <c r="H69" s="897">
        <v>9467</v>
      </c>
      <c r="I69" s="897">
        <v>3220</v>
      </c>
      <c r="J69" s="897">
        <v>202</v>
      </c>
      <c r="K69" s="897">
        <v>15331</v>
      </c>
      <c r="L69" s="897">
        <v>12714</v>
      </c>
      <c r="M69" s="897">
        <v>2509</v>
      </c>
      <c r="N69" s="898">
        <v>108</v>
      </c>
      <c r="O69" s="898">
        <v>15250</v>
      </c>
      <c r="P69" s="898">
        <v>13716</v>
      </c>
      <c r="Q69" s="898">
        <v>1468</v>
      </c>
      <c r="R69" s="898">
        <v>66</v>
      </c>
      <c r="S69" s="898">
        <v>14315</v>
      </c>
      <c r="T69" s="898">
        <v>11913</v>
      </c>
      <c r="U69" s="898">
        <v>2339</v>
      </c>
      <c r="V69" s="898">
        <v>63</v>
      </c>
      <c r="W69" s="898">
        <v>12889</v>
      </c>
      <c r="X69" s="898">
        <v>11499</v>
      </c>
      <c r="Y69" s="898">
        <v>875</v>
      </c>
      <c r="Z69" s="898">
        <v>162</v>
      </c>
      <c r="AA69" s="898">
        <v>13737</v>
      </c>
      <c r="AB69" s="898">
        <v>12993</v>
      </c>
      <c r="AC69" s="898">
        <v>640</v>
      </c>
      <c r="AD69" s="898">
        <v>104</v>
      </c>
      <c r="AE69" s="898">
        <v>14789</v>
      </c>
      <c r="AF69" s="898">
        <v>14453</v>
      </c>
      <c r="AG69" s="898">
        <v>234</v>
      </c>
      <c r="AH69" s="898">
        <v>102</v>
      </c>
      <c r="AI69" s="898">
        <v>15868</v>
      </c>
      <c r="AJ69" s="898">
        <v>14886</v>
      </c>
      <c r="AK69" s="898">
        <v>925</v>
      </c>
      <c r="AL69" s="898">
        <v>57</v>
      </c>
      <c r="AM69" s="888">
        <f t="shared" si="54"/>
        <v>12.888999999999999</v>
      </c>
      <c r="AN69" s="888">
        <f t="shared" si="55"/>
        <v>9.4670000000000005</v>
      </c>
      <c r="AO69" s="888">
        <f t="shared" si="56"/>
        <v>3.22</v>
      </c>
      <c r="AP69" s="888">
        <f t="shared" si="57"/>
        <v>0.20200000000000001</v>
      </c>
      <c r="AQ69" s="888">
        <f t="shared" si="58"/>
        <v>15.331</v>
      </c>
      <c r="AR69" s="888">
        <f t="shared" si="59"/>
        <v>12.714</v>
      </c>
      <c r="AS69" s="888">
        <f t="shared" si="60"/>
        <v>2.5089999999999999</v>
      </c>
      <c r="AT69" s="888">
        <f t="shared" si="61"/>
        <v>0.108</v>
      </c>
      <c r="AU69" s="888">
        <f t="shared" si="62"/>
        <v>15.25</v>
      </c>
      <c r="AV69" s="888">
        <f t="shared" si="63"/>
        <v>13.715999999999999</v>
      </c>
      <c r="AW69" s="888">
        <f t="shared" si="64"/>
        <v>1.468</v>
      </c>
      <c r="AX69" s="888">
        <f t="shared" si="65"/>
        <v>6.6000000000000003E-2</v>
      </c>
      <c r="AY69" s="888">
        <f t="shared" si="66"/>
        <v>14.315</v>
      </c>
      <c r="AZ69" s="888">
        <f t="shared" si="67"/>
        <v>11.913</v>
      </c>
      <c r="BA69" s="888">
        <f t="shared" si="68"/>
        <v>2.339</v>
      </c>
      <c r="BB69" s="888">
        <f t="shared" si="69"/>
        <v>6.3E-2</v>
      </c>
      <c r="BC69" s="888">
        <f t="shared" si="70"/>
        <v>12.888999999999999</v>
      </c>
      <c r="BD69" s="888">
        <f t="shared" si="71"/>
        <v>11.499000000000001</v>
      </c>
      <c r="BE69" s="888">
        <f t="shared" si="72"/>
        <v>0.875</v>
      </c>
      <c r="BF69" s="888">
        <f t="shared" si="73"/>
        <v>0.16200000000000001</v>
      </c>
      <c r="BG69" s="888">
        <f t="shared" si="74"/>
        <v>13.737</v>
      </c>
      <c r="BH69" s="888">
        <f t="shared" si="75"/>
        <v>12.993</v>
      </c>
      <c r="BI69" s="888">
        <f t="shared" si="76"/>
        <v>0.64</v>
      </c>
      <c r="BJ69" s="888">
        <f t="shared" si="77"/>
        <v>0.104</v>
      </c>
      <c r="BK69" s="888">
        <f t="shared" si="78"/>
        <v>14.789</v>
      </c>
      <c r="BL69" s="888">
        <f t="shared" si="79"/>
        <v>14.452999999999999</v>
      </c>
      <c r="BM69" s="888">
        <f t="shared" si="80"/>
        <v>0.23400000000000001</v>
      </c>
      <c r="BN69" s="888">
        <f t="shared" si="81"/>
        <v>0.10199999999999999</v>
      </c>
      <c r="BO69" s="888">
        <f t="shared" si="82"/>
        <v>15.868</v>
      </c>
      <c r="BP69" s="888">
        <f t="shared" si="83"/>
        <v>14.885999999999999</v>
      </c>
      <c r="BQ69" s="888">
        <f t="shared" si="84"/>
        <v>0.92500000000000004</v>
      </c>
      <c r="BR69" s="888">
        <f t="shared" si="85"/>
        <v>5.7000000000000002E-2</v>
      </c>
      <c r="BS69" s="904" t="s">
        <v>134</v>
      </c>
    </row>
    <row r="70" spans="1:71" x14ac:dyDescent="0.25">
      <c r="A70" s="884" t="s">
        <v>277</v>
      </c>
      <c r="B70" s="884" t="s">
        <v>278</v>
      </c>
      <c r="C70" s="886" t="s">
        <v>112</v>
      </c>
      <c r="D70" s="886">
        <v>12.44</v>
      </c>
      <c r="E70" s="886" t="s">
        <v>73</v>
      </c>
      <c r="F70" s="887">
        <v>12682</v>
      </c>
      <c r="G70" s="897">
        <v>14240</v>
      </c>
      <c r="H70" s="897">
        <v>10460</v>
      </c>
      <c r="I70" s="897">
        <v>3557</v>
      </c>
      <c r="J70" s="897">
        <v>223</v>
      </c>
      <c r="K70" s="897">
        <v>16937</v>
      </c>
      <c r="L70" s="897">
        <v>14046</v>
      </c>
      <c r="M70" s="897">
        <v>2772</v>
      </c>
      <c r="N70" s="898">
        <v>120</v>
      </c>
      <c r="O70" s="898">
        <v>16848</v>
      </c>
      <c r="P70" s="898">
        <v>15153</v>
      </c>
      <c r="Q70" s="898">
        <v>1622</v>
      </c>
      <c r="R70" s="898">
        <v>73</v>
      </c>
      <c r="S70" s="898">
        <v>15815</v>
      </c>
      <c r="T70" s="898">
        <v>13161</v>
      </c>
      <c r="U70" s="898">
        <v>2584</v>
      </c>
      <c r="V70" s="898">
        <v>70</v>
      </c>
      <c r="W70" s="898">
        <v>14240</v>
      </c>
      <c r="X70" s="898">
        <v>12704</v>
      </c>
      <c r="Y70" s="898">
        <v>967</v>
      </c>
      <c r="Z70" s="898">
        <v>179</v>
      </c>
      <c r="AA70" s="898">
        <v>15177</v>
      </c>
      <c r="AB70" s="898">
        <v>14354</v>
      </c>
      <c r="AC70" s="898">
        <v>707</v>
      </c>
      <c r="AD70" s="898">
        <v>115</v>
      </c>
      <c r="AE70" s="898">
        <v>16339</v>
      </c>
      <c r="AF70" s="898">
        <v>15967</v>
      </c>
      <c r="AG70" s="898">
        <v>259</v>
      </c>
      <c r="AH70" s="898">
        <v>113</v>
      </c>
      <c r="AI70" s="898">
        <v>17531</v>
      </c>
      <c r="AJ70" s="898">
        <v>16446</v>
      </c>
      <c r="AK70" s="898">
        <v>1022</v>
      </c>
      <c r="AL70" s="898">
        <v>63</v>
      </c>
      <c r="AM70" s="888">
        <f t="shared" si="54"/>
        <v>14.24</v>
      </c>
      <c r="AN70" s="888">
        <f t="shared" si="55"/>
        <v>10.46</v>
      </c>
      <c r="AO70" s="888">
        <f t="shared" si="56"/>
        <v>3.5569999999999999</v>
      </c>
      <c r="AP70" s="888">
        <f t="shared" si="57"/>
        <v>0.223</v>
      </c>
      <c r="AQ70" s="888">
        <f t="shared" si="58"/>
        <v>16.937000000000001</v>
      </c>
      <c r="AR70" s="888">
        <f t="shared" si="59"/>
        <v>14.045999999999999</v>
      </c>
      <c r="AS70" s="888">
        <f t="shared" si="60"/>
        <v>2.7719999999999998</v>
      </c>
      <c r="AT70" s="888">
        <f t="shared" si="61"/>
        <v>0.12</v>
      </c>
      <c r="AU70" s="888">
        <f t="shared" si="62"/>
        <v>16.847999999999999</v>
      </c>
      <c r="AV70" s="888">
        <f t="shared" si="63"/>
        <v>15.153</v>
      </c>
      <c r="AW70" s="888">
        <f t="shared" si="64"/>
        <v>1.6220000000000001</v>
      </c>
      <c r="AX70" s="888">
        <f t="shared" si="65"/>
        <v>7.2999999999999995E-2</v>
      </c>
      <c r="AY70" s="888">
        <f t="shared" si="66"/>
        <v>15.815</v>
      </c>
      <c r="AZ70" s="888">
        <f t="shared" si="67"/>
        <v>13.161</v>
      </c>
      <c r="BA70" s="888">
        <f t="shared" si="68"/>
        <v>2.5840000000000001</v>
      </c>
      <c r="BB70" s="888">
        <f t="shared" si="69"/>
        <v>7.0000000000000007E-2</v>
      </c>
      <c r="BC70" s="888">
        <f t="shared" si="70"/>
        <v>14.24</v>
      </c>
      <c r="BD70" s="888">
        <f t="shared" si="71"/>
        <v>12.704000000000001</v>
      </c>
      <c r="BE70" s="888">
        <f t="shared" si="72"/>
        <v>0.96699999999999997</v>
      </c>
      <c r="BF70" s="888">
        <f t="shared" si="73"/>
        <v>0.17899999999999999</v>
      </c>
      <c r="BG70" s="888">
        <f t="shared" si="74"/>
        <v>15.177</v>
      </c>
      <c r="BH70" s="888">
        <f t="shared" si="75"/>
        <v>14.353999999999999</v>
      </c>
      <c r="BI70" s="888">
        <f t="shared" si="76"/>
        <v>0.70699999999999996</v>
      </c>
      <c r="BJ70" s="888">
        <f t="shared" si="77"/>
        <v>0.115</v>
      </c>
      <c r="BK70" s="888">
        <f t="shared" si="78"/>
        <v>16.338999999999999</v>
      </c>
      <c r="BL70" s="888">
        <f t="shared" si="79"/>
        <v>15.967000000000001</v>
      </c>
      <c r="BM70" s="888">
        <f t="shared" si="80"/>
        <v>0.25900000000000001</v>
      </c>
      <c r="BN70" s="888">
        <f t="shared" si="81"/>
        <v>0.113</v>
      </c>
      <c r="BO70" s="888">
        <f t="shared" si="82"/>
        <v>17.530999999999999</v>
      </c>
      <c r="BP70" s="888">
        <f t="shared" si="83"/>
        <v>16.446000000000002</v>
      </c>
      <c r="BQ70" s="888">
        <f t="shared" si="84"/>
        <v>1.022</v>
      </c>
      <c r="BR70" s="888">
        <f t="shared" si="85"/>
        <v>6.3E-2</v>
      </c>
      <c r="BS70" s="904" t="s">
        <v>134</v>
      </c>
    </row>
    <row r="71" spans="1:71" x14ac:dyDescent="0.25">
      <c r="A71" s="884" t="s">
        <v>279</v>
      </c>
      <c r="B71" s="894" t="s">
        <v>280</v>
      </c>
      <c r="C71" s="892" t="s">
        <v>112</v>
      </c>
      <c r="D71" s="892">
        <v>18.05</v>
      </c>
      <c r="E71" s="892" t="s">
        <v>73</v>
      </c>
      <c r="F71" s="893">
        <v>0</v>
      </c>
      <c r="G71" s="897">
        <v>14575</v>
      </c>
      <c r="H71" s="897">
        <v>10705</v>
      </c>
      <c r="I71" s="897">
        <v>3641</v>
      </c>
      <c r="J71" s="897">
        <v>229</v>
      </c>
      <c r="K71" s="897">
        <v>17335</v>
      </c>
      <c r="L71" s="897">
        <v>14376</v>
      </c>
      <c r="M71" s="897">
        <v>2837</v>
      </c>
      <c r="N71" s="898">
        <v>123</v>
      </c>
      <c r="O71" s="898">
        <v>17244</v>
      </c>
      <c r="P71" s="898">
        <v>15509</v>
      </c>
      <c r="Q71" s="898">
        <v>1660</v>
      </c>
      <c r="R71" s="898">
        <v>75</v>
      </c>
      <c r="S71" s="898">
        <v>16187</v>
      </c>
      <c r="T71" s="898">
        <v>13471</v>
      </c>
      <c r="U71" s="898">
        <v>2645</v>
      </c>
      <c r="V71" s="898">
        <v>71</v>
      </c>
      <c r="W71" s="898">
        <v>14575</v>
      </c>
      <c r="X71" s="898">
        <v>13003</v>
      </c>
      <c r="Y71" s="898">
        <v>990</v>
      </c>
      <c r="Z71" s="898">
        <v>183</v>
      </c>
      <c r="AA71" s="898">
        <v>15534</v>
      </c>
      <c r="AB71" s="898">
        <v>14692</v>
      </c>
      <c r="AC71" s="898">
        <v>724</v>
      </c>
      <c r="AD71" s="898">
        <v>118</v>
      </c>
      <c r="AE71" s="898">
        <v>16723</v>
      </c>
      <c r="AF71" s="898">
        <v>16343</v>
      </c>
      <c r="AG71" s="898">
        <v>265</v>
      </c>
      <c r="AH71" s="898">
        <v>115</v>
      </c>
      <c r="AI71" s="898">
        <v>17943</v>
      </c>
      <c r="AJ71" s="898">
        <v>16832</v>
      </c>
      <c r="AK71" s="898">
        <v>1046</v>
      </c>
      <c r="AL71" s="898">
        <v>65</v>
      </c>
      <c r="AM71" s="888">
        <f t="shared" si="54"/>
        <v>14.574999999999999</v>
      </c>
      <c r="AN71" s="888">
        <f t="shared" si="55"/>
        <v>10.705</v>
      </c>
      <c r="AO71" s="888">
        <f t="shared" si="56"/>
        <v>3.641</v>
      </c>
      <c r="AP71" s="888">
        <f t="shared" si="57"/>
        <v>0.22900000000000001</v>
      </c>
      <c r="AQ71" s="888">
        <f t="shared" si="58"/>
        <v>17.335000000000001</v>
      </c>
      <c r="AR71" s="888">
        <f t="shared" si="59"/>
        <v>14.375999999999999</v>
      </c>
      <c r="AS71" s="888">
        <f t="shared" si="60"/>
        <v>2.8370000000000002</v>
      </c>
      <c r="AT71" s="888">
        <f t="shared" si="61"/>
        <v>0.123</v>
      </c>
      <c r="AU71" s="888">
        <f t="shared" si="62"/>
        <v>17.244</v>
      </c>
      <c r="AV71" s="888">
        <f t="shared" si="63"/>
        <v>15.509</v>
      </c>
      <c r="AW71" s="888">
        <f t="shared" si="64"/>
        <v>1.66</v>
      </c>
      <c r="AX71" s="888">
        <f t="shared" si="65"/>
        <v>7.4999999999999997E-2</v>
      </c>
      <c r="AY71" s="888">
        <f t="shared" si="66"/>
        <v>16.187000000000001</v>
      </c>
      <c r="AZ71" s="888">
        <f t="shared" si="67"/>
        <v>13.471</v>
      </c>
      <c r="BA71" s="888">
        <f t="shared" si="68"/>
        <v>2.645</v>
      </c>
      <c r="BB71" s="888">
        <f t="shared" si="69"/>
        <v>7.0999999999999994E-2</v>
      </c>
      <c r="BC71" s="888">
        <f t="shared" si="70"/>
        <v>14.574999999999999</v>
      </c>
      <c r="BD71" s="888">
        <f t="shared" si="71"/>
        <v>13.003</v>
      </c>
      <c r="BE71" s="888">
        <f t="shared" si="72"/>
        <v>0.99</v>
      </c>
      <c r="BF71" s="888">
        <f t="shared" si="73"/>
        <v>0.183</v>
      </c>
      <c r="BG71" s="888">
        <f t="shared" si="74"/>
        <v>15.534000000000001</v>
      </c>
      <c r="BH71" s="888">
        <f t="shared" si="75"/>
        <v>14.692</v>
      </c>
      <c r="BI71" s="888">
        <f t="shared" si="76"/>
        <v>0.72399999999999998</v>
      </c>
      <c r="BJ71" s="888">
        <f t="shared" si="77"/>
        <v>0.11799999999999999</v>
      </c>
      <c r="BK71" s="888">
        <f t="shared" si="78"/>
        <v>16.722999999999999</v>
      </c>
      <c r="BL71" s="888">
        <f t="shared" si="79"/>
        <v>16.343</v>
      </c>
      <c r="BM71" s="888">
        <f t="shared" si="80"/>
        <v>0.26500000000000001</v>
      </c>
      <c r="BN71" s="888">
        <f t="shared" si="81"/>
        <v>0.115</v>
      </c>
      <c r="BO71" s="888">
        <f t="shared" si="82"/>
        <v>17.943000000000001</v>
      </c>
      <c r="BP71" s="888">
        <f t="shared" si="83"/>
        <v>16.832000000000001</v>
      </c>
      <c r="BQ71" s="888">
        <f t="shared" si="84"/>
        <v>1.046</v>
      </c>
      <c r="BR71" s="888">
        <f t="shared" si="85"/>
        <v>6.5000000000000002E-2</v>
      </c>
      <c r="BS71" s="904" t="s">
        <v>134</v>
      </c>
    </row>
    <row r="72" spans="1:71" x14ac:dyDescent="0.25">
      <c r="A72" s="884" t="s">
        <v>281</v>
      </c>
      <c r="B72" s="884" t="s">
        <v>282</v>
      </c>
      <c r="C72" s="886" t="s">
        <v>112</v>
      </c>
      <c r="D72" s="886">
        <v>50.7</v>
      </c>
      <c r="E72" s="886" t="s">
        <v>73</v>
      </c>
      <c r="F72" s="887">
        <v>20593</v>
      </c>
      <c r="G72" s="897">
        <v>40208</v>
      </c>
      <c r="H72" s="897">
        <v>29534</v>
      </c>
      <c r="I72" s="897">
        <v>10044</v>
      </c>
      <c r="J72" s="897">
        <v>631</v>
      </c>
      <c r="K72" s="897">
        <v>47824</v>
      </c>
      <c r="L72" s="897">
        <v>39660</v>
      </c>
      <c r="M72" s="897">
        <v>7826</v>
      </c>
      <c r="N72" s="898">
        <v>338</v>
      </c>
      <c r="O72" s="898">
        <v>47572</v>
      </c>
      <c r="P72" s="898">
        <v>42786</v>
      </c>
      <c r="Q72" s="898">
        <v>4580</v>
      </c>
      <c r="R72" s="898">
        <v>206</v>
      </c>
      <c r="S72" s="898">
        <v>44656</v>
      </c>
      <c r="T72" s="898">
        <v>37162</v>
      </c>
      <c r="U72" s="898">
        <v>7297</v>
      </c>
      <c r="V72" s="898">
        <v>197</v>
      </c>
      <c r="W72" s="898">
        <v>40208</v>
      </c>
      <c r="X72" s="898">
        <v>35872</v>
      </c>
      <c r="Y72" s="898">
        <v>2730</v>
      </c>
      <c r="Z72" s="898">
        <v>505</v>
      </c>
      <c r="AA72" s="898">
        <v>42853</v>
      </c>
      <c r="AB72" s="898">
        <v>40531</v>
      </c>
      <c r="AC72" s="898">
        <v>1997</v>
      </c>
      <c r="AD72" s="898">
        <v>325</v>
      </c>
      <c r="AE72" s="898">
        <v>46134</v>
      </c>
      <c r="AF72" s="898">
        <v>45085</v>
      </c>
      <c r="AG72" s="898">
        <v>730</v>
      </c>
      <c r="AH72" s="898">
        <v>318</v>
      </c>
      <c r="AI72" s="898">
        <v>49500</v>
      </c>
      <c r="AJ72" s="898">
        <v>46436</v>
      </c>
      <c r="AK72" s="898">
        <v>2885</v>
      </c>
      <c r="AL72" s="898">
        <v>179</v>
      </c>
      <c r="AM72" s="888">
        <f t="shared" si="54"/>
        <v>40.207999999999998</v>
      </c>
      <c r="AN72" s="888">
        <f t="shared" si="55"/>
        <v>29.533999999999999</v>
      </c>
      <c r="AO72" s="888">
        <f t="shared" si="56"/>
        <v>10.044</v>
      </c>
      <c r="AP72" s="888">
        <f t="shared" si="57"/>
        <v>0.63100000000000001</v>
      </c>
      <c r="AQ72" s="888">
        <f t="shared" si="58"/>
        <v>47.823999999999998</v>
      </c>
      <c r="AR72" s="888">
        <f t="shared" si="59"/>
        <v>39.659999999999997</v>
      </c>
      <c r="AS72" s="888">
        <f t="shared" si="60"/>
        <v>7.8259999999999996</v>
      </c>
      <c r="AT72" s="888">
        <f t="shared" si="61"/>
        <v>0.33800000000000002</v>
      </c>
      <c r="AU72" s="888">
        <f t="shared" si="62"/>
        <v>47.572000000000003</v>
      </c>
      <c r="AV72" s="888">
        <f t="shared" si="63"/>
        <v>42.786000000000001</v>
      </c>
      <c r="AW72" s="888">
        <f t="shared" si="64"/>
        <v>4.58</v>
      </c>
      <c r="AX72" s="888">
        <f t="shared" si="65"/>
        <v>0.20599999999999999</v>
      </c>
      <c r="AY72" s="888">
        <f t="shared" si="66"/>
        <v>44.655999999999999</v>
      </c>
      <c r="AZ72" s="888">
        <f t="shared" si="67"/>
        <v>37.161999999999999</v>
      </c>
      <c r="BA72" s="888">
        <f t="shared" si="68"/>
        <v>7.2969999999999997</v>
      </c>
      <c r="BB72" s="888">
        <f t="shared" si="69"/>
        <v>0.19700000000000001</v>
      </c>
      <c r="BC72" s="888">
        <f t="shared" si="70"/>
        <v>40.207999999999998</v>
      </c>
      <c r="BD72" s="888">
        <f t="shared" si="71"/>
        <v>35.872</v>
      </c>
      <c r="BE72" s="888">
        <f t="shared" si="72"/>
        <v>2.73</v>
      </c>
      <c r="BF72" s="888">
        <f t="shared" si="73"/>
        <v>0.505</v>
      </c>
      <c r="BG72" s="888">
        <f t="shared" si="74"/>
        <v>42.853000000000002</v>
      </c>
      <c r="BH72" s="888">
        <f t="shared" si="75"/>
        <v>40.530999999999999</v>
      </c>
      <c r="BI72" s="888">
        <f t="shared" si="76"/>
        <v>1.9970000000000001</v>
      </c>
      <c r="BJ72" s="888">
        <f t="shared" si="77"/>
        <v>0.32500000000000001</v>
      </c>
      <c r="BK72" s="888">
        <f t="shared" si="78"/>
        <v>46.134</v>
      </c>
      <c r="BL72" s="888">
        <f t="shared" si="79"/>
        <v>45.085000000000001</v>
      </c>
      <c r="BM72" s="888">
        <f t="shared" si="80"/>
        <v>0.73</v>
      </c>
      <c r="BN72" s="888">
        <f t="shared" si="81"/>
        <v>0.318</v>
      </c>
      <c r="BO72" s="888">
        <f t="shared" si="82"/>
        <v>49.5</v>
      </c>
      <c r="BP72" s="888">
        <f t="shared" si="83"/>
        <v>46.436</v>
      </c>
      <c r="BQ72" s="888">
        <f t="shared" si="84"/>
        <v>2.8849999999999998</v>
      </c>
      <c r="BR72" s="888">
        <f t="shared" si="85"/>
        <v>0.17899999999999999</v>
      </c>
      <c r="BS72" s="904" t="s">
        <v>134</v>
      </c>
    </row>
    <row r="73" spans="1:71" x14ac:dyDescent="0.25">
      <c r="A73" s="884" t="s">
        <v>283</v>
      </c>
      <c r="B73" s="884" t="s">
        <v>284</v>
      </c>
      <c r="C73" s="886" t="s">
        <v>112</v>
      </c>
      <c r="D73" s="886">
        <v>9.14</v>
      </c>
      <c r="E73" s="886" t="s">
        <v>73</v>
      </c>
      <c r="F73" s="887">
        <v>14866</v>
      </c>
      <c r="G73" s="897">
        <v>7249</v>
      </c>
      <c r="H73" s="897">
        <v>5324</v>
      </c>
      <c r="I73" s="897">
        <v>1811</v>
      </c>
      <c r="J73" s="897">
        <v>114</v>
      </c>
      <c r="K73" s="897">
        <v>8622</v>
      </c>
      <c r="L73" s="897">
        <v>7150</v>
      </c>
      <c r="M73" s="897">
        <v>1411</v>
      </c>
      <c r="N73" s="898">
        <v>61</v>
      </c>
      <c r="O73" s="898">
        <v>8576</v>
      </c>
      <c r="P73" s="898">
        <v>7713</v>
      </c>
      <c r="Q73" s="898">
        <v>826</v>
      </c>
      <c r="R73" s="898">
        <v>37</v>
      </c>
      <c r="S73" s="898">
        <v>8050</v>
      </c>
      <c r="T73" s="898">
        <v>6699</v>
      </c>
      <c r="U73" s="898">
        <v>1315</v>
      </c>
      <c r="V73" s="898">
        <v>36</v>
      </c>
      <c r="W73" s="898">
        <v>7249</v>
      </c>
      <c r="X73" s="898">
        <v>6467</v>
      </c>
      <c r="Y73" s="898">
        <v>492</v>
      </c>
      <c r="Z73" s="898">
        <v>91</v>
      </c>
      <c r="AA73" s="898">
        <v>7725</v>
      </c>
      <c r="AB73" s="898">
        <v>7307</v>
      </c>
      <c r="AC73" s="898">
        <v>360</v>
      </c>
      <c r="AD73" s="898">
        <v>59</v>
      </c>
      <c r="AE73" s="898">
        <v>8317</v>
      </c>
      <c r="AF73" s="898">
        <v>8128</v>
      </c>
      <c r="AG73" s="898">
        <v>132</v>
      </c>
      <c r="AH73" s="898">
        <v>57</v>
      </c>
      <c r="AI73" s="898">
        <v>8924</v>
      </c>
      <c r="AJ73" s="898">
        <v>8371</v>
      </c>
      <c r="AK73" s="898">
        <v>520</v>
      </c>
      <c r="AL73" s="898">
        <v>32</v>
      </c>
      <c r="AM73" s="888">
        <f t="shared" si="54"/>
        <v>7.2489999999999997</v>
      </c>
      <c r="AN73" s="888">
        <f t="shared" si="55"/>
        <v>5.3239999999999998</v>
      </c>
      <c r="AO73" s="888">
        <f t="shared" si="56"/>
        <v>1.8109999999999999</v>
      </c>
      <c r="AP73" s="888">
        <f t="shared" si="57"/>
        <v>0.114</v>
      </c>
      <c r="AQ73" s="888">
        <f t="shared" si="58"/>
        <v>8.6219999999999999</v>
      </c>
      <c r="AR73" s="888">
        <f t="shared" si="59"/>
        <v>7.15</v>
      </c>
      <c r="AS73" s="888">
        <f t="shared" si="60"/>
        <v>1.411</v>
      </c>
      <c r="AT73" s="888">
        <f t="shared" si="61"/>
        <v>6.0999999999999999E-2</v>
      </c>
      <c r="AU73" s="888">
        <f t="shared" si="62"/>
        <v>8.5760000000000005</v>
      </c>
      <c r="AV73" s="888">
        <f t="shared" si="63"/>
        <v>7.7130000000000001</v>
      </c>
      <c r="AW73" s="888">
        <f t="shared" si="64"/>
        <v>0.82599999999999996</v>
      </c>
      <c r="AX73" s="888">
        <f t="shared" si="65"/>
        <v>3.6999999999999998E-2</v>
      </c>
      <c r="AY73" s="888">
        <f t="shared" si="66"/>
        <v>8.0500000000000007</v>
      </c>
      <c r="AZ73" s="888">
        <f t="shared" si="67"/>
        <v>6.6989999999999998</v>
      </c>
      <c r="BA73" s="888">
        <f t="shared" si="68"/>
        <v>1.3149999999999999</v>
      </c>
      <c r="BB73" s="888">
        <f t="shared" si="69"/>
        <v>3.5999999999999997E-2</v>
      </c>
      <c r="BC73" s="888">
        <f t="shared" si="70"/>
        <v>7.2489999999999997</v>
      </c>
      <c r="BD73" s="888">
        <f t="shared" si="71"/>
        <v>6.4669999999999996</v>
      </c>
      <c r="BE73" s="888">
        <f t="shared" si="72"/>
        <v>0.49199999999999999</v>
      </c>
      <c r="BF73" s="888">
        <f t="shared" si="73"/>
        <v>9.0999999999999998E-2</v>
      </c>
      <c r="BG73" s="888">
        <f t="shared" si="74"/>
        <v>7.7249999999999996</v>
      </c>
      <c r="BH73" s="888">
        <f t="shared" si="75"/>
        <v>7.3070000000000004</v>
      </c>
      <c r="BI73" s="888">
        <f t="shared" si="76"/>
        <v>0.36</v>
      </c>
      <c r="BJ73" s="888">
        <f t="shared" si="77"/>
        <v>5.8999999999999997E-2</v>
      </c>
      <c r="BK73" s="888">
        <f t="shared" si="78"/>
        <v>8.3170000000000002</v>
      </c>
      <c r="BL73" s="888">
        <f t="shared" si="79"/>
        <v>8.1280000000000001</v>
      </c>
      <c r="BM73" s="888">
        <f t="shared" si="80"/>
        <v>0.13200000000000001</v>
      </c>
      <c r="BN73" s="888">
        <f t="shared" si="81"/>
        <v>5.7000000000000002E-2</v>
      </c>
      <c r="BO73" s="888">
        <f t="shared" si="82"/>
        <v>8.9239999999999995</v>
      </c>
      <c r="BP73" s="888">
        <f t="shared" si="83"/>
        <v>8.3710000000000004</v>
      </c>
      <c r="BQ73" s="888">
        <f t="shared" si="84"/>
        <v>0.52</v>
      </c>
      <c r="BR73" s="888">
        <f t="shared" si="85"/>
        <v>3.2000000000000001E-2</v>
      </c>
      <c r="BS73" s="904" t="s">
        <v>134</v>
      </c>
    </row>
    <row r="74" spans="1:71" x14ac:dyDescent="0.25">
      <c r="A74" s="884" t="s">
        <v>285</v>
      </c>
      <c r="B74" s="884" t="s">
        <v>286</v>
      </c>
      <c r="C74" s="886" t="s">
        <v>112</v>
      </c>
      <c r="D74" s="886">
        <v>68.099999999999994</v>
      </c>
      <c r="E74" s="886" t="s">
        <v>73</v>
      </c>
      <c r="F74" s="887">
        <v>17723</v>
      </c>
      <c r="G74" s="897">
        <v>54008</v>
      </c>
      <c r="H74" s="897">
        <v>39670</v>
      </c>
      <c r="I74" s="897">
        <v>13491</v>
      </c>
      <c r="J74" s="897">
        <v>848</v>
      </c>
      <c r="K74" s="897">
        <v>64237</v>
      </c>
      <c r="L74" s="897">
        <v>53271</v>
      </c>
      <c r="M74" s="897">
        <v>10512</v>
      </c>
      <c r="N74" s="898">
        <v>454</v>
      </c>
      <c r="O74" s="898">
        <v>63898</v>
      </c>
      <c r="P74" s="898">
        <v>57470</v>
      </c>
      <c r="Q74" s="898">
        <v>6152</v>
      </c>
      <c r="R74" s="898">
        <v>276</v>
      </c>
      <c r="S74" s="898">
        <v>59981</v>
      </c>
      <c r="T74" s="898">
        <v>49915</v>
      </c>
      <c r="U74" s="898">
        <v>9801</v>
      </c>
      <c r="V74" s="898">
        <v>265</v>
      </c>
      <c r="W74" s="898">
        <v>54008</v>
      </c>
      <c r="X74" s="898">
        <v>48183</v>
      </c>
      <c r="Y74" s="898">
        <v>3667</v>
      </c>
      <c r="Z74" s="898">
        <v>678</v>
      </c>
      <c r="AA74" s="898">
        <v>57560</v>
      </c>
      <c r="AB74" s="898">
        <v>54441</v>
      </c>
      <c r="AC74" s="898">
        <v>2683</v>
      </c>
      <c r="AD74" s="898">
        <v>437</v>
      </c>
      <c r="AE74" s="898">
        <v>61967</v>
      </c>
      <c r="AF74" s="898">
        <v>60559</v>
      </c>
      <c r="AG74" s="898">
        <v>981</v>
      </c>
      <c r="AH74" s="898">
        <v>427</v>
      </c>
      <c r="AI74" s="898">
        <v>66488</v>
      </c>
      <c r="AJ74" s="898">
        <v>62373</v>
      </c>
      <c r="AK74" s="898">
        <v>3875</v>
      </c>
      <c r="AL74" s="898">
        <v>240</v>
      </c>
      <c r="AM74" s="888">
        <f t="shared" si="54"/>
        <v>54.008000000000003</v>
      </c>
      <c r="AN74" s="888">
        <f t="shared" si="55"/>
        <v>39.67</v>
      </c>
      <c r="AO74" s="888">
        <f t="shared" si="56"/>
        <v>13.491</v>
      </c>
      <c r="AP74" s="888">
        <f t="shared" si="57"/>
        <v>0.84799999999999998</v>
      </c>
      <c r="AQ74" s="888">
        <f t="shared" si="58"/>
        <v>64.236999999999995</v>
      </c>
      <c r="AR74" s="888">
        <f t="shared" si="59"/>
        <v>53.271000000000001</v>
      </c>
      <c r="AS74" s="888">
        <f t="shared" si="60"/>
        <v>10.512</v>
      </c>
      <c r="AT74" s="888">
        <f t="shared" si="61"/>
        <v>0.45400000000000001</v>
      </c>
      <c r="AU74" s="888">
        <f t="shared" si="62"/>
        <v>63.898000000000003</v>
      </c>
      <c r="AV74" s="888">
        <f t="shared" si="63"/>
        <v>57.47</v>
      </c>
      <c r="AW74" s="888">
        <f t="shared" si="64"/>
        <v>6.1520000000000001</v>
      </c>
      <c r="AX74" s="888">
        <f t="shared" si="65"/>
        <v>0.27600000000000002</v>
      </c>
      <c r="AY74" s="888">
        <f t="shared" si="66"/>
        <v>59.981000000000002</v>
      </c>
      <c r="AZ74" s="888">
        <f t="shared" si="67"/>
        <v>49.914999999999999</v>
      </c>
      <c r="BA74" s="888">
        <f t="shared" si="68"/>
        <v>9.8010000000000002</v>
      </c>
      <c r="BB74" s="888">
        <f t="shared" si="69"/>
        <v>0.26500000000000001</v>
      </c>
      <c r="BC74" s="888">
        <f t="shared" si="70"/>
        <v>54.008000000000003</v>
      </c>
      <c r="BD74" s="888">
        <f t="shared" si="71"/>
        <v>48.183</v>
      </c>
      <c r="BE74" s="888">
        <f t="shared" si="72"/>
        <v>3.6669999999999998</v>
      </c>
      <c r="BF74" s="888">
        <f t="shared" si="73"/>
        <v>0.67800000000000005</v>
      </c>
      <c r="BG74" s="888">
        <f t="shared" si="74"/>
        <v>57.56</v>
      </c>
      <c r="BH74" s="888">
        <f t="shared" si="75"/>
        <v>54.441000000000003</v>
      </c>
      <c r="BI74" s="888">
        <f t="shared" si="76"/>
        <v>2.6829999999999998</v>
      </c>
      <c r="BJ74" s="888">
        <f t="shared" si="77"/>
        <v>0.437</v>
      </c>
      <c r="BK74" s="888">
        <f t="shared" si="78"/>
        <v>61.966999999999999</v>
      </c>
      <c r="BL74" s="888">
        <f t="shared" si="79"/>
        <v>60.558999999999997</v>
      </c>
      <c r="BM74" s="888">
        <f t="shared" si="80"/>
        <v>0.98099999999999998</v>
      </c>
      <c r="BN74" s="888">
        <f t="shared" si="81"/>
        <v>0.42699999999999999</v>
      </c>
      <c r="BO74" s="888">
        <f t="shared" si="82"/>
        <v>66.488</v>
      </c>
      <c r="BP74" s="888">
        <f t="shared" si="83"/>
        <v>62.372999999999998</v>
      </c>
      <c r="BQ74" s="888">
        <f t="shared" si="84"/>
        <v>3.875</v>
      </c>
      <c r="BR74" s="888">
        <f t="shared" si="85"/>
        <v>0.24</v>
      </c>
      <c r="BS74" s="904" t="s">
        <v>134</v>
      </c>
    </row>
    <row r="75" spans="1:71" x14ac:dyDescent="0.25">
      <c r="A75" s="884" t="s">
        <v>287</v>
      </c>
      <c r="B75" s="884" t="s">
        <v>288</v>
      </c>
      <c r="C75" s="886" t="s">
        <v>112</v>
      </c>
      <c r="D75" s="886">
        <v>156.80000000000001</v>
      </c>
      <c r="E75" s="886" t="s">
        <v>73</v>
      </c>
      <c r="F75" s="887">
        <v>18800</v>
      </c>
      <c r="G75" s="897">
        <v>17485</v>
      </c>
      <c r="H75" s="897">
        <v>12843</v>
      </c>
      <c r="I75" s="897">
        <v>4368</v>
      </c>
      <c r="J75" s="897">
        <v>274</v>
      </c>
      <c r="K75" s="897">
        <v>20797</v>
      </c>
      <c r="L75" s="897">
        <v>17246</v>
      </c>
      <c r="M75" s="897">
        <v>3403</v>
      </c>
      <c r="N75" s="898">
        <v>147</v>
      </c>
      <c r="O75" s="898">
        <v>20687</v>
      </c>
      <c r="P75" s="898">
        <v>18606</v>
      </c>
      <c r="Q75" s="898">
        <v>1992</v>
      </c>
      <c r="R75" s="898">
        <v>89</v>
      </c>
      <c r="S75" s="898">
        <v>19419</v>
      </c>
      <c r="T75" s="898">
        <v>16160</v>
      </c>
      <c r="U75" s="898">
        <v>3173</v>
      </c>
      <c r="V75" s="898">
        <v>86</v>
      </c>
      <c r="W75" s="898">
        <v>17485</v>
      </c>
      <c r="X75" s="898">
        <v>15599</v>
      </c>
      <c r="Y75" s="898">
        <v>1187</v>
      </c>
      <c r="Z75" s="898">
        <v>220</v>
      </c>
      <c r="AA75" s="898">
        <v>18635</v>
      </c>
      <c r="AB75" s="898">
        <v>17625</v>
      </c>
      <c r="AC75" s="898">
        <v>869</v>
      </c>
      <c r="AD75" s="898">
        <v>141</v>
      </c>
      <c r="AE75" s="898">
        <v>20062</v>
      </c>
      <c r="AF75" s="898">
        <v>19606</v>
      </c>
      <c r="AG75" s="898">
        <v>318</v>
      </c>
      <c r="AH75" s="898">
        <v>138</v>
      </c>
      <c r="AI75" s="898">
        <v>21525</v>
      </c>
      <c r="AJ75" s="898">
        <v>20193</v>
      </c>
      <c r="AK75" s="898">
        <v>1254</v>
      </c>
      <c r="AL75" s="898">
        <v>78</v>
      </c>
      <c r="AM75" s="888">
        <f t="shared" si="54"/>
        <v>17.484999999999999</v>
      </c>
      <c r="AN75" s="888">
        <f t="shared" si="55"/>
        <v>12.843</v>
      </c>
      <c r="AO75" s="888">
        <f t="shared" si="56"/>
        <v>4.3680000000000003</v>
      </c>
      <c r="AP75" s="888">
        <f t="shared" si="57"/>
        <v>0.27400000000000002</v>
      </c>
      <c r="AQ75" s="888">
        <f t="shared" si="58"/>
        <v>20.797000000000001</v>
      </c>
      <c r="AR75" s="888">
        <f t="shared" si="59"/>
        <v>17.245999999999999</v>
      </c>
      <c r="AS75" s="888">
        <f t="shared" si="60"/>
        <v>3.403</v>
      </c>
      <c r="AT75" s="888">
        <f t="shared" si="61"/>
        <v>0.14699999999999999</v>
      </c>
      <c r="AU75" s="888">
        <f t="shared" si="62"/>
        <v>20.687000000000001</v>
      </c>
      <c r="AV75" s="888">
        <f t="shared" si="63"/>
        <v>18.606000000000002</v>
      </c>
      <c r="AW75" s="888">
        <f t="shared" si="64"/>
        <v>1.992</v>
      </c>
      <c r="AX75" s="888">
        <f t="shared" si="65"/>
        <v>8.8999999999999996E-2</v>
      </c>
      <c r="AY75" s="888">
        <f t="shared" si="66"/>
        <v>19.419</v>
      </c>
      <c r="AZ75" s="888">
        <f t="shared" si="67"/>
        <v>16.16</v>
      </c>
      <c r="BA75" s="888">
        <f t="shared" si="68"/>
        <v>3.173</v>
      </c>
      <c r="BB75" s="888">
        <f t="shared" si="69"/>
        <v>8.5999999999999993E-2</v>
      </c>
      <c r="BC75" s="888">
        <f t="shared" si="70"/>
        <v>17.484999999999999</v>
      </c>
      <c r="BD75" s="888">
        <f t="shared" si="71"/>
        <v>15.599</v>
      </c>
      <c r="BE75" s="888">
        <f t="shared" si="72"/>
        <v>1.1870000000000001</v>
      </c>
      <c r="BF75" s="888">
        <f t="shared" si="73"/>
        <v>0.22</v>
      </c>
      <c r="BG75" s="888">
        <f t="shared" si="74"/>
        <v>18.635000000000002</v>
      </c>
      <c r="BH75" s="888">
        <f t="shared" si="75"/>
        <v>17.625</v>
      </c>
      <c r="BI75" s="888">
        <f t="shared" si="76"/>
        <v>0.86899999999999999</v>
      </c>
      <c r="BJ75" s="888">
        <f t="shared" si="77"/>
        <v>0.14099999999999999</v>
      </c>
      <c r="BK75" s="888">
        <f t="shared" si="78"/>
        <v>20.062000000000001</v>
      </c>
      <c r="BL75" s="888">
        <f t="shared" si="79"/>
        <v>19.606000000000002</v>
      </c>
      <c r="BM75" s="888">
        <f t="shared" si="80"/>
        <v>0.318</v>
      </c>
      <c r="BN75" s="888">
        <f t="shared" si="81"/>
        <v>0.13800000000000001</v>
      </c>
      <c r="BO75" s="888">
        <f t="shared" si="82"/>
        <v>21.524999999999999</v>
      </c>
      <c r="BP75" s="888">
        <f t="shared" si="83"/>
        <v>20.193000000000001</v>
      </c>
      <c r="BQ75" s="888">
        <f t="shared" si="84"/>
        <v>1.254</v>
      </c>
      <c r="BR75" s="888">
        <f t="shared" si="85"/>
        <v>7.8E-2</v>
      </c>
      <c r="BS75" s="904" t="s">
        <v>134</v>
      </c>
    </row>
    <row r="76" spans="1:71" x14ac:dyDescent="0.25">
      <c r="A76" s="884" t="s">
        <v>289</v>
      </c>
      <c r="B76" s="884" t="s">
        <v>290</v>
      </c>
      <c r="C76" s="886" t="s">
        <v>112</v>
      </c>
      <c r="D76" s="886">
        <v>88.38</v>
      </c>
      <c r="E76" s="886" t="s">
        <v>73</v>
      </c>
      <c r="F76" s="887">
        <v>14048</v>
      </c>
      <c r="G76" s="897">
        <v>14166</v>
      </c>
      <c r="H76" s="897">
        <v>10405</v>
      </c>
      <c r="I76" s="897">
        <v>3539</v>
      </c>
      <c r="J76" s="897">
        <v>222</v>
      </c>
      <c r="K76" s="897">
        <v>16850</v>
      </c>
      <c r="L76" s="897">
        <v>13973</v>
      </c>
      <c r="M76" s="897">
        <v>2757</v>
      </c>
      <c r="N76" s="898">
        <v>119</v>
      </c>
      <c r="O76" s="898">
        <v>16761</v>
      </c>
      <c r="P76" s="898">
        <v>15075</v>
      </c>
      <c r="Q76" s="898">
        <v>1614</v>
      </c>
      <c r="R76" s="898">
        <v>72</v>
      </c>
      <c r="S76" s="898">
        <v>15733</v>
      </c>
      <c r="T76" s="898">
        <v>13093</v>
      </c>
      <c r="U76" s="898">
        <v>2571</v>
      </c>
      <c r="V76" s="898">
        <v>69</v>
      </c>
      <c r="W76" s="898">
        <v>14166</v>
      </c>
      <c r="X76" s="898">
        <v>12639</v>
      </c>
      <c r="Y76" s="898">
        <v>962</v>
      </c>
      <c r="Z76" s="898">
        <v>178</v>
      </c>
      <c r="AA76" s="898">
        <v>15098</v>
      </c>
      <c r="AB76" s="898">
        <v>14280</v>
      </c>
      <c r="AC76" s="898">
        <v>704</v>
      </c>
      <c r="AD76" s="898">
        <v>115</v>
      </c>
      <c r="AE76" s="898">
        <v>16254</v>
      </c>
      <c r="AF76" s="898">
        <v>15885</v>
      </c>
      <c r="AG76" s="898">
        <v>257</v>
      </c>
      <c r="AH76" s="898">
        <v>112</v>
      </c>
      <c r="AI76" s="898">
        <v>17440</v>
      </c>
      <c r="AJ76" s="898">
        <v>16361</v>
      </c>
      <c r="AK76" s="898">
        <v>1016</v>
      </c>
      <c r="AL76" s="898">
        <v>63</v>
      </c>
      <c r="AM76" s="888">
        <f t="shared" si="54"/>
        <v>14.166</v>
      </c>
      <c r="AN76" s="888">
        <f t="shared" si="55"/>
        <v>10.404999999999999</v>
      </c>
      <c r="AO76" s="888">
        <f t="shared" si="56"/>
        <v>3.5390000000000001</v>
      </c>
      <c r="AP76" s="888">
        <f t="shared" si="57"/>
        <v>0.222</v>
      </c>
      <c r="AQ76" s="888">
        <f t="shared" si="58"/>
        <v>16.850000000000001</v>
      </c>
      <c r="AR76" s="888">
        <f t="shared" si="59"/>
        <v>13.973000000000001</v>
      </c>
      <c r="AS76" s="888">
        <f t="shared" si="60"/>
        <v>2.7570000000000001</v>
      </c>
      <c r="AT76" s="888">
        <f t="shared" si="61"/>
        <v>0.11899999999999999</v>
      </c>
      <c r="AU76" s="888">
        <f t="shared" si="62"/>
        <v>16.760999999999999</v>
      </c>
      <c r="AV76" s="888">
        <f t="shared" si="63"/>
        <v>15.074999999999999</v>
      </c>
      <c r="AW76" s="888">
        <f t="shared" si="64"/>
        <v>1.6140000000000001</v>
      </c>
      <c r="AX76" s="888">
        <f t="shared" si="65"/>
        <v>7.1999999999999995E-2</v>
      </c>
      <c r="AY76" s="888">
        <f t="shared" si="66"/>
        <v>15.733000000000001</v>
      </c>
      <c r="AZ76" s="888">
        <f t="shared" si="67"/>
        <v>13.093</v>
      </c>
      <c r="BA76" s="888">
        <f t="shared" si="68"/>
        <v>2.5710000000000002</v>
      </c>
      <c r="BB76" s="888">
        <f t="shared" si="69"/>
        <v>6.9000000000000006E-2</v>
      </c>
      <c r="BC76" s="888">
        <f t="shared" si="70"/>
        <v>14.166</v>
      </c>
      <c r="BD76" s="888">
        <f t="shared" si="71"/>
        <v>12.638999999999999</v>
      </c>
      <c r="BE76" s="888">
        <f t="shared" si="72"/>
        <v>0.96199999999999997</v>
      </c>
      <c r="BF76" s="888">
        <f t="shared" si="73"/>
        <v>0.17799999999999999</v>
      </c>
      <c r="BG76" s="888">
        <f t="shared" si="74"/>
        <v>15.098000000000001</v>
      </c>
      <c r="BH76" s="888">
        <f t="shared" si="75"/>
        <v>14.28</v>
      </c>
      <c r="BI76" s="888">
        <f t="shared" si="76"/>
        <v>0.70399999999999996</v>
      </c>
      <c r="BJ76" s="888">
        <f t="shared" si="77"/>
        <v>0.115</v>
      </c>
      <c r="BK76" s="888">
        <f t="shared" si="78"/>
        <v>16.254000000000001</v>
      </c>
      <c r="BL76" s="888">
        <f t="shared" si="79"/>
        <v>15.885</v>
      </c>
      <c r="BM76" s="888">
        <f t="shared" si="80"/>
        <v>0.25700000000000001</v>
      </c>
      <c r="BN76" s="888">
        <f t="shared" si="81"/>
        <v>0.112</v>
      </c>
      <c r="BO76" s="888">
        <f t="shared" si="82"/>
        <v>17.440000000000001</v>
      </c>
      <c r="BP76" s="888">
        <f t="shared" si="83"/>
        <v>16.361000000000001</v>
      </c>
      <c r="BQ76" s="888">
        <f t="shared" si="84"/>
        <v>1.016</v>
      </c>
      <c r="BR76" s="888">
        <f t="shared" si="85"/>
        <v>6.3E-2</v>
      </c>
      <c r="BS76" s="904" t="s">
        <v>134</v>
      </c>
    </row>
    <row r="77" spans="1:71" x14ac:dyDescent="0.25">
      <c r="A77" s="884" t="s">
        <v>291</v>
      </c>
      <c r="B77" s="884" t="s">
        <v>242</v>
      </c>
      <c r="C77" s="886" t="s">
        <v>112</v>
      </c>
      <c r="D77" s="886">
        <v>65.92</v>
      </c>
      <c r="E77" s="886" t="s">
        <v>73</v>
      </c>
      <c r="F77" s="887">
        <v>13384</v>
      </c>
      <c r="G77" s="897">
        <v>13231</v>
      </c>
      <c r="H77" s="897">
        <v>9718</v>
      </c>
      <c r="I77" s="897">
        <v>3305</v>
      </c>
      <c r="J77" s="897">
        <v>208</v>
      </c>
      <c r="K77" s="897">
        <v>15737</v>
      </c>
      <c r="L77" s="897">
        <v>13050</v>
      </c>
      <c r="M77" s="897">
        <v>2575</v>
      </c>
      <c r="N77" s="898">
        <v>111</v>
      </c>
      <c r="O77" s="898">
        <v>15654</v>
      </c>
      <c r="P77" s="898">
        <v>14079</v>
      </c>
      <c r="Q77" s="898">
        <v>1507</v>
      </c>
      <c r="R77" s="898">
        <v>68</v>
      </c>
      <c r="S77" s="898">
        <v>14694</v>
      </c>
      <c r="T77" s="898">
        <v>12228</v>
      </c>
      <c r="U77" s="898">
        <v>2401</v>
      </c>
      <c r="V77" s="898">
        <v>65</v>
      </c>
      <c r="W77" s="898">
        <v>13231</v>
      </c>
      <c r="X77" s="898">
        <v>11804</v>
      </c>
      <c r="Y77" s="898">
        <v>898</v>
      </c>
      <c r="Z77" s="898">
        <v>166</v>
      </c>
      <c r="AA77" s="898">
        <v>14101</v>
      </c>
      <c r="AB77" s="898">
        <v>13337</v>
      </c>
      <c r="AC77" s="898">
        <v>657</v>
      </c>
      <c r="AD77" s="898">
        <v>107</v>
      </c>
      <c r="AE77" s="898">
        <v>15181</v>
      </c>
      <c r="AF77" s="898">
        <v>14836</v>
      </c>
      <c r="AG77" s="898">
        <v>240</v>
      </c>
      <c r="AH77" s="898">
        <v>105</v>
      </c>
      <c r="AI77" s="898">
        <v>16288</v>
      </c>
      <c r="AJ77" s="898">
        <v>15280</v>
      </c>
      <c r="AK77" s="898">
        <v>949</v>
      </c>
      <c r="AL77" s="898">
        <v>59</v>
      </c>
      <c r="AM77" s="888">
        <f t="shared" si="54"/>
        <v>13.231</v>
      </c>
      <c r="AN77" s="888">
        <f t="shared" si="55"/>
        <v>9.718</v>
      </c>
      <c r="AO77" s="888">
        <f t="shared" si="56"/>
        <v>3.3050000000000002</v>
      </c>
      <c r="AP77" s="888">
        <f t="shared" si="57"/>
        <v>0.20799999999999999</v>
      </c>
      <c r="AQ77" s="888">
        <f t="shared" si="58"/>
        <v>15.737</v>
      </c>
      <c r="AR77" s="888">
        <f t="shared" si="59"/>
        <v>13.05</v>
      </c>
      <c r="AS77" s="888">
        <f t="shared" si="60"/>
        <v>2.5750000000000002</v>
      </c>
      <c r="AT77" s="888">
        <f t="shared" si="61"/>
        <v>0.111</v>
      </c>
      <c r="AU77" s="888">
        <f t="shared" si="62"/>
        <v>15.654</v>
      </c>
      <c r="AV77" s="888">
        <f t="shared" si="63"/>
        <v>14.079000000000001</v>
      </c>
      <c r="AW77" s="888">
        <f t="shared" si="64"/>
        <v>1.5069999999999999</v>
      </c>
      <c r="AX77" s="888">
        <f t="shared" si="65"/>
        <v>6.8000000000000005E-2</v>
      </c>
      <c r="AY77" s="888">
        <f t="shared" si="66"/>
        <v>14.694000000000001</v>
      </c>
      <c r="AZ77" s="888">
        <f t="shared" si="67"/>
        <v>12.228</v>
      </c>
      <c r="BA77" s="888">
        <f t="shared" si="68"/>
        <v>2.4009999999999998</v>
      </c>
      <c r="BB77" s="888">
        <f t="shared" si="69"/>
        <v>6.5000000000000002E-2</v>
      </c>
      <c r="BC77" s="888">
        <f t="shared" si="70"/>
        <v>13.231</v>
      </c>
      <c r="BD77" s="888">
        <f t="shared" si="71"/>
        <v>11.804</v>
      </c>
      <c r="BE77" s="888">
        <f t="shared" si="72"/>
        <v>0.89800000000000002</v>
      </c>
      <c r="BF77" s="888">
        <f t="shared" si="73"/>
        <v>0.16600000000000001</v>
      </c>
      <c r="BG77" s="888">
        <f t="shared" si="74"/>
        <v>14.101000000000001</v>
      </c>
      <c r="BH77" s="888">
        <f t="shared" si="75"/>
        <v>13.337</v>
      </c>
      <c r="BI77" s="888">
        <f t="shared" si="76"/>
        <v>0.65700000000000003</v>
      </c>
      <c r="BJ77" s="888">
        <f t="shared" si="77"/>
        <v>0.107</v>
      </c>
      <c r="BK77" s="888">
        <f t="shared" si="78"/>
        <v>15.180999999999999</v>
      </c>
      <c r="BL77" s="888">
        <f t="shared" si="79"/>
        <v>14.836</v>
      </c>
      <c r="BM77" s="888">
        <f t="shared" si="80"/>
        <v>0.24</v>
      </c>
      <c r="BN77" s="888">
        <f t="shared" si="81"/>
        <v>0.105</v>
      </c>
      <c r="BO77" s="888">
        <f t="shared" si="82"/>
        <v>16.288</v>
      </c>
      <c r="BP77" s="888">
        <f t="shared" si="83"/>
        <v>15.28</v>
      </c>
      <c r="BQ77" s="888">
        <f t="shared" si="84"/>
        <v>0.94899999999999995</v>
      </c>
      <c r="BR77" s="888">
        <f t="shared" si="85"/>
        <v>5.8999999999999997E-2</v>
      </c>
      <c r="BS77" s="904" t="s">
        <v>134</v>
      </c>
    </row>
    <row r="78" spans="1:71" x14ac:dyDescent="0.25">
      <c r="A78" s="884" t="s">
        <v>292</v>
      </c>
      <c r="B78" s="884" t="s">
        <v>293</v>
      </c>
      <c r="C78" s="886" t="s">
        <v>112</v>
      </c>
      <c r="D78" s="886">
        <v>52.8</v>
      </c>
      <c r="E78" s="886" t="s">
        <v>73</v>
      </c>
      <c r="F78" s="887">
        <v>20241</v>
      </c>
      <c r="G78" s="897">
        <v>12227</v>
      </c>
      <c r="H78" s="897">
        <v>8981</v>
      </c>
      <c r="I78" s="897">
        <v>3054</v>
      </c>
      <c r="J78" s="897">
        <v>192</v>
      </c>
      <c r="K78" s="897">
        <v>14543</v>
      </c>
      <c r="L78" s="897">
        <v>12060</v>
      </c>
      <c r="M78" s="897">
        <v>2380</v>
      </c>
      <c r="N78" s="898">
        <v>103</v>
      </c>
      <c r="O78" s="898">
        <v>14466</v>
      </c>
      <c r="P78" s="898">
        <v>13011</v>
      </c>
      <c r="Q78" s="898">
        <v>1393</v>
      </c>
      <c r="R78" s="898">
        <v>63</v>
      </c>
      <c r="S78" s="898">
        <v>13579</v>
      </c>
      <c r="T78" s="898">
        <v>11301</v>
      </c>
      <c r="U78" s="898">
        <v>2219</v>
      </c>
      <c r="V78" s="898">
        <v>60</v>
      </c>
      <c r="W78" s="898">
        <v>12227</v>
      </c>
      <c r="X78" s="898">
        <v>10908</v>
      </c>
      <c r="Y78" s="898">
        <v>830</v>
      </c>
      <c r="Z78" s="898">
        <v>154</v>
      </c>
      <c r="AA78" s="898">
        <v>13031</v>
      </c>
      <c r="AB78" s="898">
        <v>12325</v>
      </c>
      <c r="AC78" s="898">
        <v>607</v>
      </c>
      <c r="AD78" s="898">
        <v>99</v>
      </c>
      <c r="AE78" s="898">
        <v>14029</v>
      </c>
      <c r="AF78" s="898">
        <v>13710</v>
      </c>
      <c r="AG78" s="898">
        <v>222</v>
      </c>
      <c r="AH78" s="898">
        <v>97</v>
      </c>
      <c r="AI78" s="898">
        <v>15053</v>
      </c>
      <c r="AJ78" s="898">
        <v>14121</v>
      </c>
      <c r="AK78" s="898">
        <v>877</v>
      </c>
      <c r="AL78" s="898">
        <v>54</v>
      </c>
      <c r="AM78" s="888">
        <f t="shared" si="54"/>
        <v>12.227</v>
      </c>
      <c r="AN78" s="888">
        <f t="shared" si="55"/>
        <v>8.9809999999999999</v>
      </c>
      <c r="AO78" s="888">
        <f t="shared" si="56"/>
        <v>3.0539999999999998</v>
      </c>
      <c r="AP78" s="888">
        <f t="shared" si="57"/>
        <v>0.192</v>
      </c>
      <c r="AQ78" s="888">
        <f t="shared" si="58"/>
        <v>14.542999999999999</v>
      </c>
      <c r="AR78" s="888">
        <f t="shared" si="59"/>
        <v>12.06</v>
      </c>
      <c r="AS78" s="888">
        <f t="shared" si="60"/>
        <v>2.38</v>
      </c>
      <c r="AT78" s="888">
        <f t="shared" si="61"/>
        <v>0.10299999999999999</v>
      </c>
      <c r="AU78" s="888">
        <f t="shared" si="62"/>
        <v>14.465999999999999</v>
      </c>
      <c r="AV78" s="888">
        <f t="shared" si="63"/>
        <v>13.010999999999999</v>
      </c>
      <c r="AW78" s="888">
        <f t="shared" si="64"/>
        <v>1.393</v>
      </c>
      <c r="AX78" s="888">
        <f t="shared" si="65"/>
        <v>6.3E-2</v>
      </c>
      <c r="AY78" s="888">
        <f t="shared" si="66"/>
        <v>13.579000000000001</v>
      </c>
      <c r="AZ78" s="888">
        <f t="shared" si="67"/>
        <v>11.301</v>
      </c>
      <c r="BA78" s="888">
        <f t="shared" si="68"/>
        <v>2.2189999999999999</v>
      </c>
      <c r="BB78" s="888">
        <f t="shared" si="69"/>
        <v>0.06</v>
      </c>
      <c r="BC78" s="888">
        <f t="shared" si="70"/>
        <v>12.227</v>
      </c>
      <c r="BD78" s="888">
        <f t="shared" si="71"/>
        <v>10.907999999999999</v>
      </c>
      <c r="BE78" s="888">
        <f t="shared" si="72"/>
        <v>0.83</v>
      </c>
      <c r="BF78" s="888">
        <f t="shared" si="73"/>
        <v>0.154</v>
      </c>
      <c r="BG78" s="888">
        <f t="shared" si="74"/>
        <v>13.031000000000001</v>
      </c>
      <c r="BH78" s="888">
        <f t="shared" si="75"/>
        <v>12.324999999999999</v>
      </c>
      <c r="BI78" s="888">
        <f t="shared" si="76"/>
        <v>0.60699999999999998</v>
      </c>
      <c r="BJ78" s="888">
        <f t="shared" si="77"/>
        <v>9.9000000000000005E-2</v>
      </c>
      <c r="BK78" s="888">
        <f t="shared" si="78"/>
        <v>14.029</v>
      </c>
      <c r="BL78" s="888">
        <f t="shared" si="79"/>
        <v>13.71</v>
      </c>
      <c r="BM78" s="888">
        <f t="shared" si="80"/>
        <v>0.222</v>
      </c>
      <c r="BN78" s="888">
        <f t="shared" si="81"/>
        <v>9.7000000000000003E-2</v>
      </c>
      <c r="BO78" s="888">
        <f t="shared" si="82"/>
        <v>15.053000000000001</v>
      </c>
      <c r="BP78" s="888">
        <f t="shared" si="83"/>
        <v>14.121</v>
      </c>
      <c r="BQ78" s="888">
        <f t="shared" si="84"/>
        <v>0.877</v>
      </c>
      <c r="BR78" s="888">
        <f t="shared" si="85"/>
        <v>5.3999999999999999E-2</v>
      </c>
      <c r="BS78" s="904" t="s">
        <v>134</v>
      </c>
    </row>
    <row r="79" spans="1:71" x14ac:dyDescent="0.25">
      <c r="A79" s="884" t="s">
        <v>294</v>
      </c>
      <c r="B79" s="884" t="s">
        <v>248</v>
      </c>
      <c r="C79" s="886" t="s">
        <v>112</v>
      </c>
      <c r="D79" s="886">
        <v>44.84</v>
      </c>
      <c r="E79" s="886" t="s">
        <v>73</v>
      </c>
      <c r="F79" s="887">
        <v>18775</v>
      </c>
      <c r="G79" s="897">
        <v>11376</v>
      </c>
      <c r="H79" s="897">
        <v>8356</v>
      </c>
      <c r="I79" s="897">
        <v>2842</v>
      </c>
      <c r="J79" s="897">
        <v>179</v>
      </c>
      <c r="K79" s="897">
        <v>13530</v>
      </c>
      <c r="L79" s="897">
        <v>11220</v>
      </c>
      <c r="M79" s="897">
        <v>2214</v>
      </c>
      <c r="N79" s="898">
        <v>96</v>
      </c>
      <c r="O79" s="898">
        <v>13459</v>
      </c>
      <c r="P79" s="898">
        <v>12105</v>
      </c>
      <c r="Q79" s="898">
        <v>1296</v>
      </c>
      <c r="R79" s="898">
        <v>58</v>
      </c>
      <c r="S79" s="898">
        <v>12634</v>
      </c>
      <c r="T79" s="898">
        <v>10514</v>
      </c>
      <c r="U79" s="898">
        <v>2064</v>
      </c>
      <c r="V79" s="898">
        <v>56</v>
      </c>
      <c r="W79" s="898">
        <v>11376</v>
      </c>
      <c r="X79" s="898">
        <v>10149</v>
      </c>
      <c r="Y79" s="898">
        <v>772</v>
      </c>
      <c r="Z79" s="898">
        <v>143</v>
      </c>
      <c r="AA79" s="898">
        <v>12124</v>
      </c>
      <c r="AB79" s="898">
        <v>11467</v>
      </c>
      <c r="AC79" s="898">
        <v>565</v>
      </c>
      <c r="AD79" s="898">
        <v>92</v>
      </c>
      <c r="AE79" s="898">
        <v>13052</v>
      </c>
      <c r="AF79" s="898">
        <v>12755</v>
      </c>
      <c r="AG79" s="898">
        <v>207</v>
      </c>
      <c r="AH79" s="898">
        <v>90</v>
      </c>
      <c r="AI79" s="898">
        <v>14004</v>
      </c>
      <c r="AJ79" s="898">
        <v>13138</v>
      </c>
      <c r="AK79" s="898">
        <v>816</v>
      </c>
      <c r="AL79" s="898">
        <v>51</v>
      </c>
      <c r="AM79" s="888">
        <f t="shared" si="54"/>
        <v>11.375999999999999</v>
      </c>
      <c r="AN79" s="888">
        <f t="shared" si="55"/>
        <v>8.3559999999999999</v>
      </c>
      <c r="AO79" s="888">
        <f t="shared" si="56"/>
        <v>2.8420000000000001</v>
      </c>
      <c r="AP79" s="888">
        <f t="shared" si="57"/>
        <v>0.17899999999999999</v>
      </c>
      <c r="AQ79" s="888">
        <f t="shared" si="58"/>
        <v>13.53</v>
      </c>
      <c r="AR79" s="888">
        <f t="shared" si="59"/>
        <v>11.22</v>
      </c>
      <c r="AS79" s="888">
        <f t="shared" si="60"/>
        <v>2.214</v>
      </c>
      <c r="AT79" s="888">
        <f t="shared" si="61"/>
        <v>9.6000000000000002E-2</v>
      </c>
      <c r="AU79" s="888">
        <f t="shared" si="62"/>
        <v>13.459</v>
      </c>
      <c r="AV79" s="888">
        <f t="shared" si="63"/>
        <v>12.105</v>
      </c>
      <c r="AW79" s="888">
        <f t="shared" si="64"/>
        <v>1.296</v>
      </c>
      <c r="AX79" s="888">
        <f t="shared" si="65"/>
        <v>5.8000000000000003E-2</v>
      </c>
      <c r="AY79" s="888">
        <f t="shared" si="66"/>
        <v>12.634</v>
      </c>
      <c r="AZ79" s="888">
        <f t="shared" si="67"/>
        <v>10.513999999999999</v>
      </c>
      <c r="BA79" s="888">
        <f t="shared" si="68"/>
        <v>2.0640000000000001</v>
      </c>
      <c r="BB79" s="888">
        <f t="shared" si="69"/>
        <v>5.6000000000000001E-2</v>
      </c>
      <c r="BC79" s="888">
        <f t="shared" si="70"/>
        <v>11.375999999999999</v>
      </c>
      <c r="BD79" s="888">
        <f t="shared" si="71"/>
        <v>10.148999999999999</v>
      </c>
      <c r="BE79" s="888">
        <f t="shared" si="72"/>
        <v>0.77200000000000002</v>
      </c>
      <c r="BF79" s="888">
        <f t="shared" si="73"/>
        <v>0.14299999999999999</v>
      </c>
      <c r="BG79" s="888">
        <f t="shared" si="74"/>
        <v>12.124000000000001</v>
      </c>
      <c r="BH79" s="888">
        <f t="shared" si="75"/>
        <v>11.467000000000001</v>
      </c>
      <c r="BI79" s="888">
        <f t="shared" si="76"/>
        <v>0.56499999999999995</v>
      </c>
      <c r="BJ79" s="888">
        <f t="shared" si="77"/>
        <v>9.1999999999999998E-2</v>
      </c>
      <c r="BK79" s="888">
        <f t="shared" si="78"/>
        <v>13.052</v>
      </c>
      <c r="BL79" s="888">
        <f t="shared" si="79"/>
        <v>12.755000000000001</v>
      </c>
      <c r="BM79" s="888">
        <f t="shared" si="80"/>
        <v>0.20699999999999999</v>
      </c>
      <c r="BN79" s="888">
        <f t="shared" si="81"/>
        <v>0.09</v>
      </c>
      <c r="BO79" s="888">
        <f t="shared" si="82"/>
        <v>14.004</v>
      </c>
      <c r="BP79" s="888">
        <f t="shared" si="83"/>
        <v>13.138</v>
      </c>
      <c r="BQ79" s="888">
        <f t="shared" si="84"/>
        <v>0.81599999999999995</v>
      </c>
      <c r="BR79" s="888">
        <f t="shared" si="85"/>
        <v>5.0999999999999997E-2</v>
      </c>
      <c r="BS79" s="904" t="s">
        <v>134</v>
      </c>
    </row>
    <row r="80" spans="1:71" x14ac:dyDescent="0.25">
      <c r="A80" s="884" t="s">
        <v>295</v>
      </c>
      <c r="B80" s="884" t="s">
        <v>250</v>
      </c>
      <c r="C80" s="886" t="s">
        <v>112</v>
      </c>
      <c r="D80" s="886">
        <v>40.26</v>
      </c>
      <c r="E80" s="886" t="s">
        <v>73</v>
      </c>
      <c r="F80" s="887">
        <v>25847</v>
      </c>
      <c r="G80" s="897">
        <v>10910</v>
      </c>
      <c r="H80" s="897">
        <v>8014</v>
      </c>
      <c r="I80" s="897">
        <v>2725</v>
      </c>
      <c r="J80" s="897">
        <v>171</v>
      </c>
      <c r="K80" s="897">
        <v>12977</v>
      </c>
      <c r="L80" s="897">
        <v>10761</v>
      </c>
      <c r="M80" s="897">
        <v>2124</v>
      </c>
      <c r="N80" s="898">
        <v>92</v>
      </c>
      <c r="O80" s="898">
        <v>12908</v>
      </c>
      <c r="P80" s="898">
        <v>11610</v>
      </c>
      <c r="Q80" s="898">
        <v>1243</v>
      </c>
      <c r="R80" s="898">
        <v>56</v>
      </c>
      <c r="S80" s="898">
        <v>12117</v>
      </c>
      <c r="T80" s="898">
        <v>10084</v>
      </c>
      <c r="U80" s="898">
        <v>1980</v>
      </c>
      <c r="V80" s="898">
        <v>53</v>
      </c>
      <c r="W80" s="898">
        <v>10910</v>
      </c>
      <c r="X80" s="898">
        <v>9734</v>
      </c>
      <c r="Y80" s="898">
        <v>741</v>
      </c>
      <c r="Z80" s="898">
        <v>137</v>
      </c>
      <c r="AA80" s="898">
        <v>11628</v>
      </c>
      <c r="AB80" s="898">
        <v>10998</v>
      </c>
      <c r="AC80" s="898">
        <v>542</v>
      </c>
      <c r="AD80" s="898">
        <v>88</v>
      </c>
      <c r="AE80" s="898">
        <v>12518</v>
      </c>
      <c r="AF80" s="898">
        <v>12234</v>
      </c>
      <c r="AG80" s="898">
        <v>198</v>
      </c>
      <c r="AH80" s="898">
        <v>86</v>
      </c>
      <c r="AI80" s="898">
        <v>13431</v>
      </c>
      <c r="AJ80" s="898">
        <v>12600</v>
      </c>
      <c r="AK80" s="898">
        <v>783</v>
      </c>
      <c r="AL80" s="898">
        <v>49</v>
      </c>
      <c r="AM80" s="888">
        <f t="shared" si="54"/>
        <v>10.91</v>
      </c>
      <c r="AN80" s="888">
        <f t="shared" si="55"/>
        <v>8.0139999999999993</v>
      </c>
      <c r="AO80" s="888">
        <f t="shared" si="56"/>
        <v>2.7250000000000001</v>
      </c>
      <c r="AP80" s="888">
        <f t="shared" si="57"/>
        <v>0.17100000000000001</v>
      </c>
      <c r="AQ80" s="888">
        <f t="shared" si="58"/>
        <v>12.977</v>
      </c>
      <c r="AR80" s="888">
        <f t="shared" si="59"/>
        <v>10.760999999999999</v>
      </c>
      <c r="AS80" s="888">
        <f t="shared" si="60"/>
        <v>2.1240000000000001</v>
      </c>
      <c r="AT80" s="888">
        <f t="shared" si="61"/>
        <v>9.1999999999999998E-2</v>
      </c>
      <c r="AU80" s="888">
        <f t="shared" si="62"/>
        <v>12.907999999999999</v>
      </c>
      <c r="AV80" s="888">
        <f t="shared" si="63"/>
        <v>11.61</v>
      </c>
      <c r="AW80" s="888">
        <f t="shared" si="64"/>
        <v>1.2430000000000001</v>
      </c>
      <c r="AX80" s="888">
        <f t="shared" si="65"/>
        <v>5.6000000000000001E-2</v>
      </c>
      <c r="AY80" s="888">
        <f t="shared" si="66"/>
        <v>12.117000000000001</v>
      </c>
      <c r="AZ80" s="888">
        <f t="shared" si="67"/>
        <v>10.084</v>
      </c>
      <c r="BA80" s="888">
        <f t="shared" si="68"/>
        <v>1.98</v>
      </c>
      <c r="BB80" s="888">
        <f t="shared" si="69"/>
        <v>5.2999999999999999E-2</v>
      </c>
      <c r="BC80" s="888">
        <f t="shared" si="70"/>
        <v>10.91</v>
      </c>
      <c r="BD80" s="888">
        <f t="shared" si="71"/>
        <v>9.734</v>
      </c>
      <c r="BE80" s="888">
        <f t="shared" si="72"/>
        <v>0.74099999999999999</v>
      </c>
      <c r="BF80" s="888">
        <f t="shared" si="73"/>
        <v>0.13700000000000001</v>
      </c>
      <c r="BG80" s="888">
        <f t="shared" si="74"/>
        <v>11.628</v>
      </c>
      <c r="BH80" s="888">
        <f t="shared" si="75"/>
        <v>10.997999999999999</v>
      </c>
      <c r="BI80" s="888">
        <f t="shared" si="76"/>
        <v>0.54200000000000004</v>
      </c>
      <c r="BJ80" s="888">
        <f t="shared" si="77"/>
        <v>8.7999999999999995E-2</v>
      </c>
      <c r="BK80" s="888">
        <f t="shared" si="78"/>
        <v>12.518000000000001</v>
      </c>
      <c r="BL80" s="888">
        <f t="shared" si="79"/>
        <v>12.234</v>
      </c>
      <c r="BM80" s="888">
        <f t="shared" si="80"/>
        <v>0.19800000000000001</v>
      </c>
      <c r="BN80" s="888">
        <f t="shared" si="81"/>
        <v>8.5999999999999993E-2</v>
      </c>
      <c r="BO80" s="888">
        <f t="shared" si="82"/>
        <v>13.430999999999999</v>
      </c>
      <c r="BP80" s="888">
        <f t="shared" si="83"/>
        <v>12.6</v>
      </c>
      <c r="BQ80" s="888">
        <f t="shared" si="84"/>
        <v>0.78300000000000003</v>
      </c>
      <c r="BR80" s="888">
        <f t="shared" si="85"/>
        <v>4.9000000000000002E-2</v>
      </c>
      <c r="BS80" s="904" t="s">
        <v>134</v>
      </c>
    </row>
    <row r="81" spans="1:71" x14ac:dyDescent="0.25">
      <c r="A81" s="884" t="s">
        <v>296</v>
      </c>
      <c r="B81" s="884" t="s">
        <v>252</v>
      </c>
      <c r="C81" s="886" t="s">
        <v>112</v>
      </c>
      <c r="D81" s="886">
        <v>37.15</v>
      </c>
      <c r="E81" s="886" t="s">
        <v>73</v>
      </c>
      <c r="F81" s="887">
        <v>24653</v>
      </c>
      <c r="G81" s="897">
        <v>10730</v>
      </c>
      <c r="H81" s="897">
        <v>7881</v>
      </c>
      <c r="I81" s="897">
        <v>2680</v>
      </c>
      <c r="J81" s="897">
        <v>168</v>
      </c>
      <c r="K81" s="897">
        <v>12762</v>
      </c>
      <c r="L81" s="897">
        <v>10584</v>
      </c>
      <c r="M81" s="897">
        <v>2088</v>
      </c>
      <c r="N81" s="898">
        <v>90</v>
      </c>
      <c r="O81" s="898">
        <v>12695</v>
      </c>
      <c r="P81" s="898">
        <v>11418</v>
      </c>
      <c r="Q81" s="898">
        <v>1222</v>
      </c>
      <c r="R81" s="898">
        <v>55</v>
      </c>
      <c r="S81" s="898">
        <v>11917</v>
      </c>
      <c r="T81" s="898">
        <v>9917</v>
      </c>
      <c r="U81" s="898">
        <v>1947</v>
      </c>
      <c r="V81" s="898">
        <v>53</v>
      </c>
      <c r="W81" s="898">
        <v>10730</v>
      </c>
      <c r="X81" s="898">
        <v>9573</v>
      </c>
      <c r="Y81" s="898">
        <v>729</v>
      </c>
      <c r="Z81" s="898">
        <v>135</v>
      </c>
      <c r="AA81" s="898">
        <v>11436</v>
      </c>
      <c r="AB81" s="898">
        <v>10816</v>
      </c>
      <c r="AC81" s="898">
        <v>533</v>
      </c>
      <c r="AD81" s="898">
        <v>87</v>
      </c>
      <c r="AE81" s="898">
        <v>12311</v>
      </c>
      <c r="AF81" s="898">
        <v>12032</v>
      </c>
      <c r="AG81" s="898">
        <v>195</v>
      </c>
      <c r="AH81" s="898">
        <v>85</v>
      </c>
      <c r="AI81" s="898">
        <v>13210</v>
      </c>
      <c r="AJ81" s="898">
        <v>12392</v>
      </c>
      <c r="AK81" s="898">
        <v>770</v>
      </c>
      <c r="AL81" s="898">
        <v>48</v>
      </c>
      <c r="AM81" s="888">
        <f t="shared" si="54"/>
        <v>10.73</v>
      </c>
      <c r="AN81" s="888">
        <f t="shared" si="55"/>
        <v>7.8810000000000002</v>
      </c>
      <c r="AO81" s="888">
        <f t="shared" si="56"/>
        <v>2.68</v>
      </c>
      <c r="AP81" s="888">
        <f t="shared" si="57"/>
        <v>0.16800000000000001</v>
      </c>
      <c r="AQ81" s="888">
        <f t="shared" si="58"/>
        <v>12.762</v>
      </c>
      <c r="AR81" s="888">
        <f t="shared" si="59"/>
        <v>10.584</v>
      </c>
      <c r="AS81" s="888">
        <f t="shared" si="60"/>
        <v>2.0880000000000001</v>
      </c>
      <c r="AT81" s="888">
        <f t="shared" si="61"/>
        <v>0.09</v>
      </c>
      <c r="AU81" s="888">
        <f t="shared" si="62"/>
        <v>12.695</v>
      </c>
      <c r="AV81" s="888">
        <f t="shared" si="63"/>
        <v>11.417999999999999</v>
      </c>
      <c r="AW81" s="888">
        <f t="shared" si="64"/>
        <v>1.222</v>
      </c>
      <c r="AX81" s="888">
        <f t="shared" si="65"/>
        <v>5.5E-2</v>
      </c>
      <c r="AY81" s="888">
        <f t="shared" si="66"/>
        <v>11.917</v>
      </c>
      <c r="AZ81" s="888">
        <f t="shared" si="67"/>
        <v>9.9169999999999998</v>
      </c>
      <c r="BA81" s="888">
        <f t="shared" si="68"/>
        <v>1.9470000000000001</v>
      </c>
      <c r="BB81" s="888">
        <f t="shared" si="69"/>
        <v>5.2999999999999999E-2</v>
      </c>
      <c r="BC81" s="888">
        <f t="shared" si="70"/>
        <v>10.73</v>
      </c>
      <c r="BD81" s="888">
        <f t="shared" si="71"/>
        <v>9.5730000000000004</v>
      </c>
      <c r="BE81" s="888">
        <f t="shared" si="72"/>
        <v>0.72899999999999998</v>
      </c>
      <c r="BF81" s="888">
        <f t="shared" si="73"/>
        <v>0.13500000000000001</v>
      </c>
      <c r="BG81" s="888">
        <f t="shared" si="74"/>
        <v>11.436</v>
      </c>
      <c r="BH81" s="888">
        <f t="shared" si="75"/>
        <v>10.816000000000001</v>
      </c>
      <c r="BI81" s="888">
        <f t="shared" si="76"/>
        <v>0.53300000000000003</v>
      </c>
      <c r="BJ81" s="888">
        <f t="shared" si="77"/>
        <v>8.6999999999999994E-2</v>
      </c>
      <c r="BK81" s="888">
        <f t="shared" si="78"/>
        <v>12.311</v>
      </c>
      <c r="BL81" s="888">
        <f t="shared" si="79"/>
        <v>12.032</v>
      </c>
      <c r="BM81" s="888">
        <f t="shared" si="80"/>
        <v>0.19500000000000001</v>
      </c>
      <c r="BN81" s="888">
        <f t="shared" si="81"/>
        <v>8.5000000000000006E-2</v>
      </c>
      <c r="BO81" s="888">
        <f t="shared" si="82"/>
        <v>13.21</v>
      </c>
      <c r="BP81" s="888">
        <f t="shared" si="83"/>
        <v>12.391999999999999</v>
      </c>
      <c r="BQ81" s="888">
        <f t="shared" si="84"/>
        <v>0.77</v>
      </c>
      <c r="BR81" s="888">
        <f t="shared" si="85"/>
        <v>4.8000000000000001E-2</v>
      </c>
      <c r="BS81" s="904" t="s">
        <v>134</v>
      </c>
    </row>
    <row r="82" spans="1:71" x14ac:dyDescent="0.25">
      <c r="A82" s="884" t="s">
        <v>297</v>
      </c>
      <c r="B82" s="884" t="s">
        <v>254</v>
      </c>
      <c r="C82" s="886" t="s">
        <v>112</v>
      </c>
      <c r="D82" s="886">
        <v>34.840000000000003</v>
      </c>
      <c r="E82" s="886" t="s">
        <v>73</v>
      </c>
      <c r="F82" s="887">
        <v>23479</v>
      </c>
      <c r="G82" s="897">
        <v>10704</v>
      </c>
      <c r="H82" s="897">
        <v>7862</v>
      </c>
      <c r="I82" s="897">
        <v>2674</v>
      </c>
      <c r="J82" s="897">
        <v>168</v>
      </c>
      <c r="K82" s="897">
        <v>12731</v>
      </c>
      <c r="L82" s="897">
        <v>10558</v>
      </c>
      <c r="M82" s="897">
        <v>2083</v>
      </c>
      <c r="N82" s="898">
        <v>90</v>
      </c>
      <c r="O82" s="898">
        <v>12664</v>
      </c>
      <c r="P82" s="898">
        <v>11390</v>
      </c>
      <c r="Q82" s="898">
        <v>1219</v>
      </c>
      <c r="R82" s="898">
        <v>55</v>
      </c>
      <c r="S82" s="898">
        <v>11888</v>
      </c>
      <c r="T82" s="898">
        <v>9893</v>
      </c>
      <c r="U82" s="898">
        <v>1942</v>
      </c>
      <c r="V82" s="898">
        <v>52</v>
      </c>
      <c r="W82" s="898">
        <v>10704</v>
      </c>
      <c r="X82" s="898">
        <v>9549</v>
      </c>
      <c r="Y82" s="898">
        <v>727</v>
      </c>
      <c r="Z82" s="898">
        <v>134</v>
      </c>
      <c r="AA82" s="898">
        <v>11408</v>
      </c>
      <c r="AB82" s="898">
        <v>10790</v>
      </c>
      <c r="AC82" s="898">
        <v>532</v>
      </c>
      <c r="AD82" s="898">
        <v>87</v>
      </c>
      <c r="AE82" s="898">
        <v>12281</v>
      </c>
      <c r="AF82" s="898">
        <v>12002</v>
      </c>
      <c r="AG82" s="898">
        <v>194</v>
      </c>
      <c r="AH82" s="898">
        <v>85</v>
      </c>
      <c r="AI82" s="898">
        <v>13177</v>
      </c>
      <c r="AJ82" s="898">
        <v>12362</v>
      </c>
      <c r="AK82" s="898">
        <v>768</v>
      </c>
      <c r="AL82" s="898">
        <v>48</v>
      </c>
      <c r="AM82" s="888">
        <f t="shared" si="54"/>
        <v>10.704000000000001</v>
      </c>
      <c r="AN82" s="888">
        <f t="shared" si="55"/>
        <v>7.8620000000000001</v>
      </c>
      <c r="AO82" s="888">
        <f t="shared" si="56"/>
        <v>2.6739999999999999</v>
      </c>
      <c r="AP82" s="888">
        <f t="shared" si="57"/>
        <v>0.16800000000000001</v>
      </c>
      <c r="AQ82" s="888">
        <f t="shared" si="58"/>
        <v>12.731</v>
      </c>
      <c r="AR82" s="888">
        <f t="shared" si="59"/>
        <v>10.558</v>
      </c>
      <c r="AS82" s="888">
        <f t="shared" si="60"/>
        <v>2.0830000000000002</v>
      </c>
      <c r="AT82" s="888">
        <f t="shared" si="61"/>
        <v>0.09</v>
      </c>
      <c r="AU82" s="888">
        <f t="shared" si="62"/>
        <v>12.664</v>
      </c>
      <c r="AV82" s="888">
        <f t="shared" si="63"/>
        <v>11.39</v>
      </c>
      <c r="AW82" s="888">
        <f t="shared" si="64"/>
        <v>1.2190000000000001</v>
      </c>
      <c r="AX82" s="888">
        <f t="shared" si="65"/>
        <v>5.5E-2</v>
      </c>
      <c r="AY82" s="888">
        <f t="shared" si="66"/>
        <v>11.888</v>
      </c>
      <c r="AZ82" s="888">
        <f t="shared" si="67"/>
        <v>9.8930000000000007</v>
      </c>
      <c r="BA82" s="888">
        <f t="shared" si="68"/>
        <v>1.9419999999999999</v>
      </c>
      <c r="BB82" s="888">
        <f t="shared" si="69"/>
        <v>5.1999999999999998E-2</v>
      </c>
      <c r="BC82" s="888">
        <f t="shared" si="70"/>
        <v>10.704000000000001</v>
      </c>
      <c r="BD82" s="888">
        <f t="shared" si="71"/>
        <v>9.5489999999999995</v>
      </c>
      <c r="BE82" s="888">
        <f t="shared" si="72"/>
        <v>0.72699999999999998</v>
      </c>
      <c r="BF82" s="888">
        <f t="shared" si="73"/>
        <v>0.13400000000000001</v>
      </c>
      <c r="BG82" s="888">
        <f t="shared" si="74"/>
        <v>11.407999999999999</v>
      </c>
      <c r="BH82" s="888">
        <f t="shared" si="75"/>
        <v>10.79</v>
      </c>
      <c r="BI82" s="888">
        <f t="shared" si="76"/>
        <v>0.53200000000000003</v>
      </c>
      <c r="BJ82" s="888">
        <f t="shared" si="77"/>
        <v>8.6999999999999994E-2</v>
      </c>
      <c r="BK82" s="888">
        <f t="shared" si="78"/>
        <v>12.281000000000001</v>
      </c>
      <c r="BL82" s="888">
        <f t="shared" si="79"/>
        <v>12.002000000000001</v>
      </c>
      <c r="BM82" s="888">
        <f t="shared" si="80"/>
        <v>0.19400000000000001</v>
      </c>
      <c r="BN82" s="888">
        <f t="shared" si="81"/>
        <v>8.5000000000000006E-2</v>
      </c>
      <c r="BO82" s="888">
        <f t="shared" si="82"/>
        <v>13.177</v>
      </c>
      <c r="BP82" s="888">
        <f t="shared" si="83"/>
        <v>12.362</v>
      </c>
      <c r="BQ82" s="888">
        <f t="shared" si="84"/>
        <v>0.76800000000000002</v>
      </c>
      <c r="BR82" s="888">
        <f t="shared" si="85"/>
        <v>4.8000000000000001E-2</v>
      </c>
      <c r="BS82" s="904" t="s">
        <v>134</v>
      </c>
    </row>
    <row r="83" spans="1:71" x14ac:dyDescent="0.25">
      <c r="A83" s="884" t="s">
        <v>298</v>
      </c>
      <c r="B83" s="884" t="s">
        <v>299</v>
      </c>
      <c r="C83" s="886" t="s">
        <v>112</v>
      </c>
      <c r="D83" s="886">
        <v>32.25</v>
      </c>
      <c r="E83" s="886" t="s">
        <v>73</v>
      </c>
      <c r="F83" s="887">
        <v>21864</v>
      </c>
      <c r="G83" s="897">
        <v>10520</v>
      </c>
      <c r="H83" s="897">
        <v>7727</v>
      </c>
      <c r="I83" s="897">
        <v>2628</v>
      </c>
      <c r="J83" s="897">
        <v>165</v>
      </c>
      <c r="K83" s="897">
        <v>12513</v>
      </c>
      <c r="L83" s="897">
        <v>10377</v>
      </c>
      <c r="M83" s="897">
        <v>2048</v>
      </c>
      <c r="N83" s="898">
        <v>88</v>
      </c>
      <c r="O83" s="898">
        <v>12447</v>
      </c>
      <c r="P83" s="898">
        <v>11195</v>
      </c>
      <c r="Q83" s="898">
        <v>1198</v>
      </c>
      <c r="R83" s="898">
        <v>54</v>
      </c>
      <c r="S83" s="898">
        <v>11684</v>
      </c>
      <c r="T83" s="898">
        <v>9723</v>
      </c>
      <c r="U83" s="898">
        <v>1909</v>
      </c>
      <c r="V83" s="898">
        <v>52</v>
      </c>
      <c r="W83" s="898">
        <v>10520</v>
      </c>
      <c r="X83" s="898">
        <v>9386</v>
      </c>
      <c r="Y83" s="898">
        <v>714</v>
      </c>
      <c r="Z83" s="898">
        <v>132</v>
      </c>
      <c r="AA83" s="898">
        <v>11212</v>
      </c>
      <c r="AB83" s="898">
        <v>10605</v>
      </c>
      <c r="AC83" s="898">
        <v>523</v>
      </c>
      <c r="AD83" s="898">
        <v>85</v>
      </c>
      <c r="AE83" s="898">
        <v>12071</v>
      </c>
      <c r="AF83" s="898">
        <v>11796</v>
      </c>
      <c r="AG83" s="898">
        <v>191</v>
      </c>
      <c r="AH83" s="898">
        <v>83</v>
      </c>
      <c r="AI83" s="898">
        <v>12951</v>
      </c>
      <c r="AJ83" s="898">
        <v>12150</v>
      </c>
      <c r="AK83" s="898">
        <v>755</v>
      </c>
      <c r="AL83" s="898">
        <v>47</v>
      </c>
      <c r="AM83" s="888">
        <f t="shared" si="54"/>
        <v>10.52</v>
      </c>
      <c r="AN83" s="888">
        <f t="shared" si="55"/>
        <v>7.7270000000000003</v>
      </c>
      <c r="AO83" s="888">
        <f t="shared" si="56"/>
        <v>2.6280000000000001</v>
      </c>
      <c r="AP83" s="888">
        <f t="shared" si="57"/>
        <v>0.16500000000000001</v>
      </c>
      <c r="AQ83" s="888">
        <f t="shared" si="58"/>
        <v>12.513</v>
      </c>
      <c r="AR83" s="888">
        <f t="shared" si="59"/>
        <v>10.377000000000001</v>
      </c>
      <c r="AS83" s="888">
        <f t="shared" si="60"/>
        <v>2.048</v>
      </c>
      <c r="AT83" s="888">
        <f t="shared" si="61"/>
        <v>8.7999999999999995E-2</v>
      </c>
      <c r="AU83" s="888">
        <f t="shared" si="62"/>
        <v>12.446999999999999</v>
      </c>
      <c r="AV83" s="888">
        <f t="shared" si="63"/>
        <v>11.195</v>
      </c>
      <c r="AW83" s="888">
        <f t="shared" si="64"/>
        <v>1.198</v>
      </c>
      <c r="AX83" s="888">
        <f t="shared" si="65"/>
        <v>5.3999999999999999E-2</v>
      </c>
      <c r="AY83" s="888">
        <f t="shared" si="66"/>
        <v>11.683999999999999</v>
      </c>
      <c r="AZ83" s="888">
        <f t="shared" si="67"/>
        <v>9.7230000000000008</v>
      </c>
      <c r="BA83" s="888">
        <f t="shared" si="68"/>
        <v>1.909</v>
      </c>
      <c r="BB83" s="888">
        <f t="shared" si="69"/>
        <v>5.1999999999999998E-2</v>
      </c>
      <c r="BC83" s="888">
        <f t="shared" si="70"/>
        <v>10.52</v>
      </c>
      <c r="BD83" s="888">
        <f t="shared" si="71"/>
        <v>9.3859999999999992</v>
      </c>
      <c r="BE83" s="888">
        <f t="shared" si="72"/>
        <v>0.71399999999999997</v>
      </c>
      <c r="BF83" s="888">
        <f t="shared" si="73"/>
        <v>0.13200000000000001</v>
      </c>
      <c r="BG83" s="888">
        <f t="shared" si="74"/>
        <v>11.212</v>
      </c>
      <c r="BH83" s="888">
        <f t="shared" si="75"/>
        <v>10.605</v>
      </c>
      <c r="BI83" s="888">
        <f t="shared" si="76"/>
        <v>0.52300000000000002</v>
      </c>
      <c r="BJ83" s="888">
        <f t="shared" si="77"/>
        <v>8.5000000000000006E-2</v>
      </c>
      <c r="BK83" s="888">
        <f t="shared" si="78"/>
        <v>12.071</v>
      </c>
      <c r="BL83" s="888">
        <f t="shared" si="79"/>
        <v>11.795999999999999</v>
      </c>
      <c r="BM83" s="888">
        <f t="shared" si="80"/>
        <v>0.191</v>
      </c>
      <c r="BN83" s="888">
        <f t="shared" si="81"/>
        <v>8.3000000000000004E-2</v>
      </c>
      <c r="BO83" s="888">
        <f t="shared" si="82"/>
        <v>12.951000000000001</v>
      </c>
      <c r="BP83" s="888">
        <f t="shared" si="83"/>
        <v>12.15</v>
      </c>
      <c r="BQ83" s="888">
        <f t="shared" si="84"/>
        <v>0.755</v>
      </c>
      <c r="BR83" s="888">
        <f t="shared" si="85"/>
        <v>4.7E-2</v>
      </c>
      <c r="BS83" s="904" t="s">
        <v>134</v>
      </c>
    </row>
    <row r="84" spans="1:71" x14ac:dyDescent="0.25">
      <c r="A84" s="884" t="s">
        <v>300</v>
      </c>
      <c r="B84" s="884" t="s">
        <v>301</v>
      </c>
      <c r="C84" s="886" t="s">
        <v>112</v>
      </c>
      <c r="D84" s="886">
        <v>29.76</v>
      </c>
      <c r="E84" s="886" t="s">
        <v>73</v>
      </c>
      <c r="F84" s="887">
        <v>20514</v>
      </c>
      <c r="G84" s="897">
        <v>10952</v>
      </c>
      <c r="H84" s="897">
        <v>8044</v>
      </c>
      <c r="I84" s="897">
        <v>2736</v>
      </c>
      <c r="J84" s="897">
        <v>172</v>
      </c>
      <c r="K84" s="897">
        <v>13026</v>
      </c>
      <c r="L84" s="897">
        <v>10802</v>
      </c>
      <c r="M84" s="897">
        <v>2132</v>
      </c>
      <c r="N84" s="898">
        <v>92</v>
      </c>
      <c r="O84" s="898">
        <v>12957</v>
      </c>
      <c r="P84" s="898">
        <v>11654</v>
      </c>
      <c r="Q84" s="898">
        <v>1247</v>
      </c>
      <c r="R84" s="898">
        <v>56</v>
      </c>
      <c r="S84" s="898">
        <v>12163</v>
      </c>
      <c r="T84" s="898">
        <v>10122</v>
      </c>
      <c r="U84" s="898">
        <v>1987</v>
      </c>
      <c r="V84" s="898">
        <v>54</v>
      </c>
      <c r="W84" s="898">
        <v>10952</v>
      </c>
      <c r="X84" s="898">
        <v>9771</v>
      </c>
      <c r="Y84" s="898">
        <v>744</v>
      </c>
      <c r="Z84" s="898">
        <v>138</v>
      </c>
      <c r="AA84" s="898">
        <v>11672</v>
      </c>
      <c r="AB84" s="898">
        <v>11040</v>
      </c>
      <c r="AC84" s="898">
        <v>544</v>
      </c>
      <c r="AD84" s="898">
        <v>89</v>
      </c>
      <c r="AE84" s="898">
        <v>12566</v>
      </c>
      <c r="AF84" s="898">
        <v>12280</v>
      </c>
      <c r="AG84" s="898">
        <v>199</v>
      </c>
      <c r="AH84" s="898">
        <v>87</v>
      </c>
      <c r="AI84" s="898">
        <v>13483</v>
      </c>
      <c r="AJ84" s="898">
        <v>12648</v>
      </c>
      <c r="AK84" s="898">
        <v>786</v>
      </c>
      <c r="AL84" s="898">
        <v>49</v>
      </c>
      <c r="AM84" s="888">
        <f t="shared" si="54"/>
        <v>10.952</v>
      </c>
      <c r="AN84" s="888">
        <f t="shared" si="55"/>
        <v>8.0440000000000005</v>
      </c>
      <c r="AO84" s="888">
        <f t="shared" si="56"/>
        <v>2.7360000000000002</v>
      </c>
      <c r="AP84" s="888">
        <f t="shared" si="57"/>
        <v>0.17199999999999999</v>
      </c>
      <c r="AQ84" s="888">
        <f t="shared" si="58"/>
        <v>13.026</v>
      </c>
      <c r="AR84" s="888">
        <f t="shared" si="59"/>
        <v>10.802</v>
      </c>
      <c r="AS84" s="888">
        <f t="shared" si="60"/>
        <v>2.1320000000000001</v>
      </c>
      <c r="AT84" s="888">
        <f t="shared" si="61"/>
        <v>9.1999999999999998E-2</v>
      </c>
      <c r="AU84" s="888">
        <f t="shared" si="62"/>
        <v>12.957000000000001</v>
      </c>
      <c r="AV84" s="888">
        <f t="shared" si="63"/>
        <v>11.654</v>
      </c>
      <c r="AW84" s="888">
        <f t="shared" si="64"/>
        <v>1.2470000000000001</v>
      </c>
      <c r="AX84" s="888">
        <f t="shared" si="65"/>
        <v>5.6000000000000001E-2</v>
      </c>
      <c r="AY84" s="888">
        <f t="shared" si="66"/>
        <v>12.163</v>
      </c>
      <c r="AZ84" s="888">
        <f t="shared" si="67"/>
        <v>10.122</v>
      </c>
      <c r="BA84" s="888">
        <f t="shared" si="68"/>
        <v>1.9870000000000001</v>
      </c>
      <c r="BB84" s="888">
        <f t="shared" si="69"/>
        <v>5.3999999999999999E-2</v>
      </c>
      <c r="BC84" s="888">
        <f t="shared" si="70"/>
        <v>10.952</v>
      </c>
      <c r="BD84" s="888">
        <f t="shared" si="71"/>
        <v>9.7710000000000008</v>
      </c>
      <c r="BE84" s="888">
        <f t="shared" si="72"/>
        <v>0.74399999999999999</v>
      </c>
      <c r="BF84" s="888">
        <f t="shared" si="73"/>
        <v>0.13800000000000001</v>
      </c>
      <c r="BG84" s="888">
        <f t="shared" si="74"/>
        <v>11.672000000000001</v>
      </c>
      <c r="BH84" s="888">
        <f t="shared" si="75"/>
        <v>11.04</v>
      </c>
      <c r="BI84" s="888">
        <f t="shared" si="76"/>
        <v>0.54400000000000004</v>
      </c>
      <c r="BJ84" s="888">
        <f t="shared" si="77"/>
        <v>8.8999999999999996E-2</v>
      </c>
      <c r="BK84" s="888">
        <f t="shared" si="78"/>
        <v>12.566000000000001</v>
      </c>
      <c r="BL84" s="888">
        <f t="shared" si="79"/>
        <v>12.28</v>
      </c>
      <c r="BM84" s="888">
        <f t="shared" si="80"/>
        <v>0.19900000000000001</v>
      </c>
      <c r="BN84" s="888">
        <f t="shared" si="81"/>
        <v>8.6999999999999994E-2</v>
      </c>
      <c r="BO84" s="888">
        <f t="shared" si="82"/>
        <v>13.483000000000001</v>
      </c>
      <c r="BP84" s="888">
        <f t="shared" si="83"/>
        <v>12.648</v>
      </c>
      <c r="BQ84" s="888">
        <f t="shared" si="84"/>
        <v>0.78600000000000003</v>
      </c>
      <c r="BR84" s="888">
        <f t="shared" si="85"/>
        <v>4.9000000000000002E-2</v>
      </c>
      <c r="BS84" s="904" t="s">
        <v>134</v>
      </c>
    </row>
    <row r="85" spans="1:71" x14ac:dyDescent="0.25">
      <c r="A85" s="884" t="s">
        <v>302</v>
      </c>
      <c r="B85" s="884" t="s">
        <v>303</v>
      </c>
      <c r="C85" s="886" t="s">
        <v>112</v>
      </c>
      <c r="D85" s="886">
        <v>27.91</v>
      </c>
      <c r="E85" s="886" t="s">
        <v>73</v>
      </c>
      <c r="F85" s="887">
        <v>19521</v>
      </c>
      <c r="G85" s="897">
        <v>10714</v>
      </c>
      <c r="H85" s="897">
        <v>7870</v>
      </c>
      <c r="I85" s="897">
        <v>2676</v>
      </c>
      <c r="J85" s="897">
        <v>168</v>
      </c>
      <c r="K85" s="897">
        <v>12744</v>
      </c>
      <c r="L85" s="897">
        <v>10568</v>
      </c>
      <c r="M85" s="897">
        <v>2085</v>
      </c>
      <c r="N85" s="898">
        <v>90</v>
      </c>
      <c r="O85" s="898">
        <v>12676</v>
      </c>
      <c r="P85" s="898">
        <v>11401</v>
      </c>
      <c r="Q85" s="898">
        <v>1220</v>
      </c>
      <c r="R85" s="898">
        <v>55</v>
      </c>
      <c r="S85" s="898">
        <v>11899</v>
      </c>
      <c r="T85" s="898">
        <v>9902</v>
      </c>
      <c r="U85" s="898">
        <v>1944</v>
      </c>
      <c r="V85" s="898">
        <v>53</v>
      </c>
      <c r="W85" s="898">
        <v>10714</v>
      </c>
      <c r="X85" s="898">
        <v>9559</v>
      </c>
      <c r="Y85" s="898">
        <v>727</v>
      </c>
      <c r="Z85" s="898">
        <v>135</v>
      </c>
      <c r="AA85" s="898">
        <v>11419</v>
      </c>
      <c r="AB85" s="898">
        <v>10800</v>
      </c>
      <c r="AC85" s="898">
        <v>532</v>
      </c>
      <c r="AD85" s="898">
        <v>87</v>
      </c>
      <c r="AE85" s="898">
        <v>12293</v>
      </c>
      <c r="AF85" s="898">
        <v>12014</v>
      </c>
      <c r="AG85" s="898">
        <v>195</v>
      </c>
      <c r="AH85" s="898">
        <v>85</v>
      </c>
      <c r="AI85" s="898">
        <v>13190</v>
      </c>
      <c r="AJ85" s="898">
        <v>12374</v>
      </c>
      <c r="AK85" s="898">
        <v>769</v>
      </c>
      <c r="AL85" s="898">
        <v>48</v>
      </c>
      <c r="AM85" s="888">
        <f t="shared" si="54"/>
        <v>10.714</v>
      </c>
      <c r="AN85" s="888">
        <f t="shared" si="55"/>
        <v>7.87</v>
      </c>
      <c r="AO85" s="888">
        <f t="shared" si="56"/>
        <v>2.6760000000000002</v>
      </c>
      <c r="AP85" s="888">
        <f t="shared" si="57"/>
        <v>0.16800000000000001</v>
      </c>
      <c r="AQ85" s="888">
        <f t="shared" si="58"/>
        <v>12.744</v>
      </c>
      <c r="AR85" s="888">
        <f t="shared" si="59"/>
        <v>10.568</v>
      </c>
      <c r="AS85" s="888">
        <f t="shared" si="60"/>
        <v>2.085</v>
      </c>
      <c r="AT85" s="888">
        <f t="shared" si="61"/>
        <v>0.09</v>
      </c>
      <c r="AU85" s="888">
        <f t="shared" si="62"/>
        <v>12.676</v>
      </c>
      <c r="AV85" s="888">
        <f t="shared" si="63"/>
        <v>11.401</v>
      </c>
      <c r="AW85" s="888">
        <f t="shared" si="64"/>
        <v>1.22</v>
      </c>
      <c r="AX85" s="888">
        <f t="shared" si="65"/>
        <v>5.5E-2</v>
      </c>
      <c r="AY85" s="888">
        <f t="shared" si="66"/>
        <v>11.898999999999999</v>
      </c>
      <c r="AZ85" s="888">
        <f t="shared" si="67"/>
        <v>9.9019999999999992</v>
      </c>
      <c r="BA85" s="888">
        <f t="shared" si="68"/>
        <v>1.944</v>
      </c>
      <c r="BB85" s="888">
        <f t="shared" si="69"/>
        <v>5.2999999999999999E-2</v>
      </c>
      <c r="BC85" s="888">
        <f t="shared" si="70"/>
        <v>10.714</v>
      </c>
      <c r="BD85" s="888">
        <f t="shared" si="71"/>
        <v>9.5589999999999993</v>
      </c>
      <c r="BE85" s="888">
        <f t="shared" si="72"/>
        <v>0.72699999999999998</v>
      </c>
      <c r="BF85" s="888">
        <f t="shared" si="73"/>
        <v>0.13500000000000001</v>
      </c>
      <c r="BG85" s="888">
        <f t="shared" si="74"/>
        <v>11.419</v>
      </c>
      <c r="BH85" s="888">
        <f t="shared" si="75"/>
        <v>10.8</v>
      </c>
      <c r="BI85" s="888">
        <f t="shared" si="76"/>
        <v>0.53200000000000003</v>
      </c>
      <c r="BJ85" s="888">
        <f t="shared" si="77"/>
        <v>8.6999999999999994E-2</v>
      </c>
      <c r="BK85" s="888">
        <f t="shared" si="78"/>
        <v>12.292999999999999</v>
      </c>
      <c r="BL85" s="888">
        <f t="shared" si="79"/>
        <v>12.013999999999999</v>
      </c>
      <c r="BM85" s="888">
        <f t="shared" si="80"/>
        <v>0.19500000000000001</v>
      </c>
      <c r="BN85" s="888">
        <f t="shared" si="81"/>
        <v>8.5000000000000006E-2</v>
      </c>
      <c r="BO85" s="888">
        <f t="shared" si="82"/>
        <v>13.19</v>
      </c>
      <c r="BP85" s="888">
        <f t="shared" si="83"/>
        <v>12.374000000000001</v>
      </c>
      <c r="BQ85" s="888">
        <f t="shared" si="84"/>
        <v>0.76900000000000002</v>
      </c>
      <c r="BR85" s="888">
        <f t="shared" si="85"/>
        <v>4.8000000000000001E-2</v>
      </c>
      <c r="BS85" s="904" t="s">
        <v>134</v>
      </c>
    </row>
    <row r="86" spans="1:71" x14ac:dyDescent="0.25">
      <c r="A86" s="884" t="s">
        <v>304</v>
      </c>
      <c r="B86" s="884" t="s">
        <v>305</v>
      </c>
      <c r="C86" s="886" t="s">
        <v>112</v>
      </c>
      <c r="D86" s="886">
        <v>26.46</v>
      </c>
      <c r="E86" s="886" t="s">
        <v>73</v>
      </c>
      <c r="F86" s="887">
        <v>19249</v>
      </c>
      <c r="G86" s="897">
        <v>10584</v>
      </c>
      <c r="H86" s="897">
        <v>7774</v>
      </c>
      <c r="I86" s="897">
        <v>2644</v>
      </c>
      <c r="J86" s="897">
        <v>166</v>
      </c>
      <c r="K86" s="897">
        <v>12589</v>
      </c>
      <c r="L86" s="897">
        <v>10440</v>
      </c>
      <c r="M86" s="897">
        <v>2060</v>
      </c>
      <c r="N86" s="898">
        <v>89</v>
      </c>
      <c r="O86" s="898">
        <v>12523</v>
      </c>
      <c r="P86" s="898">
        <v>11263</v>
      </c>
      <c r="Q86" s="898">
        <v>1206</v>
      </c>
      <c r="R86" s="898">
        <v>54</v>
      </c>
      <c r="S86" s="898">
        <v>11755</v>
      </c>
      <c r="T86" s="898">
        <v>9782</v>
      </c>
      <c r="U86" s="898">
        <v>1921</v>
      </c>
      <c r="V86" s="898">
        <v>52</v>
      </c>
      <c r="W86" s="898">
        <v>10584</v>
      </c>
      <c r="X86" s="898">
        <v>9443</v>
      </c>
      <c r="Y86" s="898">
        <v>719</v>
      </c>
      <c r="Z86" s="898">
        <v>133</v>
      </c>
      <c r="AA86" s="898">
        <v>11280</v>
      </c>
      <c r="AB86" s="898">
        <v>10669</v>
      </c>
      <c r="AC86" s="898">
        <v>526</v>
      </c>
      <c r="AD86" s="898">
        <v>86</v>
      </c>
      <c r="AE86" s="898">
        <v>12144</v>
      </c>
      <c r="AF86" s="898">
        <v>11868</v>
      </c>
      <c r="AG86" s="898">
        <v>192</v>
      </c>
      <c r="AH86" s="898">
        <v>84</v>
      </c>
      <c r="AI86" s="898">
        <v>13030</v>
      </c>
      <c r="AJ86" s="898">
        <v>12224</v>
      </c>
      <c r="AK86" s="898">
        <v>759</v>
      </c>
      <c r="AL86" s="898">
        <v>47</v>
      </c>
      <c r="AM86" s="888">
        <f t="shared" si="54"/>
        <v>10.584</v>
      </c>
      <c r="AN86" s="888">
        <f t="shared" si="55"/>
        <v>7.774</v>
      </c>
      <c r="AO86" s="888">
        <f t="shared" si="56"/>
        <v>2.6440000000000001</v>
      </c>
      <c r="AP86" s="888">
        <f t="shared" si="57"/>
        <v>0.16600000000000001</v>
      </c>
      <c r="AQ86" s="888">
        <f t="shared" si="58"/>
        <v>12.589</v>
      </c>
      <c r="AR86" s="888">
        <f t="shared" si="59"/>
        <v>10.44</v>
      </c>
      <c r="AS86" s="888">
        <f t="shared" si="60"/>
        <v>2.06</v>
      </c>
      <c r="AT86" s="888">
        <f t="shared" si="61"/>
        <v>8.8999999999999996E-2</v>
      </c>
      <c r="AU86" s="888">
        <f t="shared" si="62"/>
        <v>12.523</v>
      </c>
      <c r="AV86" s="888">
        <f t="shared" si="63"/>
        <v>11.263</v>
      </c>
      <c r="AW86" s="888">
        <f t="shared" si="64"/>
        <v>1.206</v>
      </c>
      <c r="AX86" s="888">
        <f t="shared" si="65"/>
        <v>5.3999999999999999E-2</v>
      </c>
      <c r="AY86" s="888">
        <f t="shared" si="66"/>
        <v>11.755000000000001</v>
      </c>
      <c r="AZ86" s="888">
        <f t="shared" si="67"/>
        <v>9.782</v>
      </c>
      <c r="BA86" s="888">
        <f t="shared" si="68"/>
        <v>1.921</v>
      </c>
      <c r="BB86" s="888">
        <f t="shared" si="69"/>
        <v>5.1999999999999998E-2</v>
      </c>
      <c r="BC86" s="888">
        <f t="shared" si="70"/>
        <v>10.584</v>
      </c>
      <c r="BD86" s="888">
        <f t="shared" si="71"/>
        <v>9.4429999999999996</v>
      </c>
      <c r="BE86" s="888">
        <f t="shared" si="72"/>
        <v>0.71899999999999997</v>
      </c>
      <c r="BF86" s="888">
        <f t="shared" si="73"/>
        <v>0.13300000000000001</v>
      </c>
      <c r="BG86" s="888">
        <f t="shared" si="74"/>
        <v>11.28</v>
      </c>
      <c r="BH86" s="888">
        <f t="shared" si="75"/>
        <v>10.669</v>
      </c>
      <c r="BI86" s="888">
        <f t="shared" si="76"/>
        <v>0.52600000000000002</v>
      </c>
      <c r="BJ86" s="888">
        <f t="shared" si="77"/>
        <v>8.5999999999999993E-2</v>
      </c>
      <c r="BK86" s="888">
        <f t="shared" si="78"/>
        <v>12.144</v>
      </c>
      <c r="BL86" s="888">
        <f t="shared" si="79"/>
        <v>11.868</v>
      </c>
      <c r="BM86" s="888">
        <f t="shared" si="80"/>
        <v>0.192</v>
      </c>
      <c r="BN86" s="888">
        <f t="shared" si="81"/>
        <v>8.4000000000000005E-2</v>
      </c>
      <c r="BO86" s="888">
        <f t="shared" si="82"/>
        <v>13.03</v>
      </c>
      <c r="BP86" s="888">
        <f t="shared" si="83"/>
        <v>12.224</v>
      </c>
      <c r="BQ86" s="888">
        <f t="shared" si="84"/>
        <v>0.75900000000000001</v>
      </c>
      <c r="BR86" s="888">
        <f t="shared" si="85"/>
        <v>4.7E-2</v>
      </c>
      <c r="BS86" s="904" t="s">
        <v>134</v>
      </c>
    </row>
    <row r="87" spans="1:71" x14ac:dyDescent="0.25">
      <c r="A87" s="884" t="s">
        <v>306</v>
      </c>
      <c r="B87" s="894" t="s">
        <v>307</v>
      </c>
      <c r="C87" s="892" t="s">
        <v>112</v>
      </c>
      <c r="D87" s="892">
        <v>26.59</v>
      </c>
      <c r="E87" s="892" t="s">
        <v>73</v>
      </c>
      <c r="F87" s="893">
        <v>0</v>
      </c>
      <c r="G87" s="897">
        <v>24536</v>
      </c>
      <c r="H87" s="897">
        <v>18022</v>
      </c>
      <c r="I87" s="897">
        <v>6129</v>
      </c>
      <c r="J87" s="897">
        <v>385</v>
      </c>
      <c r="K87" s="897">
        <v>29183</v>
      </c>
      <c r="L87" s="897">
        <v>24201</v>
      </c>
      <c r="M87" s="897">
        <v>4776</v>
      </c>
      <c r="N87" s="898">
        <v>206</v>
      </c>
      <c r="O87" s="898">
        <v>29029</v>
      </c>
      <c r="P87" s="898">
        <v>26109</v>
      </c>
      <c r="Q87" s="898">
        <v>2795</v>
      </c>
      <c r="R87" s="898">
        <v>125</v>
      </c>
      <c r="S87" s="898">
        <v>27249</v>
      </c>
      <c r="T87" s="898">
        <v>22677</v>
      </c>
      <c r="U87" s="898">
        <v>4453</v>
      </c>
      <c r="V87" s="898">
        <v>120</v>
      </c>
      <c r="W87" s="898">
        <v>24536</v>
      </c>
      <c r="X87" s="898">
        <v>21889</v>
      </c>
      <c r="Y87" s="898">
        <v>1666</v>
      </c>
      <c r="Z87" s="898">
        <v>308</v>
      </c>
      <c r="AA87" s="898">
        <v>26149</v>
      </c>
      <c r="AB87" s="898">
        <v>24732</v>
      </c>
      <c r="AC87" s="898">
        <v>1219</v>
      </c>
      <c r="AD87" s="898">
        <v>198</v>
      </c>
      <c r="AE87" s="898">
        <v>28151</v>
      </c>
      <c r="AF87" s="898">
        <v>27512</v>
      </c>
      <c r="AG87" s="898">
        <v>446</v>
      </c>
      <c r="AH87" s="898">
        <v>194</v>
      </c>
      <c r="AI87" s="898">
        <v>30205</v>
      </c>
      <c r="AJ87" s="898">
        <v>28336</v>
      </c>
      <c r="AK87" s="898">
        <v>1760</v>
      </c>
      <c r="AL87" s="898">
        <v>109</v>
      </c>
      <c r="AM87" s="888">
        <f t="shared" si="54"/>
        <v>24.536000000000001</v>
      </c>
      <c r="AN87" s="888">
        <f t="shared" si="55"/>
        <v>18.021999999999998</v>
      </c>
      <c r="AO87" s="888">
        <f t="shared" si="56"/>
        <v>6.1289999999999996</v>
      </c>
      <c r="AP87" s="888">
        <f t="shared" si="57"/>
        <v>0.38500000000000001</v>
      </c>
      <c r="AQ87" s="888">
        <f t="shared" si="58"/>
        <v>29.183</v>
      </c>
      <c r="AR87" s="888">
        <f t="shared" si="59"/>
        <v>24.201000000000001</v>
      </c>
      <c r="AS87" s="888">
        <f t="shared" si="60"/>
        <v>4.7759999999999998</v>
      </c>
      <c r="AT87" s="888">
        <f t="shared" si="61"/>
        <v>0.20599999999999999</v>
      </c>
      <c r="AU87" s="888">
        <f t="shared" si="62"/>
        <v>29.029</v>
      </c>
      <c r="AV87" s="888">
        <f t="shared" si="63"/>
        <v>26.109000000000002</v>
      </c>
      <c r="AW87" s="888">
        <f t="shared" si="64"/>
        <v>2.7949999999999999</v>
      </c>
      <c r="AX87" s="888">
        <f t="shared" si="65"/>
        <v>0.125</v>
      </c>
      <c r="AY87" s="888">
        <f t="shared" si="66"/>
        <v>27.248999999999999</v>
      </c>
      <c r="AZ87" s="888">
        <f t="shared" si="67"/>
        <v>22.677</v>
      </c>
      <c r="BA87" s="888">
        <f t="shared" si="68"/>
        <v>4.4530000000000003</v>
      </c>
      <c r="BB87" s="888">
        <f t="shared" si="69"/>
        <v>0.12</v>
      </c>
      <c r="BC87" s="888">
        <f t="shared" si="70"/>
        <v>24.536000000000001</v>
      </c>
      <c r="BD87" s="888">
        <f t="shared" si="71"/>
        <v>21.888999999999999</v>
      </c>
      <c r="BE87" s="888">
        <f t="shared" si="72"/>
        <v>1.6659999999999999</v>
      </c>
      <c r="BF87" s="888">
        <f t="shared" si="73"/>
        <v>0.308</v>
      </c>
      <c r="BG87" s="888">
        <f t="shared" si="74"/>
        <v>26.149000000000001</v>
      </c>
      <c r="BH87" s="888">
        <f t="shared" si="75"/>
        <v>24.731999999999999</v>
      </c>
      <c r="BI87" s="888">
        <f t="shared" si="76"/>
        <v>1.2190000000000001</v>
      </c>
      <c r="BJ87" s="888">
        <f t="shared" si="77"/>
        <v>0.19800000000000001</v>
      </c>
      <c r="BK87" s="888">
        <f t="shared" si="78"/>
        <v>28.151</v>
      </c>
      <c r="BL87" s="888">
        <f t="shared" si="79"/>
        <v>27.512</v>
      </c>
      <c r="BM87" s="888">
        <f t="shared" si="80"/>
        <v>0.44600000000000001</v>
      </c>
      <c r="BN87" s="888">
        <f t="shared" si="81"/>
        <v>0.19400000000000001</v>
      </c>
      <c r="BO87" s="888">
        <f t="shared" si="82"/>
        <v>30.204999999999998</v>
      </c>
      <c r="BP87" s="888">
        <f t="shared" si="83"/>
        <v>28.335999999999999</v>
      </c>
      <c r="BQ87" s="888">
        <f t="shared" si="84"/>
        <v>1.76</v>
      </c>
      <c r="BR87" s="888">
        <f t="shared" si="85"/>
        <v>0.109</v>
      </c>
      <c r="BS87" s="904" t="s">
        <v>134</v>
      </c>
    </row>
    <row r="88" spans="1:71" x14ac:dyDescent="0.25">
      <c r="A88" s="884" t="s">
        <v>308</v>
      </c>
      <c r="B88" s="884" t="s">
        <v>309</v>
      </c>
      <c r="C88" s="886" t="s">
        <v>112</v>
      </c>
      <c r="D88" s="886">
        <v>27.84</v>
      </c>
      <c r="E88" s="886" t="s">
        <v>73</v>
      </c>
      <c r="F88" s="887">
        <v>24317</v>
      </c>
      <c r="G88" s="897">
        <v>14013</v>
      </c>
      <c r="H88" s="897">
        <v>10292</v>
      </c>
      <c r="I88" s="897">
        <v>3500</v>
      </c>
      <c r="J88" s="897">
        <v>220</v>
      </c>
      <c r="K88" s="897">
        <v>16667</v>
      </c>
      <c r="L88" s="897">
        <v>13821</v>
      </c>
      <c r="M88" s="897">
        <v>2727</v>
      </c>
      <c r="N88" s="898">
        <v>118</v>
      </c>
      <c r="O88" s="898">
        <v>16579</v>
      </c>
      <c r="P88" s="898">
        <v>14911</v>
      </c>
      <c r="Q88" s="898">
        <v>1596</v>
      </c>
      <c r="R88" s="898">
        <v>72</v>
      </c>
      <c r="S88" s="898">
        <v>15562</v>
      </c>
      <c r="T88" s="898">
        <v>12951</v>
      </c>
      <c r="U88" s="898">
        <v>2543</v>
      </c>
      <c r="V88" s="898">
        <v>69</v>
      </c>
      <c r="W88" s="898">
        <v>14013</v>
      </c>
      <c r="X88" s="898">
        <v>12501</v>
      </c>
      <c r="Y88" s="898">
        <v>951</v>
      </c>
      <c r="Z88" s="898">
        <v>176</v>
      </c>
      <c r="AA88" s="898">
        <v>14934</v>
      </c>
      <c r="AB88" s="898">
        <v>14125</v>
      </c>
      <c r="AC88" s="898">
        <v>696</v>
      </c>
      <c r="AD88" s="898">
        <v>113</v>
      </c>
      <c r="AE88" s="898">
        <v>16078</v>
      </c>
      <c r="AF88" s="898">
        <v>15712</v>
      </c>
      <c r="AG88" s="898">
        <v>255</v>
      </c>
      <c r="AH88" s="898">
        <v>111</v>
      </c>
      <c r="AI88" s="898">
        <v>17251</v>
      </c>
      <c r="AJ88" s="898">
        <v>16183</v>
      </c>
      <c r="AK88" s="898">
        <v>1005</v>
      </c>
      <c r="AL88" s="898">
        <v>62</v>
      </c>
      <c r="AM88" s="888">
        <f t="shared" si="54"/>
        <v>14.013</v>
      </c>
      <c r="AN88" s="888">
        <f t="shared" si="55"/>
        <v>10.292</v>
      </c>
      <c r="AO88" s="888">
        <f t="shared" si="56"/>
        <v>3.5</v>
      </c>
      <c r="AP88" s="888">
        <f t="shared" si="57"/>
        <v>0.22</v>
      </c>
      <c r="AQ88" s="888">
        <f t="shared" si="58"/>
        <v>16.667000000000002</v>
      </c>
      <c r="AR88" s="888">
        <f t="shared" si="59"/>
        <v>13.821</v>
      </c>
      <c r="AS88" s="888">
        <f t="shared" si="60"/>
        <v>2.7269999999999999</v>
      </c>
      <c r="AT88" s="888">
        <f t="shared" si="61"/>
        <v>0.11799999999999999</v>
      </c>
      <c r="AU88" s="888">
        <f t="shared" si="62"/>
        <v>16.579000000000001</v>
      </c>
      <c r="AV88" s="888">
        <f t="shared" si="63"/>
        <v>14.911</v>
      </c>
      <c r="AW88" s="888">
        <f t="shared" si="64"/>
        <v>1.5960000000000001</v>
      </c>
      <c r="AX88" s="888">
        <f t="shared" si="65"/>
        <v>7.1999999999999995E-2</v>
      </c>
      <c r="AY88" s="888">
        <f t="shared" si="66"/>
        <v>15.561999999999999</v>
      </c>
      <c r="AZ88" s="888">
        <f t="shared" si="67"/>
        <v>12.951000000000001</v>
      </c>
      <c r="BA88" s="888">
        <f t="shared" si="68"/>
        <v>2.5430000000000001</v>
      </c>
      <c r="BB88" s="888">
        <f t="shared" si="69"/>
        <v>6.9000000000000006E-2</v>
      </c>
      <c r="BC88" s="888">
        <f t="shared" si="70"/>
        <v>14.013</v>
      </c>
      <c r="BD88" s="888">
        <f t="shared" si="71"/>
        <v>12.500999999999999</v>
      </c>
      <c r="BE88" s="888">
        <f t="shared" si="72"/>
        <v>0.95099999999999996</v>
      </c>
      <c r="BF88" s="888">
        <f t="shared" si="73"/>
        <v>0.17599999999999999</v>
      </c>
      <c r="BG88" s="888">
        <f t="shared" si="74"/>
        <v>14.933999999999999</v>
      </c>
      <c r="BH88" s="888">
        <f t="shared" si="75"/>
        <v>14.125</v>
      </c>
      <c r="BI88" s="888">
        <f t="shared" si="76"/>
        <v>0.69599999999999995</v>
      </c>
      <c r="BJ88" s="888">
        <f t="shared" si="77"/>
        <v>0.113</v>
      </c>
      <c r="BK88" s="888">
        <f t="shared" si="78"/>
        <v>16.077999999999999</v>
      </c>
      <c r="BL88" s="888">
        <f t="shared" si="79"/>
        <v>15.712</v>
      </c>
      <c r="BM88" s="888">
        <f t="shared" si="80"/>
        <v>0.255</v>
      </c>
      <c r="BN88" s="888">
        <f t="shared" si="81"/>
        <v>0.111</v>
      </c>
      <c r="BO88" s="888">
        <f t="shared" si="82"/>
        <v>17.251000000000001</v>
      </c>
      <c r="BP88" s="888">
        <f t="shared" si="83"/>
        <v>16.183</v>
      </c>
      <c r="BQ88" s="888">
        <f t="shared" si="84"/>
        <v>1.0049999999999999</v>
      </c>
      <c r="BR88" s="888">
        <f t="shared" si="85"/>
        <v>6.2E-2</v>
      </c>
      <c r="BS88" s="904" t="s">
        <v>134</v>
      </c>
    </row>
    <row r="89" spans="1:71" x14ac:dyDescent="0.25">
      <c r="A89" s="884" t="s">
        <v>310</v>
      </c>
      <c r="B89" s="884" t="s">
        <v>311</v>
      </c>
      <c r="C89" s="886" t="s">
        <v>112</v>
      </c>
      <c r="D89" s="886">
        <v>55.34</v>
      </c>
      <c r="E89" s="886" t="s">
        <v>73</v>
      </c>
      <c r="F89" s="887">
        <v>15535</v>
      </c>
      <c r="G89" s="897">
        <v>27854</v>
      </c>
      <c r="H89" s="897">
        <v>20459</v>
      </c>
      <c r="I89" s="897">
        <v>6958</v>
      </c>
      <c r="J89" s="897">
        <v>437</v>
      </c>
      <c r="K89" s="897">
        <v>33130</v>
      </c>
      <c r="L89" s="897">
        <v>27474</v>
      </c>
      <c r="M89" s="897">
        <v>5421</v>
      </c>
      <c r="N89" s="898">
        <v>234</v>
      </c>
      <c r="O89" s="898">
        <v>32955</v>
      </c>
      <c r="P89" s="898">
        <v>29640</v>
      </c>
      <c r="Q89" s="898">
        <v>3173</v>
      </c>
      <c r="R89" s="898">
        <v>142</v>
      </c>
      <c r="S89" s="898">
        <v>30935</v>
      </c>
      <c r="T89" s="898">
        <v>25743</v>
      </c>
      <c r="U89" s="898">
        <v>5055</v>
      </c>
      <c r="V89" s="898">
        <v>137</v>
      </c>
      <c r="W89" s="898">
        <v>27854</v>
      </c>
      <c r="X89" s="898">
        <v>24850</v>
      </c>
      <c r="Y89" s="898">
        <v>1891</v>
      </c>
      <c r="Z89" s="898">
        <v>350</v>
      </c>
      <c r="AA89" s="898">
        <v>29686</v>
      </c>
      <c r="AB89" s="898">
        <v>28077</v>
      </c>
      <c r="AC89" s="898">
        <v>1384</v>
      </c>
      <c r="AD89" s="898">
        <v>225</v>
      </c>
      <c r="AE89" s="898">
        <v>31959</v>
      </c>
      <c r="AF89" s="898">
        <v>31233</v>
      </c>
      <c r="AG89" s="898">
        <v>506</v>
      </c>
      <c r="AH89" s="898">
        <v>220</v>
      </c>
      <c r="AI89" s="898">
        <v>34291</v>
      </c>
      <c r="AJ89" s="898">
        <v>32168</v>
      </c>
      <c r="AK89" s="898">
        <v>1998</v>
      </c>
      <c r="AL89" s="898">
        <v>124</v>
      </c>
      <c r="AM89" s="888">
        <f t="shared" si="54"/>
        <v>27.853999999999999</v>
      </c>
      <c r="AN89" s="888">
        <f t="shared" si="55"/>
        <v>20.459</v>
      </c>
      <c r="AO89" s="888">
        <f t="shared" si="56"/>
        <v>6.9580000000000002</v>
      </c>
      <c r="AP89" s="888">
        <f t="shared" si="57"/>
        <v>0.437</v>
      </c>
      <c r="AQ89" s="888">
        <f t="shared" si="58"/>
        <v>33.130000000000003</v>
      </c>
      <c r="AR89" s="888">
        <f t="shared" si="59"/>
        <v>27.474</v>
      </c>
      <c r="AS89" s="888">
        <f t="shared" si="60"/>
        <v>5.4210000000000003</v>
      </c>
      <c r="AT89" s="888">
        <f t="shared" si="61"/>
        <v>0.23400000000000001</v>
      </c>
      <c r="AU89" s="888">
        <f t="shared" si="62"/>
        <v>32.954999999999998</v>
      </c>
      <c r="AV89" s="888">
        <f t="shared" si="63"/>
        <v>29.64</v>
      </c>
      <c r="AW89" s="888">
        <f t="shared" si="64"/>
        <v>3.173</v>
      </c>
      <c r="AX89" s="888">
        <f t="shared" si="65"/>
        <v>0.14199999999999999</v>
      </c>
      <c r="AY89" s="888">
        <f t="shared" si="66"/>
        <v>30.934999999999999</v>
      </c>
      <c r="AZ89" s="888">
        <f t="shared" si="67"/>
        <v>25.742999999999999</v>
      </c>
      <c r="BA89" s="888">
        <f t="shared" si="68"/>
        <v>5.0549999999999997</v>
      </c>
      <c r="BB89" s="888">
        <f t="shared" si="69"/>
        <v>0.13700000000000001</v>
      </c>
      <c r="BC89" s="888">
        <f t="shared" si="70"/>
        <v>27.853999999999999</v>
      </c>
      <c r="BD89" s="888">
        <f t="shared" si="71"/>
        <v>24.85</v>
      </c>
      <c r="BE89" s="888">
        <f t="shared" si="72"/>
        <v>1.891</v>
      </c>
      <c r="BF89" s="888">
        <f t="shared" si="73"/>
        <v>0.35</v>
      </c>
      <c r="BG89" s="888">
        <f t="shared" si="74"/>
        <v>29.686</v>
      </c>
      <c r="BH89" s="888">
        <f t="shared" si="75"/>
        <v>28.077000000000002</v>
      </c>
      <c r="BI89" s="888">
        <f t="shared" si="76"/>
        <v>1.3839999999999999</v>
      </c>
      <c r="BJ89" s="888">
        <f t="shared" si="77"/>
        <v>0.22500000000000001</v>
      </c>
      <c r="BK89" s="888">
        <f t="shared" si="78"/>
        <v>31.959</v>
      </c>
      <c r="BL89" s="888">
        <f t="shared" si="79"/>
        <v>31.233000000000001</v>
      </c>
      <c r="BM89" s="888">
        <f t="shared" si="80"/>
        <v>0.50600000000000001</v>
      </c>
      <c r="BN89" s="888">
        <f t="shared" si="81"/>
        <v>0.22</v>
      </c>
      <c r="BO89" s="888">
        <f t="shared" si="82"/>
        <v>34.290999999999997</v>
      </c>
      <c r="BP89" s="888">
        <f t="shared" si="83"/>
        <v>32.167999999999999</v>
      </c>
      <c r="BQ89" s="888">
        <f t="shared" si="84"/>
        <v>1.998</v>
      </c>
      <c r="BR89" s="888">
        <f t="shared" si="85"/>
        <v>0.124</v>
      </c>
      <c r="BS89" s="904" t="s">
        <v>134</v>
      </c>
    </row>
    <row r="90" spans="1:71" x14ac:dyDescent="0.25">
      <c r="A90" s="884" t="s">
        <v>312</v>
      </c>
      <c r="B90" s="884" t="s">
        <v>313</v>
      </c>
      <c r="C90" s="886" t="s">
        <v>112</v>
      </c>
      <c r="D90" s="886">
        <v>28.52</v>
      </c>
      <c r="E90" s="886" t="s">
        <v>73</v>
      </c>
      <c r="F90" s="887">
        <v>24027</v>
      </c>
      <c r="G90" s="897">
        <v>22618</v>
      </c>
      <c r="H90" s="897">
        <v>16613</v>
      </c>
      <c r="I90" s="897">
        <v>5650</v>
      </c>
      <c r="J90" s="897">
        <v>355</v>
      </c>
      <c r="K90" s="897">
        <v>26902</v>
      </c>
      <c r="L90" s="897">
        <v>22310</v>
      </c>
      <c r="M90" s="897">
        <v>4402</v>
      </c>
      <c r="N90" s="898">
        <v>190</v>
      </c>
      <c r="O90" s="898">
        <v>26760</v>
      </c>
      <c r="P90" s="898">
        <v>24068</v>
      </c>
      <c r="Q90" s="898">
        <v>2576</v>
      </c>
      <c r="R90" s="898">
        <v>116</v>
      </c>
      <c r="S90" s="898">
        <v>25120</v>
      </c>
      <c r="T90" s="898">
        <v>20904</v>
      </c>
      <c r="U90" s="898">
        <v>4105</v>
      </c>
      <c r="V90" s="898">
        <v>111</v>
      </c>
      <c r="W90" s="898">
        <v>22618</v>
      </c>
      <c r="X90" s="898">
        <v>20179</v>
      </c>
      <c r="Y90" s="898">
        <v>1536</v>
      </c>
      <c r="Z90" s="898">
        <v>284</v>
      </c>
      <c r="AA90" s="898">
        <v>24106</v>
      </c>
      <c r="AB90" s="898">
        <v>22799</v>
      </c>
      <c r="AC90" s="898">
        <v>1124</v>
      </c>
      <c r="AD90" s="898">
        <v>183</v>
      </c>
      <c r="AE90" s="898">
        <v>25951</v>
      </c>
      <c r="AF90" s="898">
        <v>25362</v>
      </c>
      <c r="AG90" s="898">
        <v>411</v>
      </c>
      <c r="AH90" s="898">
        <v>179</v>
      </c>
      <c r="AI90" s="898">
        <v>27845</v>
      </c>
      <c r="AJ90" s="898">
        <v>26122</v>
      </c>
      <c r="AK90" s="898">
        <v>1623</v>
      </c>
      <c r="AL90" s="898">
        <v>101</v>
      </c>
      <c r="AM90" s="888">
        <f t="shared" si="54"/>
        <v>22.617999999999999</v>
      </c>
      <c r="AN90" s="888">
        <f t="shared" si="55"/>
        <v>16.613</v>
      </c>
      <c r="AO90" s="888">
        <f t="shared" si="56"/>
        <v>5.65</v>
      </c>
      <c r="AP90" s="888">
        <f t="shared" si="57"/>
        <v>0.35499999999999998</v>
      </c>
      <c r="AQ90" s="888">
        <f t="shared" si="58"/>
        <v>26.902000000000001</v>
      </c>
      <c r="AR90" s="888">
        <f t="shared" si="59"/>
        <v>22.31</v>
      </c>
      <c r="AS90" s="888">
        <f t="shared" si="60"/>
        <v>4.4020000000000001</v>
      </c>
      <c r="AT90" s="888">
        <f t="shared" si="61"/>
        <v>0.19</v>
      </c>
      <c r="AU90" s="888">
        <f t="shared" si="62"/>
        <v>26.76</v>
      </c>
      <c r="AV90" s="888">
        <f t="shared" si="63"/>
        <v>24.068000000000001</v>
      </c>
      <c r="AW90" s="888">
        <f t="shared" si="64"/>
        <v>2.5760000000000001</v>
      </c>
      <c r="AX90" s="888">
        <f t="shared" si="65"/>
        <v>0.11600000000000001</v>
      </c>
      <c r="AY90" s="888">
        <f t="shared" si="66"/>
        <v>25.12</v>
      </c>
      <c r="AZ90" s="888">
        <f t="shared" si="67"/>
        <v>20.904</v>
      </c>
      <c r="BA90" s="888">
        <f t="shared" si="68"/>
        <v>4.1050000000000004</v>
      </c>
      <c r="BB90" s="888">
        <f t="shared" si="69"/>
        <v>0.111</v>
      </c>
      <c r="BC90" s="888">
        <f t="shared" si="70"/>
        <v>22.617999999999999</v>
      </c>
      <c r="BD90" s="888">
        <f t="shared" si="71"/>
        <v>20.178999999999998</v>
      </c>
      <c r="BE90" s="888">
        <f t="shared" si="72"/>
        <v>1.536</v>
      </c>
      <c r="BF90" s="888">
        <f t="shared" si="73"/>
        <v>0.28399999999999997</v>
      </c>
      <c r="BG90" s="888">
        <f t="shared" si="74"/>
        <v>24.106000000000002</v>
      </c>
      <c r="BH90" s="888">
        <f t="shared" si="75"/>
        <v>22.798999999999999</v>
      </c>
      <c r="BI90" s="888">
        <f t="shared" si="76"/>
        <v>1.1240000000000001</v>
      </c>
      <c r="BJ90" s="888">
        <f t="shared" si="77"/>
        <v>0.183</v>
      </c>
      <c r="BK90" s="888">
        <f t="shared" si="78"/>
        <v>25.951000000000001</v>
      </c>
      <c r="BL90" s="888">
        <f t="shared" si="79"/>
        <v>25.361999999999998</v>
      </c>
      <c r="BM90" s="888">
        <f t="shared" si="80"/>
        <v>0.41099999999999998</v>
      </c>
      <c r="BN90" s="888">
        <f t="shared" si="81"/>
        <v>0.17899999999999999</v>
      </c>
      <c r="BO90" s="888">
        <f t="shared" si="82"/>
        <v>27.844999999999999</v>
      </c>
      <c r="BP90" s="888">
        <f t="shared" si="83"/>
        <v>26.122</v>
      </c>
      <c r="BQ90" s="888">
        <f t="shared" si="84"/>
        <v>1.623</v>
      </c>
      <c r="BR90" s="888">
        <f t="shared" si="85"/>
        <v>0.10100000000000001</v>
      </c>
      <c r="BS90" s="904" t="s">
        <v>134</v>
      </c>
    </row>
    <row r="91" spans="1:71" x14ac:dyDescent="0.25">
      <c r="A91" s="884" t="s">
        <v>314</v>
      </c>
      <c r="B91" s="884" t="s">
        <v>315</v>
      </c>
      <c r="C91" s="886" t="s">
        <v>112</v>
      </c>
      <c r="D91" s="886">
        <v>106.78</v>
      </c>
      <c r="E91" s="886" t="s">
        <v>73</v>
      </c>
      <c r="F91" s="887">
        <v>19750</v>
      </c>
      <c r="G91" s="897">
        <v>17337</v>
      </c>
      <c r="H91" s="897">
        <v>12734</v>
      </c>
      <c r="I91" s="897">
        <v>4331</v>
      </c>
      <c r="J91" s="897">
        <v>272</v>
      </c>
      <c r="K91" s="897">
        <v>20620</v>
      </c>
      <c r="L91" s="897">
        <v>17100</v>
      </c>
      <c r="M91" s="897">
        <v>3374</v>
      </c>
      <c r="N91" s="898">
        <v>146</v>
      </c>
      <c r="O91" s="898">
        <v>20511</v>
      </c>
      <c r="P91" s="898">
        <v>18448</v>
      </c>
      <c r="Q91" s="898">
        <v>1975</v>
      </c>
      <c r="R91" s="898">
        <v>89</v>
      </c>
      <c r="S91" s="898">
        <v>19254</v>
      </c>
      <c r="T91" s="898">
        <v>16023</v>
      </c>
      <c r="U91" s="898">
        <v>3146</v>
      </c>
      <c r="V91" s="898">
        <v>85</v>
      </c>
      <c r="W91" s="898">
        <v>17337</v>
      </c>
      <c r="X91" s="898">
        <v>15467</v>
      </c>
      <c r="Y91" s="898">
        <v>1177</v>
      </c>
      <c r="Z91" s="898">
        <v>218</v>
      </c>
      <c r="AA91" s="898">
        <v>18477</v>
      </c>
      <c r="AB91" s="898">
        <v>17475</v>
      </c>
      <c r="AC91" s="898">
        <v>861</v>
      </c>
      <c r="AD91" s="898">
        <v>140</v>
      </c>
      <c r="AE91" s="898">
        <v>19891</v>
      </c>
      <c r="AF91" s="898">
        <v>19439</v>
      </c>
      <c r="AG91" s="898">
        <v>315</v>
      </c>
      <c r="AH91" s="898">
        <v>137</v>
      </c>
      <c r="AI91" s="898">
        <v>21343</v>
      </c>
      <c r="AJ91" s="898">
        <v>20022</v>
      </c>
      <c r="AK91" s="898">
        <v>1244</v>
      </c>
      <c r="AL91" s="898">
        <v>77</v>
      </c>
      <c r="AM91" s="888">
        <f t="shared" si="54"/>
        <v>17.337</v>
      </c>
      <c r="AN91" s="888">
        <f t="shared" si="55"/>
        <v>12.734</v>
      </c>
      <c r="AO91" s="888">
        <f t="shared" si="56"/>
        <v>4.3310000000000004</v>
      </c>
      <c r="AP91" s="888">
        <f t="shared" si="57"/>
        <v>0.27200000000000002</v>
      </c>
      <c r="AQ91" s="888">
        <f t="shared" si="58"/>
        <v>20.62</v>
      </c>
      <c r="AR91" s="888">
        <f t="shared" si="59"/>
        <v>17.100000000000001</v>
      </c>
      <c r="AS91" s="888">
        <f t="shared" si="60"/>
        <v>3.3740000000000001</v>
      </c>
      <c r="AT91" s="888">
        <f t="shared" si="61"/>
        <v>0.14599999999999999</v>
      </c>
      <c r="AU91" s="888">
        <f t="shared" si="62"/>
        <v>20.510999999999999</v>
      </c>
      <c r="AV91" s="888">
        <f t="shared" si="63"/>
        <v>18.448</v>
      </c>
      <c r="AW91" s="888">
        <f t="shared" si="64"/>
        <v>1.9750000000000001</v>
      </c>
      <c r="AX91" s="888">
        <f t="shared" si="65"/>
        <v>8.8999999999999996E-2</v>
      </c>
      <c r="AY91" s="888">
        <f t="shared" si="66"/>
        <v>19.254000000000001</v>
      </c>
      <c r="AZ91" s="888">
        <f t="shared" si="67"/>
        <v>16.023</v>
      </c>
      <c r="BA91" s="888">
        <f t="shared" si="68"/>
        <v>3.1459999999999999</v>
      </c>
      <c r="BB91" s="888">
        <f t="shared" si="69"/>
        <v>8.5000000000000006E-2</v>
      </c>
      <c r="BC91" s="888">
        <f t="shared" si="70"/>
        <v>17.337</v>
      </c>
      <c r="BD91" s="888">
        <f t="shared" si="71"/>
        <v>15.467000000000001</v>
      </c>
      <c r="BE91" s="888">
        <f t="shared" si="72"/>
        <v>1.177</v>
      </c>
      <c r="BF91" s="888">
        <f t="shared" si="73"/>
        <v>0.218</v>
      </c>
      <c r="BG91" s="888">
        <f t="shared" si="74"/>
        <v>18.477</v>
      </c>
      <c r="BH91" s="888">
        <f t="shared" si="75"/>
        <v>17.475000000000001</v>
      </c>
      <c r="BI91" s="888">
        <f t="shared" si="76"/>
        <v>0.86099999999999999</v>
      </c>
      <c r="BJ91" s="888">
        <f t="shared" si="77"/>
        <v>0.14000000000000001</v>
      </c>
      <c r="BK91" s="888">
        <f t="shared" si="78"/>
        <v>19.890999999999998</v>
      </c>
      <c r="BL91" s="888">
        <f t="shared" si="79"/>
        <v>19.439</v>
      </c>
      <c r="BM91" s="888">
        <f t="shared" si="80"/>
        <v>0.315</v>
      </c>
      <c r="BN91" s="888">
        <f t="shared" si="81"/>
        <v>0.13700000000000001</v>
      </c>
      <c r="BO91" s="888">
        <f t="shared" si="82"/>
        <v>21.343</v>
      </c>
      <c r="BP91" s="888">
        <f t="shared" si="83"/>
        <v>20.021999999999998</v>
      </c>
      <c r="BQ91" s="888">
        <f t="shared" si="84"/>
        <v>1.244</v>
      </c>
      <c r="BR91" s="888">
        <f t="shared" si="85"/>
        <v>7.6999999999999999E-2</v>
      </c>
      <c r="BS91" s="904" t="s">
        <v>134</v>
      </c>
    </row>
    <row r="92" spans="1:71" x14ac:dyDescent="0.25">
      <c r="A92" s="884" t="s">
        <v>316</v>
      </c>
      <c r="B92" s="884" t="s">
        <v>317</v>
      </c>
      <c r="C92" s="886" t="s">
        <v>112</v>
      </c>
      <c r="D92" s="886">
        <v>762.28</v>
      </c>
      <c r="E92" s="886" t="s">
        <v>73</v>
      </c>
      <c r="F92" s="887">
        <v>52869</v>
      </c>
      <c r="G92" s="897">
        <v>156813</v>
      </c>
      <c r="H92" s="897">
        <v>115181</v>
      </c>
      <c r="I92" s="897">
        <v>39170</v>
      </c>
      <c r="J92" s="897">
        <v>2461</v>
      </c>
      <c r="K92" s="897">
        <v>186514</v>
      </c>
      <c r="L92" s="897">
        <v>154674</v>
      </c>
      <c r="M92" s="897">
        <v>30522</v>
      </c>
      <c r="N92" s="898">
        <v>1319</v>
      </c>
      <c r="O92" s="898">
        <v>185530</v>
      </c>
      <c r="P92" s="898">
        <v>166866</v>
      </c>
      <c r="Q92" s="898">
        <v>17861</v>
      </c>
      <c r="R92" s="898">
        <v>802</v>
      </c>
      <c r="S92" s="898">
        <v>174157</v>
      </c>
      <c r="T92" s="898">
        <v>144931</v>
      </c>
      <c r="U92" s="898">
        <v>28457</v>
      </c>
      <c r="V92" s="898">
        <v>769</v>
      </c>
      <c r="W92" s="898">
        <v>156813</v>
      </c>
      <c r="X92" s="898">
        <v>139900</v>
      </c>
      <c r="Y92" s="898">
        <v>10647</v>
      </c>
      <c r="Z92" s="898">
        <v>1969</v>
      </c>
      <c r="AA92" s="898">
        <v>167127</v>
      </c>
      <c r="AB92" s="898">
        <v>158069</v>
      </c>
      <c r="AC92" s="898">
        <v>7790</v>
      </c>
      <c r="AD92" s="898">
        <v>1268</v>
      </c>
      <c r="AE92" s="898">
        <v>179922</v>
      </c>
      <c r="AF92" s="898">
        <v>175833</v>
      </c>
      <c r="AG92" s="898">
        <v>2848</v>
      </c>
      <c r="AH92" s="898">
        <v>1241</v>
      </c>
      <c r="AI92" s="898">
        <v>193050</v>
      </c>
      <c r="AJ92" s="898">
        <v>181101</v>
      </c>
      <c r="AK92" s="898">
        <v>11251</v>
      </c>
      <c r="AL92" s="898">
        <v>697</v>
      </c>
      <c r="AM92" s="888">
        <f t="shared" si="54"/>
        <v>156.81299999999999</v>
      </c>
      <c r="AN92" s="888">
        <f t="shared" si="55"/>
        <v>115.181</v>
      </c>
      <c r="AO92" s="888">
        <f t="shared" si="56"/>
        <v>39.17</v>
      </c>
      <c r="AP92" s="888">
        <f t="shared" si="57"/>
        <v>2.4609999999999999</v>
      </c>
      <c r="AQ92" s="888">
        <f t="shared" si="58"/>
        <v>186.51400000000001</v>
      </c>
      <c r="AR92" s="888">
        <f t="shared" si="59"/>
        <v>154.67400000000001</v>
      </c>
      <c r="AS92" s="888">
        <f t="shared" si="60"/>
        <v>30.521999999999998</v>
      </c>
      <c r="AT92" s="888">
        <f t="shared" si="61"/>
        <v>1.319</v>
      </c>
      <c r="AU92" s="888">
        <f t="shared" si="62"/>
        <v>185.53</v>
      </c>
      <c r="AV92" s="888">
        <f t="shared" si="63"/>
        <v>166.86600000000001</v>
      </c>
      <c r="AW92" s="888">
        <f t="shared" si="64"/>
        <v>17.861000000000001</v>
      </c>
      <c r="AX92" s="888">
        <f t="shared" si="65"/>
        <v>0.80200000000000005</v>
      </c>
      <c r="AY92" s="888">
        <f t="shared" si="66"/>
        <v>174.15700000000001</v>
      </c>
      <c r="AZ92" s="888">
        <f t="shared" si="67"/>
        <v>144.93100000000001</v>
      </c>
      <c r="BA92" s="888">
        <f t="shared" si="68"/>
        <v>28.457000000000001</v>
      </c>
      <c r="BB92" s="888">
        <f t="shared" si="69"/>
        <v>0.76900000000000002</v>
      </c>
      <c r="BC92" s="888">
        <f t="shared" si="70"/>
        <v>156.81299999999999</v>
      </c>
      <c r="BD92" s="888">
        <f t="shared" si="71"/>
        <v>139.9</v>
      </c>
      <c r="BE92" s="888">
        <f t="shared" si="72"/>
        <v>10.647</v>
      </c>
      <c r="BF92" s="888">
        <f t="shared" si="73"/>
        <v>1.9690000000000001</v>
      </c>
      <c r="BG92" s="888">
        <f t="shared" si="74"/>
        <v>167.12700000000001</v>
      </c>
      <c r="BH92" s="888">
        <f t="shared" si="75"/>
        <v>158.06899999999999</v>
      </c>
      <c r="BI92" s="888">
        <f t="shared" si="76"/>
        <v>7.79</v>
      </c>
      <c r="BJ92" s="888">
        <f t="shared" si="77"/>
        <v>1.268</v>
      </c>
      <c r="BK92" s="888">
        <f t="shared" si="78"/>
        <v>179.922</v>
      </c>
      <c r="BL92" s="888">
        <f t="shared" si="79"/>
        <v>175.833</v>
      </c>
      <c r="BM92" s="888">
        <f t="shared" si="80"/>
        <v>2.8479999999999999</v>
      </c>
      <c r="BN92" s="888">
        <f t="shared" si="81"/>
        <v>1.2410000000000001</v>
      </c>
      <c r="BO92" s="888">
        <f t="shared" si="82"/>
        <v>193.05</v>
      </c>
      <c r="BP92" s="888">
        <f t="shared" si="83"/>
        <v>181.101</v>
      </c>
      <c r="BQ92" s="888">
        <f t="shared" si="84"/>
        <v>11.250999999999999</v>
      </c>
      <c r="BR92" s="888">
        <f t="shared" si="85"/>
        <v>0.69699999999999995</v>
      </c>
      <c r="BS92" s="904" t="s">
        <v>134</v>
      </c>
    </row>
    <row r="93" spans="1:71" x14ac:dyDescent="0.25">
      <c r="A93" s="884" t="s">
        <v>318</v>
      </c>
      <c r="B93" s="884" t="s">
        <v>319</v>
      </c>
      <c r="C93" s="886" t="s">
        <v>112</v>
      </c>
      <c r="D93" s="886">
        <v>624.20000000000005</v>
      </c>
      <c r="E93" s="886" t="s">
        <v>73</v>
      </c>
      <c r="F93" s="887">
        <v>60577</v>
      </c>
      <c r="G93" s="897">
        <v>128408</v>
      </c>
      <c r="H93" s="897">
        <v>94317</v>
      </c>
      <c r="I93" s="897">
        <v>32075</v>
      </c>
      <c r="J93" s="897">
        <v>2015</v>
      </c>
      <c r="K93" s="897">
        <v>152729</v>
      </c>
      <c r="L93" s="897">
        <v>126656</v>
      </c>
      <c r="M93" s="897">
        <v>24993</v>
      </c>
      <c r="N93" s="898">
        <v>1080</v>
      </c>
      <c r="O93" s="898">
        <v>151923</v>
      </c>
      <c r="P93" s="898">
        <v>136640</v>
      </c>
      <c r="Q93" s="898">
        <v>14626</v>
      </c>
      <c r="R93" s="898">
        <v>657</v>
      </c>
      <c r="S93" s="898">
        <v>142610</v>
      </c>
      <c r="T93" s="898">
        <v>118678</v>
      </c>
      <c r="U93" s="898">
        <v>23303</v>
      </c>
      <c r="V93" s="898">
        <v>630</v>
      </c>
      <c r="W93" s="898">
        <v>128408</v>
      </c>
      <c r="X93" s="898">
        <v>114559</v>
      </c>
      <c r="Y93" s="898">
        <v>8718</v>
      </c>
      <c r="Z93" s="898">
        <v>1613</v>
      </c>
      <c r="AA93" s="898">
        <v>136853</v>
      </c>
      <c r="AB93" s="898">
        <v>129437</v>
      </c>
      <c r="AC93" s="898">
        <v>6379</v>
      </c>
      <c r="AD93" s="898">
        <v>1038</v>
      </c>
      <c r="AE93" s="898">
        <v>147331</v>
      </c>
      <c r="AF93" s="898">
        <v>143983</v>
      </c>
      <c r="AG93" s="898">
        <v>2332</v>
      </c>
      <c r="AH93" s="898">
        <v>1016</v>
      </c>
      <c r="AI93" s="898">
        <v>158080</v>
      </c>
      <c r="AJ93" s="898">
        <v>148297</v>
      </c>
      <c r="AK93" s="898">
        <v>9213</v>
      </c>
      <c r="AL93" s="898">
        <v>571</v>
      </c>
      <c r="AM93" s="888">
        <f t="shared" si="54"/>
        <v>128.40799999999999</v>
      </c>
      <c r="AN93" s="888">
        <f t="shared" si="55"/>
        <v>94.316999999999993</v>
      </c>
      <c r="AO93" s="888">
        <f t="shared" si="56"/>
        <v>32.075000000000003</v>
      </c>
      <c r="AP93" s="888">
        <f t="shared" si="57"/>
        <v>2.0150000000000001</v>
      </c>
      <c r="AQ93" s="888">
        <f t="shared" si="58"/>
        <v>152.72900000000001</v>
      </c>
      <c r="AR93" s="888">
        <f t="shared" si="59"/>
        <v>126.65600000000001</v>
      </c>
      <c r="AS93" s="888">
        <f t="shared" si="60"/>
        <v>24.992999999999999</v>
      </c>
      <c r="AT93" s="888">
        <f t="shared" si="61"/>
        <v>1.08</v>
      </c>
      <c r="AU93" s="888">
        <f t="shared" si="62"/>
        <v>151.923</v>
      </c>
      <c r="AV93" s="888">
        <f t="shared" si="63"/>
        <v>136.63999999999999</v>
      </c>
      <c r="AW93" s="888">
        <f t="shared" si="64"/>
        <v>14.625999999999999</v>
      </c>
      <c r="AX93" s="888">
        <f t="shared" si="65"/>
        <v>0.65700000000000003</v>
      </c>
      <c r="AY93" s="888">
        <f t="shared" si="66"/>
        <v>142.61000000000001</v>
      </c>
      <c r="AZ93" s="888">
        <f t="shared" si="67"/>
        <v>118.678</v>
      </c>
      <c r="BA93" s="888">
        <f t="shared" si="68"/>
        <v>23.303000000000001</v>
      </c>
      <c r="BB93" s="888">
        <f t="shared" si="69"/>
        <v>0.63</v>
      </c>
      <c r="BC93" s="888">
        <f t="shared" si="70"/>
        <v>128.40799999999999</v>
      </c>
      <c r="BD93" s="888">
        <f t="shared" si="71"/>
        <v>114.559</v>
      </c>
      <c r="BE93" s="888">
        <f t="shared" si="72"/>
        <v>8.718</v>
      </c>
      <c r="BF93" s="888">
        <f t="shared" si="73"/>
        <v>1.613</v>
      </c>
      <c r="BG93" s="888">
        <f t="shared" si="74"/>
        <v>136.85300000000001</v>
      </c>
      <c r="BH93" s="888">
        <f t="shared" si="75"/>
        <v>129.43700000000001</v>
      </c>
      <c r="BI93" s="888">
        <f t="shared" si="76"/>
        <v>6.3789999999999996</v>
      </c>
      <c r="BJ93" s="888">
        <f t="shared" si="77"/>
        <v>1.038</v>
      </c>
      <c r="BK93" s="888">
        <f t="shared" si="78"/>
        <v>147.33099999999999</v>
      </c>
      <c r="BL93" s="888">
        <f t="shared" si="79"/>
        <v>143.983</v>
      </c>
      <c r="BM93" s="888">
        <f t="shared" si="80"/>
        <v>2.3319999999999999</v>
      </c>
      <c r="BN93" s="888">
        <f t="shared" si="81"/>
        <v>1.016</v>
      </c>
      <c r="BO93" s="888">
        <f t="shared" si="82"/>
        <v>158.08000000000001</v>
      </c>
      <c r="BP93" s="888">
        <f t="shared" si="83"/>
        <v>148.297</v>
      </c>
      <c r="BQ93" s="888">
        <f t="shared" si="84"/>
        <v>9.2129999999999992</v>
      </c>
      <c r="BR93" s="888">
        <f t="shared" si="85"/>
        <v>0.57099999999999995</v>
      </c>
      <c r="BS93" s="904" t="s">
        <v>134</v>
      </c>
    </row>
    <row r="94" spans="1:71" x14ac:dyDescent="0.25">
      <c r="A94" s="884" t="s">
        <v>320</v>
      </c>
      <c r="B94" s="894" t="s">
        <v>321</v>
      </c>
      <c r="C94" s="892" t="s">
        <v>112</v>
      </c>
      <c r="D94" s="892">
        <v>41.8</v>
      </c>
      <c r="E94" s="892" t="s">
        <v>73</v>
      </c>
      <c r="F94" s="893">
        <v>0</v>
      </c>
      <c r="G94" s="897">
        <v>33150</v>
      </c>
      <c r="H94" s="897">
        <v>24349</v>
      </c>
      <c r="I94" s="897">
        <v>8281</v>
      </c>
      <c r="J94" s="897">
        <v>520</v>
      </c>
      <c r="K94" s="897">
        <v>39429</v>
      </c>
      <c r="L94" s="897">
        <v>32698</v>
      </c>
      <c r="M94" s="897">
        <v>6452</v>
      </c>
      <c r="N94" s="898">
        <v>279</v>
      </c>
      <c r="O94" s="898">
        <v>39221</v>
      </c>
      <c r="P94" s="898">
        <v>35275</v>
      </c>
      <c r="Q94" s="898">
        <v>3776</v>
      </c>
      <c r="R94" s="898">
        <v>170</v>
      </c>
      <c r="S94" s="898">
        <v>36817</v>
      </c>
      <c r="T94" s="898">
        <v>30638</v>
      </c>
      <c r="U94" s="898">
        <v>6016</v>
      </c>
      <c r="V94" s="898">
        <v>163</v>
      </c>
      <c r="W94" s="898">
        <v>33150</v>
      </c>
      <c r="X94" s="898">
        <v>29575</v>
      </c>
      <c r="Y94" s="898">
        <v>2251</v>
      </c>
      <c r="Z94" s="898">
        <v>416</v>
      </c>
      <c r="AA94" s="898">
        <v>35331</v>
      </c>
      <c r="AB94" s="898">
        <v>33416</v>
      </c>
      <c r="AC94" s="898">
        <v>1647</v>
      </c>
      <c r="AD94" s="898">
        <v>268</v>
      </c>
      <c r="AE94" s="898">
        <v>38035</v>
      </c>
      <c r="AF94" s="898">
        <v>37171</v>
      </c>
      <c r="AG94" s="898">
        <v>602</v>
      </c>
      <c r="AH94" s="898">
        <v>262</v>
      </c>
      <c r="AI94" s="898">
        <v>40811</v>
      </c>
      <c r="AJ94" s="898">
        <v>38285</v>
      </c>
      <c r="AK94" s="898">
        <v>2378</v>
      </c>
      <c r="AL94" s="898">
        <v>147</v>
      </c>
      <c r="AM94" s="888">
        <f t="shared" si="54"/>
        <v>33.15</v>
      </c>
      <c r="AN94" s="888">
        <f t="shared" si="55"/>
        <v>24.349</v>
      </c>
      <c r="AO94" s="888">
        <f t="shared" si="56"/>
        <v>8.2810000000000006</v>
      </c>
      <c r="AP94" s="888">
        <f t="shared" si="57"/>
        <v>0.52</v>
      </c>
      <c r="AQ94" s="888">
        <f t="shared" si="58"/>
        <v>39.429000000000002</v>
      </c>
      <c r="AR94" s="888">
        <f t="shared" si="59"/>
        <v>32.698</v>
      </c>
      <c r="AS94" s="888">
        <f t="shared" si="60"/>
        <v>6.452</v>
      </c>
      <c r="AT94" s="888">
        <f t="shared" si="61"/>
        <v>0.27900000000000003</v>
      </c>
      <c r="AU94" s="888">
        <f t="shared" si="62"/>
        <v>39.220999999999997</v>
      </c>
      <c r="AV94" s="888">
        <f t="shared" si="63"/>
        <v>35.274999999999999</v>
      </c>
      <c r="AW94" s="888">
        <f t="shared" si="64"/>
        <v>3.7759999999999998</v>
      </c>
      <c r="AX94" s="888">
        <f t="shared" si="65"/>
        <v>0.17</v>
      </c>
      <c r="AY94" s="888">
        <f t="shared" si="66"/>
        <v>36.817</v>
      </c>
      <c r="AZ94" s="888">
        <f t="shared" si="67"/>
        <v>30.638000000000002</v>
      </c>
      <c r="BA94" s="888">
        <f t="shared" si="68"/>
        <v>6.016</v>
      </c>
      <c r="BB94" s="888">
        <f t="shared" si="69"/>
        <v>0.16300000000000001</v>
      </c>
      <c r="BC94" s="888">
        <f t="shared" si="70"/>
        <v>33.15</v>
      </c>
      <c r="BD94" s="888">
        <f t="shared" si="71"/>
        <v>29.574999999999999</v>
      </c>
      <c r="BE94" s="888">
        <f t="shared" si="72"/>
        <v>2.2509999999999999</v>
      </c>
      <c r="BF94" s="888">
        <f t="shared" si="73"/>
        <v>0.41599999999999998</v>
      </c>
      <c r="BG94" s="888">
        <f t="shared" si="74"/>
        <v>35.331000000000003</v>
      </c>
      <c r="BH94" s="888">
        <f t="shared" si="75"/>
        <v>33.415999999999997</v>
      </c>
      <c r="BI94" s="888">
        <f t="shared" si="76"/>
        <v>1.647</v>
      </c>
      <c r="BJ94" s="888">
        <f t="shared" si="77"/>
        <v>0.26800000000000002</v>
      </c>
      <c r="BK94" s="888">
        <f t="shared" si="78"/>
        <v>38.034999999999997</v>
      </c>
      <c r="BL94" s="888">
        <f t="shared" si="79"/>
        <v>37.170999999999999</v>
      </c>
      <c r="BM94" s="888">
        <f t="shared" si="80"/>
        <v>0.60199999999999998</v>
      </c>
      <c r="BN94" s="888">
        <f t="shared" si="81"/>
        <v>0.26200000000000001</v>
      </c>
      <c r="BO94" s="888">
        <f t="shared" si="82"/>
        <v>40.811</v>
      </c>
      <c r="BP94" s="888">
        <f t="shared" si="83"/>
        <v>38.284999999999997</v>
      </c>
      <c r="BQ94" s="888">
        <f t="shared" si="84"/>
        <v>2.3780000000000001</v>
      </c>
      <c r="BR94" s="888">
        <f t="shared" si="85"/>
        <v>0.14699999999999999</v>
      </c>
      <c r="BS94" s="904" t="s">
        <v>134</v>
      </c>
    </row>
    <row r="95" spans="1:71" x14ac:dyDescent="0.25">
      <c r="A95" s="884" t="s">
        <v>322</v>
      </c>
      <c r="B95" s="894" t="s">
        <v>323</v>
      </c>
      <c r="C95" s="892" t="s">
        <v>112</v>
      </c>
      <c r="D95" s="892">
        <v>28.75</v>
      </c>
      <c r="E95" s="892" t="s">
        <v>73</v>
      </c>
      <c r="F95" s="893">
        <v>0</v>
      </c>
      <c r="G95" s="897">
        <v>22801</v>
      </c>
      <c r="H95" s="897">
        <v>16747</v>
      </c>
      <c r="I95" s="897">
        <v>5695</v>
      </c>
      <c r="J95" s="897">
        <v>358</v>
      </c>
      <c r="K95" s="897">
        <v>27119</v>
      </c>
      <c r="L95" s="897">
        <v>22490</v>
      </c>
      <c r="M95" s="897">
        <v>4438</v>
      </c>
      <c r="N95" s="898">
        <v>192</v>
      </c>
      <c r="O95" s="898">
        <v>26976</v>
      </c>
      <c r="P95" s="898">
        <v>24262</v>
      </c>
      <c r="Q95" s="898">
        <v>2597</v>
      </c>
      <c r="R95" s="898">
        <v>117</v>
      </c>
      <c r="S95" s="898">
        <v>25322</v>
      </c>
      <c r="T95" s="898">
        <v>21073</v>
      </c>
      <c r="U95" s="898">
        <v>4138</v>
      </c>
      <c r="V95" s="898">
        <v>112</v>
      </c>
      <c r="W95" s="898">
        <v>22801</v>
      </c>
      <c r="X95" s="898">
        <v>20342</v>
      </c>
      <c r="Y95" s="898">
        <v>1548</v>
      </c>
      <c r="Z95" s="898">
        <v>286</v>
      </c>
      <c r="AA95" s="898">
        <v>24300</v>
      </c>
      <c r="AB95" s="898">
        <v>22983</v>
      </c>
      <c r="AC95" s="898">
        <v>1133</v>
      </c>
      <c r="AD95" s="898">
        <v>184</v>
      </c>
      <c r="AE95" s="898">
        <v>26161</v>
      </c>
      <c r="AF95" s="898">
        <v>25566</v>
      </c>
      <c r="AG95" s="898">
        <v>414</v>
      </c>
      <c r="AH95" s="898">
        <v>180</v>
      </c>
      <c r="AI95" s="898">
        <v>28069</v>
      </c>
      <c r="AJ95" s="898">
        <v>26332</v>
      </c>
      <c r="AK95" s="898">
        <v>1636</v>
      </c>
      <c r="AL95" s="898">
        <v>101</v>
      </c>
      <c r="AM95" s="888">
        <f t="shared" si="54"/>
        <v>22.800999999999998</v>
      </c>
      <c r="AN95" s="888">
        <f t="shared" si="55"/>
        <v>16.747</v>
      </c>
      <c r="AO95" s="888">
        <f t="shared" si="56"/>
        <v>5.6950000000000003</v>
      </c>
      <c r="AP95" s="888">
        <f t="shared" si="57"/>
        <v>0.35799999999999998</v>
      </c>
      <c r="AQ95" s="888">
        <f t="shared" si="58"/>
        <v>27.119</v>
      </c>
      <c r="AR95" s="888">
        <f t="shared" si="59"/>
        <v>22.49</v>
      </c>
      <c r="AS95" s="888">
        <f t="shared" si="60"/>
        <v>4.4379999999999997</v>
      </c>
      <c r="AT95" s="888">
        <f t="shared" si="61"/>
        <v>0.192</v>
      </c>
      <c r="AU95" s="888">
        <f t="shared" si="62"/>
        <v>26.975999999999999</v>
      </c>
      <c r="AV95" s="888">
        <f t="shared" si="63"/>
        <v>24.262</v>
      </c>
      <c r="AW95" s="888">
        <f t="shared" si="64"/>
        <v>2.597</v>
      </c>
      <c r="AX95" s="888">
        <f t="shared" si="65"/>
        <v>0.11700000000000001</v>
      </c>
      <c r="AY95" s="888">
        <f t="shared" si="66"/>
        <v>25.321999999999999</v>
      </c>
      <c r="AZ95" s="888">
        <f t="shared" si="67"/>
        <v>21.073</v>
      </c>
      <c r="BA95" s="888">
        <f t="shared" si="68"/>
        <v>4.1379999999999999</v>
      </c>
      <c r="BB95" s="888">
        <f t="shared" si="69"/>
        <v>0.112</v>
      </c>
      <c r="BC95" s="888">
        <f t="shared" si="70"/>
        <v>22.800999999999998</v>
      </c>
      <c r="BD95" s="888">
        <f t="shared" si="71"/>
        <v>20.341999999999999</v>
      </c>
      <c r="BE95" s="888">
        <f t="shared" si="72"/>
        <v>1.548</v>
      </c>
      <c r="BF95" s="888">
        <f t="shared" si="73"/>
        <v>0.28599999999999998</v>
      </c>
      <c r="BG95" s="888">
        <f t="shared" si="74"/>
        <v>24.3</v>
      </c>
      <c r="BH95" s="888">
        <f t="shared" si="75"/>
        <v>22.983000000000001</v>
      </c>
      <c r="BI95" s="888">
        <f t="shared" si="76"/>
        <v>1.133</v>
      </c>
      <c r="BJ95" s="888">
        <f t="shared" si="77"/>
        <v>0.184</v>
      </c>
      <c r="BK95" s="888">
        <f t="shared" si="78"/>
        <v>26.161000000000001</v>
      </c>
      <c r="BL95" s="888">
        <f t="shared" si="79"/>
        <v>25.565999999999999</v>
      </c>
      <c r="BM95" s="888">
        <f t="shared" si="80"/>
        <v>0.41399999999999998</v>
      </c>
      <c r="BN95" s="888">
        <f t="shared" si="81"/>
        <v>0.18</v>
      </c>
      <c r="BO95" s="888">
        <f t="shared" si="82"/>
        <v>28.068999999999999</v>
      </c>
      <c r="BP95" s="888">
        <f t="shared" si="83"/>
        <v>26.332000000000001</v>
      </c>
      <c r="BQ95" s="888">
        <f t="shared" si="84"/>
        <v>1.6359999999999999</v>
      </c>
      <c r="BR95" s="888">
        <f t="shared" si="85"/>
        <v>0.10100000000000001</v>
      </c>
      <c r="BS95" s="904" t="s">
        <v>134</v>
      </c>
    </row>
    <row r="96" spans="1:71" x14ac:dyDescent="0.25">
      <c r="A96" s="884" t="s">
        <v>324</v>
      </c>
      <c r="B96" s="884" t="s">
        <v>325</v>
      </c>
      <c r="C96" s="886" t="s">
        <v>112</v>
      </c>
      <c r="D96" s="886">
        <v>30.74</v>
      </c>
      <c r="E96" s="886" t="s">
        <v>73</v>
      </c>
      <c r="F96" s="887">
        <v>22273</v>
      </c>
      <c r="G96" s="897">
        <v>24379</v>
      </c>
      <c r="H96" s="897">
        <v>17907</v>
      </c>
      <c r="I96" s="897">
        <v>6090</v>
      </c>
      <c r="J96" s="897">
        <v>383</v>
      </c>
      <c r="K96" s="897">
        <v>28996</v>
      </c>
      <c r="L96" s="897">
        <v>24046</v>
      </c>
      <c r="M96" s="897">
        <v>4745</v>
      </c>
      <c r="N96" s="898">
        <v>205</v>
      </c>
      <c r="O96" s="898">
        <v>28843</v>
      </c>
      <c r="P96" s="898">
        <v>25942</v>
      </c>
      <c r="Q96" s="898">
        <v>2777</v>
      </c>
      <c r="R96" s="898">
        <v>125</v>
      </c>
      <c r="S96" s="898">
        <v>27075</v>
      </c>
      <c r="T96" s="898">
        <v>22532</v>
      </c>
      <c r="U96" s="898">
        <v>4424</v>
      </c>
      <c r="V96" s="898">
        <v>120</v>
      </c>
      <c r="W96" s="898">
        <v>24379</v>
      </c>
      <c r="X96" s="898">
        <v>21750</v>
      </c>
      <c r="Y96" s="898">
        <v>1655</v>
      </c>
      <c r="Z96" s="898">
        <v>306</v>
      </c>
      <c r="AA96" s="898">
        <v>25982</v>
      </c>
      <c r="AB96" s="898">
        <v>24574</v>
      </c>
      <c r="AC96" s="898">
        <v>1211</v>
      </c>
      <c r="AD96" s="898">
        <v>197</v>
      </c>
      <c r="AE96" s="898">
        <v>27971</v>
      </c>
      <c r="AF96" s="898">
        <v>27336</v>
      </c>
      <c r="AG96" s="898">
        <v>443</v>
      </c>
      <c r="AH96" s="898">
        <v>193</v>
      </c>
      <c r="AI96" s="898">
        <v>30012</v>
      </c>
      <c r="AJ96" s="898">
        <v>28155</v>
      </c>
      <c r="AK96" s="898">
        <v>1749</v>
      </c>
      <c r="AL96" s="898">
        <v>108</v>
      </c>
      <c r="AM96" s="888">
        <f t="shared" si="54"/>
        <v>24.379000000000001</v>
      </c>
      <c r="AN96" s="888">
        <f t="shared" si="55"/>
        <v>17.907</v>
      </c>
      <c r="AO96" s="888">
        <f t="shared" si="56"/>
        <v>6.09</v>
      </c>
      <c r="AP96" s="888">
        <f t="shared" si="57"/>
        <v>0.38300000000000001</v>
      </c>
      <c r="AQ96" s="888">
        <f t="shared" si="58"/>
        <v>28.995999999999999</v>
      </c>
      <c r="AR96" s="888">
        <f t="shared" si="59"/>
        <v>24.045999999999999</v>
      </c>
      <c r="AS96" s="888">
        <f t="shared" si="60"/>
        <v>4.7450000000000001</v>
      </c>
      <c r="AT96" s="888">
        <f t="shared" si="61"/>
        <v>0.20499999999999999</v>
      </c>
      <c r="AU96" s="888">
        <f t="shared" si="62"/>
        <v>28.843</v>
      </c>
      <c r="AV96" s="888">
        <f t="shared" si="63"/>
        <v>25.942</v>
      </c>
      <c r="AW96" s="888">
        <f t="shared" si="64"/>
        <v>2.7770000000000001</v>
      </c>
      <c r="AX96" s="888">
        <f t="shared" si="65"/>
        <v>0.125</v>
      </c>
      <c r="AY96" s="888">
        <f t="shared" si="66"/>
        <v>27.074999999999999</v>
      </c>
      <c r="AZ96" s="888">
        <f t="shared" si="67"/>
        <v>22.532</v>
      </c>
      <c r="BA96" s="888">
        <f t="shared" si="68"/>
        <v>4.4240000000000004</v>
      </c>
      <c r="BB96" s="888">
        <f t="shared" si="69"/>
        <v>0.12</v>
      </c>
      <c r="BC96" s="888">
        <f t="shared" si="70"/>
        <v>24.379000000000001</v>
      </c>
      <c r="BD96" s="888">
        <f t="shared" si="71"/>
        <v>21.75</v>
      </c>
      <c r="BE96" s="888">
        <f t="shared" si="72"/>
        <v>1.655</v>
      </c>
      <c r="BF96" s="888">
        <f t="shared" si="73"/>
        <v>0.30599999999999999</v>
      </c>
      <c r="BG96" s="888">
        <f t="shared" si="74"/>
        <v>25.981999999999999</v>
      </c>
      <c r="BH96" s="888">
        <f t="shared" si="75"/>
        <v>24.574000000000002</v>
      </c>
      <c r="BI96" s="888">
        <f t="shared" si="76"/>
        <v>1.2110000000000001</v>
      </c>
      <c r="BJ96" s="888">
        <f t="shared" si="77"/>
        <v>0.19700000000000001</v>
      </c>
      <c r="BK96" s="888">
        <f t="shared" si="78"/>
        <v>27.971</v>
      </c>
      <c r="BL96" s="888">
        <f t="shared" si="79"/>
        <v>27.335999999999999</v>
      </c>
      <c r="BM96" s="888">
        <f t="shared" si="80"/>
        <v>0.443</v>
      </c>
      <c r="BN96" s="888">
        <f t="shared" si="81"/>
        <v>0.193</v>
      </c>
      <c r="BO96" s="888">
        <f t="shared" si="82"/>
        <v>30.012</v>
      </c>
      <c r="BP96" s="888">
        <f t="shared" si="83"/>
        <v>28.155000000000001</v>
      </c>
      <c r="BQ96" s="888">
        <f t="shared" si="84"/>
        <v>1.7490000000000001</v>
      </c>
      <c r="BR96" s="888">
        <f t="shared" si="85"/>
        <v>0.108</v>
      </c>
      <c r="BS96" s="904" t="s">
        <v>134</v>
      </c>
    </row>
    <row r="97" spans="1:71" x14ac:dyDescent="0.25">
      <c r="A97" s="884" t="s">
        <v>326</v>
      </c>
      <c r="B97" s="894" t="s">
        <v>327</v>
      </c>
      <c r="C97" s="892" t="s">
        <v>112</v>
      </c>
      <c r="D97" s="892">
        <v>41.05</v>
      </c>
      <c r="E97" s="892" t="s">
        <v>73</v>
      </c>
      <c r="F97" s="893">
        <v>0</v>
      </c>
      <c r="G97" s="897">
        <v>32555</v>
      </c>
      <c r="H97" s="897">
        <v>23912</v>
      </c>
      <c r="I97" s="897">
        <v>8132</v>
      </c>
      <c r="J97" s="897">
        <v>511</v>
      </c>
      <c r="K97" s="897">
        <v>38722</v>
      </c>
      <c r="L97" s="897">
        <v>32111</v>
      </c>
      <c r="M97" s="897">
        <v>6336</v>
      </c>
      <c r="N97" s="898">
        <v>274</v>
      </c>
      <c r="O97" s="898">
        <v>38517</v>
      </c>
      <c r="P97" s="898">
        <v>34643</v>
      </c>
      <c r="Q97" s="898">
        <v>3708</v>
      </c>
      <c r="R97" s="898">
        <v>166</v>
      </c>
      <c r="S97" s="898">
        <v>36156</v>
      </c>
      <c r="T97" s="898">
        <v>30089</v>
      </c>
      <c r="U97" s="898">
        <v>5908</v>
      </c>
      <c r="V97" s="898">
        <v>160</v>
      </c>
      <c r="W97" s="898">
        <v>32555</v>
      </c>
      <c r="X97" s="898">
        <v>29044</v>
      </c>
      <c r="Y97" s="898">
        <v>2210</v>
      </c>
      <c r="Z97" s="898">
        <v>409</v>
      </c>
      <c r="AA97" s="898">
        <v>34697</v>
      </c>
      <c r="AB97" s="898">
        <v>32816</v>
      </c>
      <c r="AC97" s="898">
        <v>1617</v>
      </c>
      <c r="AD97" s="898">
        <v>263</v>
      </c>
      <c r="AE97" s="898">
        <v>37353</v>
      </c>
      <c r="AF97" s="898">
        <v>36504</v>
      </c>
      <c r="AG97" s="898">
        <v>591</v>
      </c>
      <c r="AH97" s="898">
        <v>258</v>
      </c>
      <c r="AI97" s="898">
        <v>40078</v>
      </c>
      <c r="AJ97" s="898">
        <v>37598</v>
      </c>
      <c r="AK97" s="898">
        <v>2336</v>
      </c>
      <c r="AL97" s="898">
        <v>145</v>
      </c>
      <c r="AM97" s="888">
        <f t="shared" si="54"/>
        <v>32.555</v>
      </c>
      <c r="AN97" s="888">
        <f t="shared" si="55"/>
        <v>23.911999999999999</v>
      </c>
      <c r="AO97" s="888">
        <f t="shared" si="56"/>
        <v>8.1319999999999997</v>
      </c>
      <c r="AP97" s="888">
        <f t="shared" si="57"/>
        <v>0.51100000000000001</v>
      </c>
      <c r="AQ97" s="888">
        <f t="shared" si="58"/>
        <v>38.722000000000001</v>
      </c>
      <c r="AR97" s="888">
        <f t="shared" si="59"/>
        <v>32.110999999999997</v>
      </c>
      <c r="AS97" s="888">
        <f t="shared" si="60"/>
        <v>6.3360000000000003</v>
      </c>
      <c r="AT97" s="888">
        <f t="shared" si="61"/>
        <v>0.27400000000000002</v>
      </c>
      <c r="AU97" s="888">
        <f t="shared" si="62"/>
        <v>38.517000000000003</v>
      </c>
      <c r="AV97" s="888">
        <f t="shared" si="63"/>
        <v>34.643000000000001</v>
      </c>
      <c r="AW97" s="888">
        <f t="shared" si="64"/>
        <v>3.7080000000000002</v>
      </c>
      <c r="AX97" s="888">
        <f t="shared" si="65"/>
        <v>0.16600000000000001</v>
      </c>
      <c r="AY97" s="888">
        <f t="shared" si="66"/>
        <v>36.155999999999999</v>
      </c>
      <c r="AZ97" s="888">
        <f t="shared" si="67"/>
        <v>30.088999999999999</v>
      </c>
      <c r="BA97" s="888">
        <f t="shared" si="68"/>
        <v>5.9080000000000004</v>
      </c>
      <c r="BB97" s="888">
        <f t="shared" si="69"/>
        <v>0.16</v>
      </c>
      <c r="BC97" s="888">
        <f t="shared" si="70"/>
        <v>32.555</v>
      </c>
      <c r="BD97" s="888">
        <f t="shared" si="71"/>
        <v>29.044</v>
      </c>
      <c r="BE97" s="888">
        <f t="shared" si="72"/>
        <v>2.21</v>
      </c>
      <c r="BF97" s="888">
        <f t="shared" si="73"/>
        <v>0.40899999999999997</v>
      </c>
      <c r="BG97" s="888">
        <f t="shared" si="74"/>
        <v>34.697000000000003</v>
      </c>
      <c r="BH97" s="888">
        <f t="shared" si="75"/>
        <v>32.816000000000003</v>
      </c>
      <c r="BI97" s="888">
        <f t="shared" si="76"/>
        <v>1.617</v>
      </c>
      <c r="BJ97" s="888">
        <f t="shared" si="77"/>
        <v>0.26300000000000001</v>
      </c>
      <c r="BK97" s="888">
        <f t="shared" si="78"/>
        <v>37.353000000000002</v>
      </c>
      <c r="BL97" s="888">
        <f t="shared" si="79"/>
        <v>36.503999999999998</v>
      </c>
      <c r="BM97" s="888">
        <f t="shared" si="80"/>
        <v>0.59099999999999997</v>
      </c>
      <c r="BN97" s="888">
        <f t="shared" si="81"/>
        <v>0.25800000000000001</v>
      </c>
      <c r="BO97" s="888">
        <f t="shared" si="82"/>
        <v>40.078000000000003</v>
      </c>
      <c r="BP97" s="888">
        <f t="shared" si="83"/>
        <v>37.597999999999999</v>
      </c>
      <c r="BQ97" s="888">
        <f t="shared" si="84"/>
        <v>2.3359999999999999</v>
      </c>
      <c r="BR97" s="888">
        <f t="shared" si="85"/>
        <v>0.14499999999999999</v>
      </c>
      <c r="BS97" s="904" t="s">
        <v>134</v>
      </c>
    </row>
    <row r="98" spans="1:71" x14ac:dyDescent="0.25">
      <c r="A98" s="884" t="s">
        <v>328</v>
      </c>
      <c r="B98" s="894" t="s">
        <v>329</v>
      </c>
      <c r="C98" s="892" t="s">
        <v>112</v>
      </c>
      <c r="D98" s="892">
        <v>143.6</v>
      </c>
      <c r="E98" s="892" t="s">
        <v>73</v>
      </c>
      <c r="F98" s="893">
        <v>0</v>
      </c>
      <c r="G98" s="897">
        <v>113884</v>
      </c>
      <c r="H98" s="897">
        <v>83650</v>
      </c>
      <c r="I98" s="897">
        <v>28447</v>
      </c>
      <c r="J98" s="897">
        <v>1787</v>
      </c>
      <c r="K98" s="897">
        <v>135455</v>
      </c>
      <c r="L98" s="897">
        <v>112331</v>
      </c>
      <c r="M98" s="897">
        <v>22166</v>
      </c>
      <c r="N98" s="898">
        <v>958</v>
      </c>
      <c r="O98" s="898">
        <v>134740</v>
      </c>
      <c r="P98" s="898">
        <v>121186</v>
      </c>
      <c r="Q98" s="898">
        <v>12972</v>
      </c>
      <c r="R98" s="898">
        <v>582</v>
      </c>
      <c r="S98" s="898">
        <v>126480</v>
      </c>
      <c r="T98" s="898">
        <v>105255</v>
      </c>
      <c r="U98" s="898">
        <v>20667</v>
      </c>
      <c r="V98" s="898">
        <v>558</v>
      </c>
      <c r="W98" s="898">
        <v>113884</v>
      </c>
      <c r="X98" s="898">
        <v>101602</v>
      </c>
      <c r="Y98" s="898">
        <v>7732</v>
      </c>
      <c r="Z98" s="898">
        <v>1430</v>
      </c>
      <c r="AA98" s="898">
        <v>121375</v>
      </c>
      <c r="AB98" s="898">
        <v>114797</v>
      </c>
      <c r="AC98" s="898">
        <v>5657</v>
      </c>
      <c r="AD98" s="898">
        <v>921</v>
      </c>
      <c r="AE98" s="898">
        <v>130667</v>
      </c>
      <c r="AF98" s="898">
        <v>127698</v>
      </c>
      <c r="AG98" s="898">
        <v>2068</v>
      </c>
      <c r="AH98" s="898">
        <v>901</v>
      </c>
      <c r="AI98" s="898">
        <v>140201</v>
      </c>
      <c r="AJ98" s="898">
        <v>131524</v>
      </c>
      <c r="AK98" s="898">
        <v>8171</v>
      </c>
      <c r="AL98" s="898">
        <v>507</v>
      </c>
      <c r="AM98" s="888">
        <f t="shared" si="54"/>
        <v>113.884</v>
      </c>
      <c r="AN98" s="888">
        <f t="shared" si="55"/>
        <v>83.65</v>
      </c>
      <c r="AO98" s="888">
        <f t="shared" si="56"/>
        <v>28.446999999999999</v>
      </c>
      <c r="AP98" s="888">
        <f t="shared" si="57"/>
        <v>1.7869999999999999</v>
      </c>
      <c r="AQ98" s="888">
        <f t="shared" si="58"/>
        <v>135.45500000000001</v>
      </c>
      <c r="AR98" s="888">
        <f t="shared" si="59"/>
        <v>112.331</v>
      </c>
      <c r="AS98" s="888">
        <f t="shared" si="60"/>
        <v>22.166</v>
      </c>
      <c r="AT98" s="888">
        <f t="shared" si="61"/>
        <v>0.95799999999999996</v>
      </c>
      <c r="AU98" s="888">
        <f t="shared" si="62"/>
        <v>134.74</v>
      </c>
      <c r="AV98" s="888">
        <f t="shared" si="63"/>
        <v>121.18600000000001</v>
      </c>
      <c r="AW98" s="888">
        <f t="shared" si="64"/>
        <v>12.972</v>
      </c>
      <c r="AX98" s="888">
        <f t="shared" si="65"/>
        <v>0.58199999999999996</v>
      </c>
      <c r="AY98" s="888">
        <f t="shared" si="66"/>
        <v>126.48</v>
      </c>
      <c r="AZ98" s="888">
        <f t="shared" si="67"/>
        <v>105.255</v>
      </c>
      <c r="BA98" s="888">
        <f t="shared" si="68"/>
        <v>20.667000000000002</v>
      </c>
      <c r="BB98" s="888">
        <f t="shared" si="69"/>
        <v>0.55800000000000005</v>
      </c>
      <c r="BC98" s="888">
        <f t="shared" si="70"/>
        <v>113.884</v>
      </c>
      <c r="BD98" s="888">
        <f t="shared" si="71"/>
        <v>101.602</v>
      </c>
      <c r="BE98" s="888">
        <f t="shared" si="72"/>
        <v>7.7320000000000002</v>
      </c>
      <c r="BF98" s="888">
        <f t="shared" si="73"/>
        <v>1.43</v>
      </c>
      <c r="BG98" s="888">
        <f t="shared" si="74"/>
        <v>121.375</v>
      </c>
      <c r="BH98" s="888">
        <f t="shared" si="75"/>
        <v>114.797</v>
      </c>
      <c r="BI98" s="888">
        <f t="shared" si="76"/>
        <v>5.657</v>
      </c>
      <c r="BJ98" s="888">
        <f t="shared" si="77"/>
        <v>0.92100000000000004</v>
      </c>
      <c r="BK98" s="888">
        <f t="shared" si="78"/>
        <v>130.667</v>
      </c>
      <c r="BL98" s="888">
        <f t="shared" si="79"/>
        <v>127.69799999999999</v>
      </c>
      <c r="BM98" s="888">
        <f t="shared" si="80"/>
        <v>2.0680000000000001</v>
      </c>
      <c r="BN98" s="888">
        <f t="shared" si="81"/>
        <v>0.90100000000000002</v>
      </c>
      <c r="BO98" s="888">
        <f t="shared" si="82"/>
        <v>140.20099999999999</v>
      </c>
      <c r="BP98" s="888">
        <f t="shared" si="83"/>
        <v>131.524</v>
      </c>
      <c r="BQ98" s="888">
        <f t="shared" si="84"/>
        <v>8.1709999999999994</v>
      </c>
      <c r="BR98" s="888">
        <f t="shared" si="85"/>
        <v>0.50700000000000001</v>
      </c>
      <c r="BS98" s="904" t="s">
        <v>134</v>
      </c>
    </row>
    <row r="99" spans="1:71" x14ac:dyDescent="0.25">
      <c r="A99" s="884" t="s">
        <v>330</v>
      </c>
      <c r="B99" s="894" t="s">
        <v>331</v>
      </c>
      <c r="C99" s="892" t="s">
        <v>112</v>
      </c>
      <c r="D99" s="892">
        <v>20</v>
      </c>
      <c r="E99" s="892" t="s">
        <v>73</v>
      </c>
      <c r="F99" s="893">
        <v>0</v>
      </c>
      <c r="G99" s="897">
        <v>15861</v>
      </c>
      <c r="H99" s="897">
        <v>11650</v>
      </c>
      <c r="I99" s="897">
        <v>3962</v>
      </c>
      <c r="J99" s="897">
        <v>249</v>
      </c>
      <c r="K99" s="897">
        <v>18866</v>
      </c>
      <c r="L99" s="897">
        <v>15645</v>
      </c>
      <c r="M99" s="897">
        <v>3087</v>
      </c>
      <c r="N99" s="898">
        <v>133</v>
      </c>
      <c r="O99" s="898">
        <v>18766</v>
      </c>
      <c r="P99" s="898">
        <v>16878</v>
      </c>
      <c r="Q99" s="898">
        <v>1807</v>
      </c>
      <c r="R99" s="898">
        <v>81</v>
      </c>
      <c r="S99" s="898">
        <v>17616</v>
      </c>
      <c r="T99" s="898">
        <v>14659</v>
      </c>
      <c r="U99" s="898">
        <v>2878</v>
      </c>
      <c r="V99" s="898">
        <v>78</v>
      </c>
      <c r="W99" s="898">
        <v>15861</v>
      </c>
      <c r="X99" s="898">
        <v>14151</v>
      </c>
      <c r="Y99" s="898">
        <v>1077</v>
      </c>
      <c r="Z99" s="898">
        <v>199</v>
      </c>
      <c r="AA99" s="898">
        <v>16905</v>
      </c>
      <c r="AB99" s="898">
        <v>15988</v>
      </c>
      <c r="AC99" s="898">
        <v>788</v>
      </c>
      <c r="AD99" s="898">
        <v>128</v>
      </c>
      <c r="AE99" s="898">
        <v>18199</v>
      </c>
      <c r="AF99" s="898">
        <v>17785</v>
      </c>
      <c r="AG99" s="898">
        <v>288</v>
      </c>
      <c r="AH99" s="898">
        <v>125</v>
      </c>
      <c r="AI99" s="898">
        <v>19527</v>
      </c>
      <c r="AJ99" s="898">
        <v>18318</v>
      </c>
      <c r="AK99" s="898">
        <v>1138</v>
      </c>
      <c r="AL99" s="898">
        <v>71</v>
      </c>
      <c r="AM99" s="888">
        <f t="shared" si="54"/>
        <v>15.861000000000001</v>
      </c>
      <c r="AN99" s="888">
        <f t="shared" si="55"/>
        <v>11.65</v>
      </c>
      <c r="AO99" s="888">
        <f t="shared" si="56"/>
        <v>3.9620000000000002</v>
      </c>
      <c r="AP99" s="888">
        <f t="shared" si="57"/>
        <v>0.249</v>
      </c>
      <c r="AQ99" s="888">
        <f t="shared" si="58"/>
        <v>18.866</v>
      </c>
      <c r="AR99" s="888">
        <f t="shared" si="59"/>
        <v>15.645</v>
      </c>
      <c r="AS99" s="888">
        <f t="shared" si="60"/>
        <v>3.0870000000000002</v>
      </c>
      <c r="AT99" s="888">
        <f t="shared" si="61"/>
        <v>0.13300000000000001</v>
      </c>
      <c r="AU99" s="888">
        <f t="shared" si="62"/>
        <v>18.765999999999998</v>
      </c>
      <c r="AV99" s="888">
        <f t="shared" si="63"/>
        <v>16.878</v>
      </c>
      <c r="AW99" s="888">
        <f t="shared" si="64"/>
        <v>1.8069999999999999</v>
      </c>
      <c r="AX99" s="888">
        <f t="shared" si="65"/>
        <v>8.1000000000000003E-2</v>
      </c>
      <c r="AY99" s="888">
        <f t="shared" si="66"/>
        <v>17.616</v>
      </c>
      <c r="AZ99" s="888">
        <f t="shared" si="67"/>
        <v>14.659000000000001</v>
      </c>
      <c r="BA99" s="888">
        <f t="shared" si="68"/>
        <v>2.8780000000000001</v>
      </c>
      <c r="BB99" s="888">
        <f t="shared" si="69"/>
        <v>7.8E-2</v>
      </c>
      <c r="BC99" s="888">
        <f t="shared" si="70"/>
        <v>15.861000000000001</v>
      </c>
      <c r="BD99" s="888">
        <f t="shared" si="71"/>
        <v>14.151</v>
      </c>
      <c r="BE99" s="888">
        <f t="shared" si="72"/>
        <v>1.077</v>
      </c>
      <c r="BF99" s="888">
        <f t="shared" si="73"/>
        <v>0.19900000000000001</v>
      </c>
      <c r="BG99" s="888">
        <f t="shared" si="74"/>
        <v>16.905000000000001</v>
      </c>
      <c r="BH99" s="888">
        <f t="shared" si="75"/>
        <v>15.988</v>
      </c>
      <c r="BI99" s="888">
        <f t="shared" si="76"/>
        <v>0.78800000000000003</v>
      </c>
      <c r="BJ99" s="888">
        <f t="shared" si="77"/>
        <v>0.128</v>
      </c>
      <c r="BK99" s="888">
        <f t="shared" si="78"/>
        <v>18.199000000000002</v>
      </c>
      <c r="BL99" s="888">
        <f t="shared" si="79"/>
        <v>17.785</v>
      </c>
      <c r="BM99" s="888">
        <f t="shared" si="80"/>
        <v>0.28799999999999998</v>
      </c>
      <c r="BN99" s="888">
        <f t="shared" si="81"/>
        <v>0.125</v>
      </c>
      <c r="BO99" s="888">
        <f t="shared" si="82"/>
        <v>19.527000000000001</v>
      </c>
      <c r="BP99" s="888">
        <f t="shared" si="83"/>
        <v>18.318000000000001</v>
      </c>
      <c r="BQ99" s="888">
        <f t="shared" si="84"/>
        <v>1.1379999999999999</v>
      </c>
      <c r="BR99" s="888">
        <f t="shared" si="85"/>
        <v>7.0999999999999994E-2</v>
      </c>
      <c r="BS99" s="904" t="s">
        <v>134</v>
      </c>
    </row>
    <row r="100" spans="1:71" x14ac:dyDescent="0.25">
      <c r="A100" s="884" t="s">
        <v>332</v>
      </c>
      <c r="B100" s="884" t="s">
        <v>333</v>
      </c>
      <c r="C100" s="886" t="s">
        <v>112</v>
      </c>
      <c r="D100" s="886">
        <v>22.88</v>
      </c>
      <c r="E100" s="886" t="s">
        <v>73</v>
      </c>
      <c r="F100" s="887">
        <v>9283</v>
      </c>
      <c r="G100" s="897">
        <v>18145</v>
      </c>
      <c r="H100" s="897">
        <v>13328</v>
      </c>
      <c r="I100" s="897">
        <v>4533</v>
      </c>
      <c r="J100" s="897">
        <v>285</v>
      </c>
      <c r="K100" s="897">
        <v>21582</v>
      </c>
      <c r="L100" s="897">
        <v>17898</v>
      </c>
      <c r="M100" s="897">
        <v>3532</v>
      </c>
      <c r="N100" s="898">
        <v>153</v>
      </c>
      <c r="O100" s="898">
        <v>21468</v>
      </c>
      <c r="P100" s="898">
        <v>19309</v>
      </c>
      <c r="Q100" s="898">
        <v>2067</v>
      </c>
      <c r="R100" s="898">
        <v>93</v>
      </c>
      <c r="S100" s="898">
        <v>20152</v>
      </c>
      <c r="T100" s="898">
        <v>16770</v>
      </c>
      <c r="U100" s="898">
        <v>3293</v>
      </c>
      <c r="V100" s="898">
        <v>89</v>
      </c>
      <c r="W100" s="898">
        <v>18145</v>
      </c>
      <c r="X100" s="898">
        <v>16188</v>
      </c>
      <c r="Y100" s="898">
        <v>1232</v>
      </c>
      <c r="Z100" s="898">
        <v>228</v>
      </c>
      <c r="AA100" s="898">
        <v>19339</v>
      </c>
      <c r="AB100" s="898">
        <v>18291</v>
      </c>
      <c r="AC100" s="898">
        <v>901</v>
      </c>
      <c r="AD100" s="898">
        <v>147</v>
      </c>
      <c r="AE100" s="898">
        <v>20819</v>
      </c>
      <c r="AF100" s="898">
        <v>20346</v>
      </c>
      <c r="AG100" s="898">
        <v>330</v>
      </c>
      <c r="AH100" s="898">
        <v>144</v>
      </c>
      <c r="AI100" s="898">
        <v>22338</v>
      </c>
      <c r="AJ100" s="898">
        <v>20956</v>
      </c>
      <c r="AK100" s="898">
        <v>1302</v>
      </c>
      <c r="AL100" s="898">
        <v>81</v>
      </c>
      <c r="AM100" s="888">
        <f t="shared" si="54"/>
        <v>18.145</v>
      </c>
      <c r="AN100" s="888">
        <f t="shared" si="55"/>
        <v>13.327999999999999</v>
      </c>
      <c r="AO100" s="888">
        <f t="shared" si="56"/>
        <v>4.5330000000000004</v>
      </c>
      <c r="AP100" s="888">
        <f t="shared" si="57"/>
        <v>0.28499999999999998</v>
      </c>
      <c r="AQ100" s="888">
        <f t="shared" si="58"/>
        <v>21.582000000000001</v>
      </c>
      <c r="AR100" s="888">
        <f t="shared" si="59"/>
        <v>17.898</v>
      </c>
      <c r="AS100" s="888">
        <f t="shared" si="60"/>
        <v>3.532</v>
      </c>
      <c r="AT100" s="888">
        <f t="shared" si="61"/>
        <v>0.153</v>
      </c>
      <c r="AU100" s="888">
        <f t="shared" si="62"/>
        <v>21.468</v>
      </c>
      <c r="AV100" s="888">
        <f t="shared" si="63"/>
        <v>19.309000000000001</v>
      </c>
      <c r="AW100" s="888">
        <f t="shared" si="64"/>
        <v>2.0670000000000002</v>
      </c>
      <c r="AX100" s="888">
        <f t="shared" si="65"/>
        <v>9.2999999999999999E-2</v>
      </c>
      <c r="AY100" s="888">
        <f t="shared" si="66"/>
        <v>20.152000000000001</v>
      </c>
      <c r="AZ100" s="888">
        <f t="shared" si="67"/>
        <v>16.77</v>
      </c>
      <c r="BA100" s="888">
        <f t="shared" si="68"/>
        <v>3.2930000000000001</v>
      </c>
      <c r="BB100" s="888">
        <f t="shared" si="69"/>
        <v>8.8999999999999996E-2</v>
      </c>
      <c r="BC100" s="888">
        <f t="shared" si="70"/>
        <v>18.145</v>
      </c>
      <c r="BD100" s="888">
        <f t="shared" si="71"/>
        <v>16.187999999999999</v>
      </c>
      <c r="BE100" s="888">
        <f t="shared" si="72"/>
        <v>1.232</v>
      </c>
      <c r="BF100" s="888">
        <f t="shared" si="73"/>
        <v>0.22800000000000001</v>
      </c>
      <c r="BG100" s="888">
        <f t="shared" si="74"/>
        <v>19.338999999999999</v>
      </c>
      <c r="BH100" s="888">
        <f t="shared" si="75"/>
        <v>18.291</v>
      </c>
      <c r="BI100" s="888">
        <f t="shared" si="76"/>
        <v>0.90100000000000002</v>
      </c>
      <c r="BJ100" s="888">
        <f t="shared" si="77"/>
        <v>0.14699999999999999</v>
      </c>
      <c r="BK100" s="888">
        <f t="shared" si="78"/>
        <v>20.818999999999999</v>
      </c>
      <c r="BL100" s="888">
        <f t="shared" si="79"/>
        <v>20.346</v>
      </c>
      <c r="BM100" s="888">
        <f t="shared" si="80"/>
        <v>0.33</v>
      </c>
      <c r="BN100" s="888">
        <f t="shared" si="81"/>
        <v>0.14399999999999999</v>
      </c>
      <c r="BO100" s="888">
        <f t="shared" si="82"/>
        <v>22.338000000000001</v>
      </c>
      <c r="BP100" s="888">
        <f t="shared" si="83"/>
        <v>20.956</v>
      </c>
      <c r="BQ100" s="888">
        <f t="shared" si="84"/>
        <v>1.302</v>
      </c>
      <c r="BR100" s="888">
        <f t="shared" si="85"/>
        <v>8.1000000000000003E-2</v>
      </c>
      <c r="BS100" s="904" t="s">
        <v>134</v>
      </c>
    </row>
    <row r="101" spans="1:71" x14ac:dyDescent="0.25">
      <c r="A101" s="884" t="s">
        <v>334</v>
      </c>
      <c r="B101" s="894" t="s">
        <v>335</v>
      </c>
      <c r="C101" s="892" t="s">
        <v>112</v>
      </c>
      <c r="D101" s="892">
        <v>66.400000000000006</v>
      </c>
      <c r="E101" s="892" t="s">
        <v>73</v>
      </c>
      <c r="F101" s="893">
        <v>0</v>
      </c>
      <c r="G101" s="897">
        <v>52660</v>
      </c>
      <c r="H101" s="897">
        <v>38679</v>
      </c>
      <c r="I101" s="897">
        <v>13154</v>
      </c>
      <c r="J101" s="897">
        <v>826</v>
      </c>
      <c r="K101" s="897">
        <v>62634</v>
      </c>
      <c r="L101" s="897">
        <v>51941</v>
      </c>
      <c r="M101" s="897">
        <v>10249</v>
      </c>
      <c r="N101" s="898">
        <v>443</v>
      </c>
      <c r="O101" s="898">
        <v>62303</v>
      </c>
      <c r="P101" s="898">
        <v>56036</v>
      </c>
      <c r="Q101" s="898">
        <v>5998</v>
      </c>
      <c r="R101" s="898">
        <v>269</v>
      </c>
      <c r="S101" s="898">
        <v>58484</v>
      </c>
      <c r="T101" s="898">
        <v>48669</v>
      </c>
      <c r="U101" s="898">
        <v>9556</v>
      </c>
      <c r="V101" s="898">
        <v>258</v>
      </c>
      <c r="W101" s="898">
        <v>52660</v>
      </c>
      <c r="X101" s="898">
        <v>46980</v>
      </c>
      <c r="Y101" s="898">
        <v>3575</v>
      </c>
      <c r="Z101" s="898">
        <v>661</v>
      </c>
      <c r="AA101" s="898">
        <v>56123</v>
      </c>
      <c r="AB101" s="898">
        <v>53082</v>
      </c>
      <c r="AC101" s="898">
        <v>2616</v>
      </c>
      <c r="AD101" s="898">
        <v>426</v>
      </c>
      <c r="AE101" s="898">
        <v>60420</v>
      </c>
      <c r="AF101" s="898">
        <v>59047</v>
      </c>
      <c r="AG101" s="898">
        <v>956</v>
      </c>
      <c r="AH101" s="898">
        <v>417</v>
      </c>
      <c r="AI101" s="898">
        <v>64828</v>
      </c>
      <c r="AJ101" s="898">
        <v>60816</v>
      </c>
      <c r="AK101" s="898">
        <v>3778</v>
      </c>
      <c r="AL101" s="898">
        <v>234</v>
      </c>
      <c r="AM101" s="888">
        <f t="shared" si="54"/>
        <v>52.66</v>
      </c>
      <c r="AN101" s="888">
        <f t="shared" si="55"/>
        <v>38.679000000000002</v>
      </c>
      <c r="AO101" s="888">
        <f t="shared" si="56"/>
        <v>13.154</v>
      </c>
      <c r="AP101" s="888">
        <f t="shared" si="57"/>
        <v>0.82599999999999996</v>
      </c>
      <c r="AQ101" s="888">
        <f t="shared" si="58"/>
        <v>62.634</v>
      </c>
      <c r="AR101" s="888">
        <f t="shared" si="59"/>
        <v>51.941000000000003</v>
      </c>
      <c r="AS101" s="888">
        <f t="shared" si="60"/>
        <v>10.249000000000001</v>
      </c>
      <c r="AT101" s="888">
        <f t="shared" si="61"/>
        <v>0.443</v>
      </c>
      <c r="AU101" s="888">
        <f t="shared" si="62"/>
        <v>62.302999999999997</v>
      </c>
      <c r="AV101" s="888">
        <f t="shared" si="63"/>
        <v>56.036000000000001</v>
      </c>
      <c r="AW101" s="888">
        <f t="shared" si="64"/>
        <v>5.9980000000000002</v>
      </c>
      <c r="AX101" s="888">
        <f t="shared" si="65"/>
        <v>0.26900000000000002</v>
      </c>
      <c r="AY101" s="888">
        <f t="shared" si="66"/>
        <v>58.484000000000002</v>
      </c>
      <c r="AZ101" s="888">
        <f t="shared" si="67"/>
        <v>48.668999999999997</v>
      </c>
      <c r="BA101" s="888">
        <f t="shared" si="68"/>
        <v>9.5559999999999992</v>
      </c>
      <c r="BB101" s="888">
        <f t="shared" si="69"/>
        <v>0.25800000000000001</v>
      </c>
      <c r="BC101" s="888">
        <f t="shared" si="70"/>
        <v>52.66</v>
      </c>
      <c r="BD101" s="888">
        <f t="shared" si="71"/>
        <v>46.98</v>
      </c>
      <c r="BE101" s="888">
        <f t="shared" si="72"/>
        <v>3.5750000000000002</v>
      </c>
      <c r="BF101" s="888">
        <f t="shared" si="73"/>
        <v>0.66100000000000003</v>
      </c>
      <c r="BG101" s="888">
        <f t="shared" si="74"/>
        <v>56.122999999999998</v>
      </c>
      <c r="BH101" s="888">
        <f t="shared" si="75"/>
        <v>53.082000000000001</v>
      </c>
      <c r="BI101" s="888">
        <f t="shared" si="76"/>
        <v>2.6160000000000001</v>
      </c>
      <c r="BJ101" s="888">
        <f t="shared" si="77"/>
        <v>0.42599999999999999</v>
      </c>
      <c r="BK101" s="888">
        <f t="shared" si="78"/>
        <v>60.42</v>
      </c>
      <c r="BL101" s="888">
        <f t="shared" si="79"/>
        <v>59.046999999999997</v>
      </c>
      <c r="BM101" s="888">
        <f t="shared" si="80"/>
        <v>0.95599999999999996</v>
      </c>
      <c r="BN101" s="888">
        <f t="shared" si="81"/>
        <v>0.41699999999999998</v>
      </c>
      <c r="BO101" s="888">
        <f t="shared" si="82"/>
        <v>64.828000000000003</v>
      </c>
      <c r="BP101" s="888">
        <f t="shared" si="83"/>
        <v>60.816000000000003</v>
      </c>
      <c r="BQ101" s="888">
        <f t="shared" si="84"/>
        <v>3.778</v>
      </c>
      <c r="BR101" s="888">
        <f t="shared" si="85"/>
        <v>0.23400000000000001</v>
      </c>
      <c r="BS101" s="904" t="s">
        <v>134</v>
      </c>
    </row>
    <row r="102" spans="1:71" x14ac:dyDescent="0.25">
      <c r="A102" s="884" t="s">
        <v>336</v>
      </c>
      <c r="B102" s="894" t="s">
        <v>337</v>
      </c>
      <c r="C102" s="892" t="s">
        <v>112</v>
      </c>
      <c r="D102" s="892">
        <v>56.55</v>
      </c>
      <c r="E102" s="892" t="s">
        <v>73</v>
      </c>
      <c r="F102" s="893">
        <v>0</v>
      </c>
      <c r="G102" s="897">
        <v>44848</v>
      </c>
      <c r="H102" s="897">
        <v>32941</v>
      </c>
      <c r="I102" s="897">
        <v>11203</v>
      </c>
      <c r="J102" s="897">
        <v>704</v>
      </c>
      <c r="K102" s="897">
        <v>53342</v>
      </c>
      <c r="L102" s="897">
        <v>44236</v>
      </c>
      <c r="M102" s="897">
        <v>8729</v>
      </c>
      <c r="N102" s="898">
        <v>377</v>
      </c>
      <c r="O102" s="898">
        <v>53061</v>
      </c>
      <c r="P102" s="898">
        <v>47723</v>
      </c>
      <c r="Q102" s="898">
        <v>5108</v>
      </c>
      <c r="R102" s="898">
        <v>229</v>
      </c>
      <c r="S102" s="898">
        <v>49808</v>
      </c>
      <c r="T102" s="898">
        <v>41450</v>
      </c>
      <c r="U102" s="898">
        <v>8139</v>
      </c>
      <c r="V102" s="898">
        <v>220</v>
      </c>
      <c r="W102" s="898">
        <v>44848</v>
      </c>
      <c r="X102" s="898">
        <v>40011</v>
      </c>
      <c r="Y102" s="898">
        <v>3045</v>
      </c>
      <c r="Z102" s="898">
        <v>563</v>
      </c>
      <c r="AA102" s="898">
        <v>47798</v>
      </c>
      <c r="AB102" s="898">
        <v>45207</v>
      </c>
      <c r="AC102" s="898">
        <v>2228</v>
      </c>
      <c r="AD102" s="898">
        <v>363</v>
      </c>
      <c r="AE102" s="898">
        <v>51457</v>
      </c>
      <c r="AF102" s="898">
        <v>50288</v>
      </c>
      <c r="AG102" s="898">
        <v>815</v>
      </c>
      <c r="AH102" s="898">
        <v>355</v>
      </c>
      <c r="AI102" s="898">
        <v>55211</v>
      </c>
      <c r="AJ102" s="898">
        <v>51794</v>
      </c>
      <c r="AK102" s="898">
        <v>3218</v>
      </c>
      <c r="AL102" s="898">
        <v>199</v>
      </c>
      <c r="AM102" s="888">
        <f t="shared" si="54"/>
        <v>44.847999999999999</v>
      </c>
      <c r="AN102" s="888">
        <f t="shared" si="55"/>
        <v>32.941000000000003</v>
      </c>
      <c r="AO102" s="888">
        <f t="shared" si="56"/>
        <v>11.202999999999999</v>
      </c>
      <c r="AP102" s="888">
        <f t="shared" si="57"/>
        <v>0.70399999999999996</v>
      </c>
      <c r="AQ102" s="888">
        <f t="shared" si="58"/>
        <v>53.341999999999999</v>
      </c>
      <c r="AR102" s="888">
        <f t="shared" si="59"/>
        <v>44.235999999999997</v>
      </c>
      <c r="AS102" s="888">
        <f t="shared" si="60"/>
        <v>8.7289999999999992</v>
      </c>
      <c r="AT102" s="888">
        <f t="shared" si="61"/>
        <v>0.377</v>
      </c>
      <c r="AU102" s="888">
        <f t="shared" si="62"/>
        <v>53.061</v>
      </c>
      <c r="AV102" s="888">
        <f t="shared" si="63"/>
        <v>47.722999999999999</v>
      </c>
      <c r="AW102" s="888">
        <f t="shared" si="64"/>
        <v>5.1079999999999997</v>
      </c>
      <c r="AX102" s="888">
        <f t="shared" si="65"/>
        <v>0.22900000000000001</v>
      </c>
      <c r="AY102" s="888">
        <f t="shared" si="66"/>
        <v>49.808</v>
      </c>
      <c r="AZ102" s="888">
        <f t="shared" si="67"/>
        <v>41.45</v>
      </c>
      <c r="BA102" s="888">
        <f t="shared" si="68"/>
        <v>8.1389999999999993</v>
      </c>
      <c r="BB102" s="888">
        <f t="shared" si="69"/>
        <v>0.22</v>
      </c>
      <c r="BC102" s="888">
        <f t="shared" si="70"/>
        <v>44.847999999999999</v>
      </c>
      <c r="BD102" s="888">
        <f t="shared" si="71"/>
        <v>40.011000000000003</v>
      </c>
      <c r="BE102" s="888">
        <f t="shared" si="72"/>
        <v>3.0449999999999999</v>
      </c>
      <c r="BF102" s="888">
        <f t="shared" si="73"/>
        <v>0.56299999999999994</v>
      </c>
      <c r="BG102" s="888">
        <f t="shared" si="74"/>
        <v>47.798000000000002</v>
      </c>
      <c r="BH102" s="888">
        <f t="shared" si="75"/>
        <v>45.207000000000001</v>
      </c>
      <c r="BI102" s="888">
        <f t="shared" si="76"/>
        <v>2.2280000000000002</v>
      </c>
      <c r="BJ102" s="888">
        <f t="shared" si="77"/>
        <v>0.36299999999999999</v>
      </c>
      <c r="BK102" s="888">
        <f t="shared" si="78"/>
        <v>51.457000000000001</v>
      </c>
      <c r="BL102" s="888">
        <f t="shared" si="79"/>
        <v>50.287999999999997</v>
      </c>
      <c r="BM102" s="888">
        <f t="shared" si="80"/>
        <v>0.81499999999999995</v>
      </c>
      <c r="BN102" s="888">
        <f t="shared" si="81"/>
        <v>0.35499999999999998</v>
      </c>
      <c r="BO102" s="888">
        <f t="shared" si="82"/>
        <v>55.210999999999999</v>
      </c>
      <c r="BP102" s="888">
        <f t="shared" si="83"/>
        <v>51.793999999999997</v>
      </c>
      <c r="BQ102" s="888">
        <f t="shared" si="84"/>
        <v>3.218</v>
      </c>
      <c r="BR102" s="888">
        <f t="shared" si="85"/>
        <v>0.19900000000000001</v>
      </c>
      <c r="BS102" s="904" t="s">
        <v>134</v>
      </c>
    </row>
    <row r="103" spans="1:71" x14ac:dyDescent="0.25">
      <c r="A103" s="884" t="s">
        <v>338</v>
      </c>
      <c r="B103" s="884" t="s">
        <v>339</v>
      </c>
      <c r="C103" s="886" t="s">
        <v>112</v>
      </c>
      <c r="D103" s="886">
        <v>90.08</v>
      </c>
      <c r="E103" s="886" t="s">
        <v>73</v>
      </c>
      <c r="F103" s="887">
        <v>11137</v>
      </c>
      <c r="G103" s="897">
        <v>8462</v>
      </c>
      <c r="H103" s="897">
        <v>6215</v>
      </c>
      <c r="I103" s="897">
        <v>2114</v>
      </c>
      <c r="J103" s="897">
        <v>133</v>
      </c>
      <c r="K103" s="897">
        <v>10064</v>
      </c>
      <c r="L103" s="897">
        <v>8346</v>
      </c>
      <c r="M103" s="897">
        <v>1647</v>
      </c>
      <c r="N103" s="898">
        <v>71</v>
      </c>
      <c r="O103" s="898">
        <v>10011</v>
      </c>
      <c r="P103" s="898">
        <v>9004</v>
      </c>
      <c r="Q103" s="898">
        <v>964</v>
      </c>
      <c r="R103" s="898">
        <v>43</v>
      </c>
      <c r="S103" s="898">
        <v>9398</v>
      </c>
      <c r="T103" s="898">
        <v>7821</v>
      </c>
      <c r="U103" s="898">
        <v>1536</v>
      </c>
      <c r="V103" s="898">
        <v>41</v>
      </c>
      <c r="W103" s="898">
        <v>8462</v>
      </c>
      <c r="X103" s="898">
        <v>7549</v>
      </c>
      <c r="Y103" s="898">
        <v>575</v>
      </c>
      <c r="Z103" s="898">
        <v>106</v>
      </c>
      <c r="AA103" s="898">
        <v>9018</v>
      </c>
      <c r="AB103" s="898">
        <v>8530</v>
      </c>
      <c r="AC103" s="898">
        <v>420</v>
      </c>
      <c r="AD103" s="898">
        <v>68</v>
      </c>
      <c r="AE103" s="898">
        <v>9709</v>
      </c>
      <c r="AF103" s="898">
        <v>9488</v>
      </c>
      <c r="AG103" s="898">
        <v>154</v>
      </c>
      <c r="AH103" s="898">
        <v>67</v>
      </c>
      <c r="AI103" s="898">
        <v>10417</v>
      </c>
      <c r="AJ103" s="898">
        <v>9772</v>
      </c>
      <c r="AK103" s="898">
        <v>607</v>
      </c>
      <c r="AL103" s="898">
        <v>38</v>
      </c>
      <c r="AM103" s="888">
        <f t="shared" si="54"/>
        <v>8.4619999999999997</v>
      </c>
      <c r="AN103" s="888">
        <f t="shared" si="55"/>
        <v>6.2149999999999999</v>
      </c>
      <c r="AO103" s="888">
        <f t="shared" si="56"/>
        <v>2.1139999999999999</v>
      </c>
      <c r="AP103" s="888">
        <f t="shared" si="57"/>
        <v>0.13300000000000001</v>
      </c>
      <c r="AQ103" s="888">
        <f t="shared" si="58"/>
        <v>10.064</v>
      </c>
      <c r="AR103" s="888">
        <f t="shared" si="59"/>
        <v>8.3460000000000001</v>
      </c>
      <c r="AS103" s="888">
        <f t="shared" si="60"/>
        <v>1.647</v>
      </c>
      <c r="AT103" s="888">
        <f t="shared" si="61"/>
        <v>7.0999999999999994E-2</v>
      </c>
      <c r="AU103" s="888">
        <f t="shared" si="62"/>
        <v>10.010999999999999</v>
      </c>
      <c r="AV103" s="888">
        <f t="shared" si="63"/>
        <v>9.0039999999999996</v>
      </c>
      <c r="AW103" s="888">
        <f t="shared" si="64"/>
        <v>0.96399999999999997</v>
      </c>
      <c r="AX103" s="888">
        <f t="shared" si="65"/>
        <v>4.2999999999999997E-2</v>
      </c>
      <c r="AY103" s="888">
        <f t="shared" si="66"/>
        <v>9.3979999999999997</v>
      </c>
      <c r="AZ103" s="888">
        <f t="shared" si="67"/>
        <v>7.8209999999999997</v>
      </c>
      <c r="BA103" s="888">
        <f t="shared" si="68"/>
        <v>1.536</v>
      </c>
      <c r="BB103" s="888">
        <f t="shared" si="69"/>
        <v>4.1000000000000002E-2</v>
      </c>
      <c r="BC103" s="888">
        <f t="shared" si="70"/>
        <v>8.4619999999999997</v>
      </c>
      <c r="BD103" s="888">
        <f t="shared" si="71"/>
        <v>7.5490000000000004</v>
      </c>
      <c r="BE103" s="888">
        <f t="shared" si="72"/>
        <v>0.57499999999999996</v>
      </c>
      <c r="BF103" s="888">
        <f t="shared" si="73"/>
        <v>0.106</v>
      </c>
      <c r="BG103" s="888">
        <f t="shared" si="74"/>
        <v>9.0180000000000007</v>
      </c>
      <c r="BH103" s="888">
        <f t="shared" si="75"/>
        <v>8.5299999999999994</v>
      </c>
      <c r="BI103" s="888">
        <f t="shared" si="76"/>
        <v>0.42</v>
      </c>
      <c r="BJ103" s="888">
        <f t="shared" si="77"/>
        <v>6.8000000000000005E-2</v>
      </c>
      <c r="BK103" s="888">
        <f t="shared" si="78"/>
        <v>9.7089999999999996</v>
      </c>
      <c r="BL103" s="888">
        <f t="shared" si="79"/>
        <v>9.4879999999999995</v>
      </c>
      <c r="BM103" s="888">
        <f t="shared" si="80"/>
        <v>0.154</v>
      </c>
      <c r="BN103" s="888">
        <f t="shared" si="81"/>
        <v>6.7000000000000004E-2</v>
      </c>
      <c r="BO103" s="888">
        <f t="shared" si="82"/>
        <v>10.417</v>
      </c>
      <c r="BP103" s="888">
        <f t="shared" si="83"/>
        <v>9.7720000000000002</v>
      </c>
      <c r="BQ103" s="888">
        <f t="shared" si="84"/>
        <v>0.60699999999999998</v>
      </c>
      <c r="BR103" s="888">
        <f t="shared" si="85"/>
        <v>3.7999999999999999E-2</v>
      </c>
      <c r="BS103" s="904" t="s">
        <v>134</v>
      </c>
    </row>
    <row r="104" spans="1:71" x14ac:dyDescent="0.25">
      <c r="A104" s="884" t="s">
        <v>340</v>
      </c>
      <c r="B104" s="884" t="s">
        <v>341</v>
      </c>
      <c r="C104" s="886" t="s">
        <v>112</v>
      </c>
      <c r="D104" s="886">
        <v>109.16</v>
      </c>
      <c r="E104" s="886" t="s">
        <v>73</v>
      </c>
      <c r="F104" s="887">
        <v>11984</v>
      </c>
      <c r="G104" s="897">
        <v>10254</v>
      </c>
      <c r="H104" s="897">
        <v>7532</v>
      </c>
      <c r="I104" s="897">
        <v>2561</v>
      </c>
      <c r="J104" s="897">
        <v>161</v>
      </c>
      <c r="K104" s="897">
        <v>12196</v>
      </c>
      <c r="L104" s="897">
        <v>10114</v>
      </c>
      <c r="M104" s="897">
        <v>1996</v>
      </c>
      <c r="N104" s="898">
        <v>86</v>
      </c>
      <c r="O104" s="898">
        <v>12132</v>
      </c>
      <c r="P104" s="898">
        <v>10911</v>
      </c>
      <c r="Q104" s="898">
        <v>1168</v>
      </c>
      <c r="R104" s="898">
        <v>52</v>
      </c>
      <c r="S104" s="898">
        <v>11388</v>
      </c>
      <c r="T104" s="898">
        <v>9477</v>
      </c>
      <c r="U104" s="898">
        <v>1861</v>
      </c>
      <c r="V104" s="898">
        <v>50</v>
      </c>
      <c r="W104" s="898">
        <v>10254</v>
      </c>
      <c r="X104" s="898">
        <v>9148</v>
      </c>
      <c r="Y104" s="898">
        <v>696</v>
      </c>
      <c r="Z104" s="898">
        <v>129</v>
      </c>
      <c r="AA104" s="898">
        <v>10928</v>
      </c>
      <c r="AB104" s="898">
        <v>10336</v>
      </c>
      <c r="AC104" s="898">
        <v>509</v>
      </c>
      <c r="AD104" s="898">
        <v>83</v>
      </c>
      <c r="AE104" s="898">
        <v>11765</v>
      </c>
      <c r="AF104" s="898">
        <v>11498</v>
      </c>
      <c r="AG104" s="898">
        <v>186</v>
      </c>
      <c r="AH104" s="898">
        <v>81</v>
      </c>
      <c r="AI104" s="898">
        <v>12624</v>
      </c>
      <c r="AJ104" s="898">
        <v>11842</v>
      </c>
      <c r="AK104" s="898">
        <v>736</v>
      </c>
      <c r="AL104" s="898">
        <v>46</v>
      </c>
      <c r="AM104" s="888">
        <f t="shared" si="54"/>
        <v>10.254</v>
      </c>
      <c r="AN104" s="888">
        <f t="shared" si="55"/>
        <v>7.532</v>
      </c>
      <c r="AO104" s="888">
        <f t="shared" si="56"/>
        <v>2.5609999999999999</v>
      </c>
      <c r="AP104" s="888">
        <f t="shared" si="57"/>
        <v>0.161</v>
      </c>
      <c r="AQ104" s="888">
        <f t="shared" si="58"/>
        <v>12.196</v>
      </c>
      <c r="AR104" s="888">
        <f t="shared" si="59"/>
        <v>10.114000000000001</v>
      </c>
      <c r="AS104" s="888">
        <f t="shared" si="60"/>
        <v>1.996</v>
      </c>
      <c r="AT104" s="888">
        <f t="shared" si="61"/>
        <v>8.5999999999999993E-2</v>
      </c>
      <c r="AU104" s="888">
        <f t="shared" si="62"/>
        <v>12.132</v>
      </c>
      <c r="AV104" s="888">
        <f t="shared" si="63"/>
        <v>10.911</v>
      </c>
      <c r="AW104" s="888">
        <f t="shared" si="64"/>
        <v>1.1679999999999999</v>
      </c>
      <c r="AX104" s="888">
        <f t="shared" si="65"/>
        <v>5.1999999999999998E-2</v>
      </c>
      <c r="AY104" s="888">
        <f t="shared" si="66"/>
        <v>11.388</v>
      </c>
      <c r="AZ104" s="888">
        <f t="shared" si="67"/>
        <v>9.4770000000000003</v>
      </c>
      <c r="BA104" s="888">
        <f t="shared" si="68"/>
        <v>1.861</v>
      </c>
      <c r="BB104" s="888">
        <f t="shared" si="69"/>
        <v>0.05</v>
      </c>
      <c r="BC104" s="888">
        <f t="shared" si="70"/>
        <v>10.254</v>
      </c>
      <c r="BD104" s="888">
        <f t="shared" si="71"/>
        <v>9.1479999999999997</v>
      </c>
      <c r="BE104" s="888">
        <f t="shared" si="72"/>
        <v>0.69599999999999995</v>
      </c>
      <c r="BF104" s="888">
        <f t="shared" si="73"/>
        <v>0.129</v>
      </c>
      <c r="BG104" s="888">
        <f t="shared" si="74"/>
        <v>10.928000000000001</v>
      </c>
      <c r="BH104" s="888">
        <f t="shared" si="75"/>
        <v>10.336</v>
      </c>
      <c r="BI104" s="888">
        <f t="shared" si="76"/>
        <v>0.50900000000000001</v>
      </c>
      <c r="BJ104" s="888">
        <f t="shared" si="77"/>
        <v>8.3000000000000004E-2</v>
      </c>
      <c r="BK104" s="888">
        <f t="shared" si="78"/>
        <v>11.765000000000001</v>
      </c>
      <c r="BL104" s="888">
        <f t="shared" si="79"/>
        <v>11.497999999999999</v>
      </c>
      <c r="BM104" s="888">
        <f t="shared" si="80"/>
        <v>0.186</v>
      </c>
      <c r="BN104" s="888">
        <f t="shared" si="81"/>
        <v>8.1000000000000003E-2</v>
      </c>
      <c r="BO104" s="888">
        <f t="shared" si="82"/>
        <v>12.624000000000001</v>
      </c>
      <c r="BP104" s="888">
        <f t="shared" si="83"/>
        <v>11.842000000000001</v>
      </c>
      <c r="BQ104" s="888">
        <f t="shared" si="84"/>
        <v>0.73599999999999999</v>
      </c>
      <c r="BR104" s="888">
        <f t="shared" si="85"/>
        <v>4.5999999999999999E-2</v>
      </c>
      <c r="BS104" s="904" t="s">
        <v>134</v>
      </c>
    </row>
    <row r="105" spans="1:71" x14ac:dyDescent="0.25">
      <c r="A105" s="884" t="s">
        <v>342</v>
      </c>
      <c r="B105" s="894" t="s">
        <v>343</v>
      </c>
      <c r="C105" s="892" t="s">
        <v>112</v>
      </c>
      <c r="D105" s="892">
        <v>252.7</v>
      </c>
      <c r="E105" s="892" t="s">
        <v>73</v>
      </c>
      <c r="F105" s="893">
        <v>0</v>
      </c>
      <c r="G105" s="897">
        <v>200408</v>
      </c>
      <c r="H105" s="897">
        <v>147203</v>
      </c>
      <c r="I105" s="897">
        <v>50060</v>
      </c>
      <c r="J105" s="897">
        <v>3145</v>
      </c>
      <c r="K105" s="897">
        <v>238366</v>
      </c>
      <c r="L105" s="897">
        <v>197674</v>
      </c>
      <c r="M105" s="897">
        <v>39007</v>
      </c>
      <c r="N105" s="898">
        <v>1685</v>
      </c>
      <c r="O105" s="898">
        <v>237108</v>
      </c>
      <c r="P105" s="898">
        <v>213256</v>
      </c>
      <c r="Q105" s="898">
        <v>22827</v>
      </c>
      <c r="R105" s="898">
        <v>1025</v>
      </c>
      <c r="S105" s="898">
        <v>222574</v>
      </c>
      <c r="T105" s="898">
        <v>185222</v>
      </c>
      <c r="U105" s="898">
        <v>36369</v>
      </c>
      <c r="V105" s="898">
        <v>982</v>
      </c>
      <c r="W105" s="898">
        <v>200408</v>
      </c>
      <c r="X105" s="898">
        <v>178793</v>
      </c>
      <c r="Y105" s="898">
        <v>13607</v>
      </c>
      <c r="Z105" s="898">
        <v>2517</v>
      </c>
      <c r="AA105" s="898">
        <v>213589</v>
      </c>
      <c r="AB105" s="898">
        <v>202013</v>
      </c>
      <c r="AC105" s="898">
        <v>9955</v>
      </c>
      <c r="AD105" s="898">
        <v>1621</v>
      </c>
      <c r="AE105" s="898">
        <v>229941</v>
      </c>
      <c r="AF105" s="898">
        <v>224716</v>
      </c>
      <c r="AG105" s="898">
        <v>3640</v>
      </c>
      <c r="AH105" s="898">
        <v>1586</v>
      </c>
      <c r="AI105" s="898">
        <v>246718</v>
      </c>
      <c r="AJ105" s="898">
        <v>231449</v>
      </c>
      <c r="AK105" s="898">
        <v>14379</v>
      </c>
      <c r="AL105" s="898">
        <v>891</v>
      </c>
      <c r="AM105" s="888">
        <f t="shared" si="54"/>
        <v>200.40799999999999</v>
      </c>
      <c r="AN105" s="888">
        <f t="shared" si="55"/>
        <v>147.203</v>
      </c>
      <c r="AO105" s="888">
        <f t="shared" si="56"/>
        <v>50.06</v>
      </c>
      <c r="AP105" s="888">
        <f t="shared" si="57"/>
        <v>3.145</v>
      </c>
      <c r="AQ105" s="888">
        <f t="shared" si="58"/>
        <v>238.36600000000001</v>
      </c>
      <c r="AR105" s="888">
        <f t="shared" si="59"/>
        <v>197.67400000000001</v>
      </c>
      <c r="AS105" s="888">
        <f t="shared" si="60"/>
        <v>39.006999999999998</v>
      </c>
      <c r="AT105" s="888">
        <f t="shared" si="61"/>
        <v>1.6850000000000001</v>
      </c>
      <c r="AU105" s="888">
        <f t="shared" si="62"/>
        <v>237.108</v>
      </c>
      <c r="AV105" s="888">
        <f t="shared" si="63"/>
        <v>213.256</v>
      </c>
      <c r="AW105" s="888">
        <f t="shared" si="64"/>
        <v>22.827000000000002</v>
      </c>
      <c r="AX105" s="888">
        <f t="shared" si="65"/>
        <v>1.0249999999999999</v>
      </c>
      <c r="AY105" s="888">
        <f t="shared" si="66"/>
        <v>222.57400000000001</v>
      </c>
      <c r="AZ105" s="888">
        <f t="shared" si="67"/>
        <v>185.22200000000001</v>
      </c>
      <c r="BA105" s="888">
        <f t="shared" si="68"/>
        <v>36.369</v>
      </c>
      <c r="BB105" s="888">
        <f t="shared" si="69"/>
        <v>0.98199999999999998</v>
      </c>
      <c r="BC105" s="888">
        <f t="shared" si="70"/>
        <v>200.40799999999999</v>
      </c>
      <c r="BD105" s="888">
        <f t="shared" si="71"/>
        <v>178.79300000000001</v>
      </c>
      <c r="BE105" s="888">
        <f t="shared" si="72"/>
        <v>13.606999999999999</v>
      </c>
      <c r="BF105" s="888">
        <f t="shared" si="73"/>
        <v>2.5169999999999999</v>
      </c>
      <c r="BG105" s="888">
        <f t="shared" si="74"/>
        <v>213.589</v>
      </c>
      <c r="BH105" s="888">
        <f t="shared" si="75"/>
        <v>202.01300000000001</v>
      </c>
      <c r="BI105" s="888">
        <f t="shared" si="76"/>
        <v>9.9550000000000001</v>
      </c>
      <c r="BJ105" s="888">
        <f t="shared" si="77"/>
        <v>1.621</v>
      </c>
      <c r="BK105" s="888">
        <f t="shared" si="78"/>
        <v>229.941</v>
      </c>
      <c r="BL105" s="888">
        <f t="shared" si="79"/>
        <v>224.71600000000001</v>
      </c>
      <c r="BM105" s="888">
        <f t="shared" si="80"/>
        <v>3.64</v>
      </c>
      <c r="BN105" s="888">
        <f t="shared" si="81"/>
        <v>1.5860000000000001</v>
      </c>
      <c r="BO105" s="888">
        <f t="shared" si="82"/>
        <v>246.71799999999999</v>
      </c>
      <c r="BP105" s="888">
        <f t="shared" si="83"/>
        <v>231.44900000000001</v>
      </c>
      <c r="BQ105" s="888">
        <f t="shared" si="84"/>
        <v>14.379</v>
      </c>
      <c r="BR105" s="888">
        <f t="shared" si="85"/>
        <v>0.89100000000000001</v>
      </c>
      <c r="BS105" s="904" t="s">
        <v>134</v>
      </c>
    </row>
    <row r="106" spans="1:71" x14ac:dyDescent="0.25">
      <c r="A106" s="884" t="s">
        <v>344</v>
      </c>
      <c r="B106" s="884" t="s">
        <v>345</v>
      </c>
      <c r="C106" s="886" t="s">
        <v>112</v>
      </c>
      <c r="D106" s="886">
        <v>6.3</v>
      </c>
      <c r="E106" s="886" t="s">
        <v>73</v>
      </c>
      <c r="F106" s="887">
        <v>1657</v>
      </c>
      <c r="G106" s="897">
        <v>2899</v>
      </c>
      <c r="H106" s="897">
        <v>2129</v>
      </c>
      <c r="I106" s="897">
        <v>724</v>
      </c>
      <c r="J106" s="897">
        <v>45</v>
      </c>
      <c r="K106" s="897">
        <v>3448</v>
      </c>
      <c r="L106" s="897">
        <v>2859</v>
      </c>
      <c r="M106" s="897">
        <v>564</v>
      </c>
      <c r="N106" s="898">
        <v>24</v>
      </c>
      <c r="O106" s="898">
        <v>3429</v>
      </c>
      <c r="P106" s="898">
        <v>3084</v>
      </c>
      <c r="Q106" s="898">
        <v>330</v>
      </c>
      <c r="R106" s="898">
        <v>15</v>
      </c>
      <c r="S106" s="898">
        <v>3219</v>
      </c>
      <c r="T106" s="898">
        <v>2679</v>
      </c>
      <c r="U106" s="898">
        <v>526</v>
      </c>
      <c r="V106" s="898">
        <v>14</v>
      </c>
      <c r="W106" s="898">
        <v>2899</v>
      </c>
      <c r="X106" s="898">
        <v>2586</v>
      </c>
      <c r="Y106" s="898">
        <v>197</v>
      </c>
      <c r="Z106" s="898">
        <v>36</v>
      </c>
      <c r="AA106" s="898">
        <v>3089</v>
      </c>
      <c r="AB106" s="898">
        <v>2922</v>
      </c>
      <c r="AC106" s="898">
        <v>144</v>
      </c>
      <c r="AD106" s="898">
        <v>23</v>
      </c>
      <c r="AE106" s="898">
        <v>3326</v>
      </c>
      <c r="AF106" s="898">
        <v>3250</v>
      </c>
      <c r="AG106" s="898">
        <v>53</v>
      </c>
      <c r="AH106" s="898">
        <v>23</v>
      </c>
      <c r="AI106" s="898">
        <v>3568</v>
      </c>
      <c r="AJ106" s="898">
        <v>3347</v>
      </c>
      <c r="AK106" s="898">
        <v>208</v>
      </c>
      <c r="AL106" s="898">
        <v>13</v>
      </c>
      <c r="AM106" s="888">
        <f t="shared" si="54"/>
        <v>2.899</v>
      </c>
      <c r="AN106" s="888">
        <f t="shared" si="55"/>
        <v>2.129</v>
      </c>
      <c r="AO106" s="888">
        <f t="shared" si="56"/>
        <v>0.72399999999999998</v>
      </c>
      <c r="AP106" s="888">
        <f t="shared" si="57"/>
        <v>4.4999999999999998E-2</v>
      </c>
      <c r="AQ106" s="888">
        <f t="shared" si="58"/>
        <v>3.448</v>
      </c>
      <c r="AR106" s="888">
        <f t="shared" si="59"/>
        <v>2.859</v>
      </c>
      <c r="AS106" s="888">
        <f t="shared" si="60"/>
        <v>0.56399999999999995</v>
      </c>
      <c r="AT106" s="888">
        <f t="shared" si="61"/>
        <v>2.4E-2</v>
      </c>
      <c r="AU106" s="888">
        <f t="shared" si="62"/>
        <v>3.4289999999999998</v>
      </c>
      <c r="AV106" s="888">
        <f t="shared" si="63"/>
        <v>3.0840000000000001</v>
      </c>
      <c r="AW106" s="888">
        <f t="shared" si="64"/>
        <v>0.33</v>
      </c>
      <c r="AX106" s="888">
        <f t="shared" si="65"/>
        <v>1.4999999999999999E-2</v>
      </c>
      <c r="AY106" s="888">
        <f t="shared" si="66"/>
        <v>3.2189999999999999</v>
      </c>
      <c r="AZ106" s="888">
        <f t="shared" si="67"/>
        <v>2.6789999999999998</v>
      </c>
      <c r="BA106" s="888">
        <f t="shared" si="68"/>
        <v>0.52600000000000002</v>
      </c>
      <c r="BB106" s="888">
        <f t="shared" si="69"/>
        <v>1.4E-2</v>
      </c>
      <c r="BC106" s="888">
        <f t="shared" si="70"/>
        <v>2.899</v>
      </c>
      <c r="BD106" s="888">
        <f t="shared" si="71"/>
        <v>2.5859999999999999</v>
      </c>
      <c r="BE106" s="888">
        <f t="shared" si="72"/>
        <v>0.19700000000000001</v>
      </c>
      <c r="BF106" s="888">
        <f t="shared" si="73"/>
        <v>3.5999999999999997E-2</v>
      </c>
      <c r="BG106" s="888">
        <f t="shared" si="74"/>
        <v>3.089</v>
      </c>
      <c r="BH106" s="888">
        <f t="shared" si="75"/>
        <v>2.9220000000000002</v>
      </c>
      <c r="BI106" s="888">
        <f t="shared" si="76"/>
        <v>0.14399999999999999</v>
      </c>
      <c r="BJ106" s="888">
        <f t="shared" si="77"/>
        <v>2.3E-2</v>
      </c>
      <c r="BK106" s="888">
        <f t="shared" si="78"/>
        <v>3.3260000000000001</v>
      </c>
      <c r="BL106" s="888">
        <f t="shared" si="79"/>
        <v>3.25</v>
      </c>
      <c r="BM106" s="888">
        <f t="shared" si="80"/>
        <v>5.2999999999999999E-2</v>
      </c>
      <c r="BN106" s="888">
        <f t="shared" si="81"/>
        <v>2.3E-2</v>
      </c>
      <c r="BO106" s="888">
        <f t="shared" si="82"/>
        <v>3.5680000000000001</v>
      </c>
      <c r="BP106" s="888">
        <f t="shared" si="83"/>
        <v>3.347</v>
      </c>
      <c r="BQ106" s="888">
        <f t="shared" si="84"/>
        <v>0.20799999999999999</v>
      </c>
      <c r="BR106" s="888">
        <f t="shared" si="85"/>
        <v>1.2999999999999999E-2</v>
      </c>
      <c r="BS106" s="904" t="s">
        <v>134</v>
      </c>
    </row>
    <row r="107" spans="1:71" x14ac:dyDescent="0.25">
      <c r="A107" s="884" t="s">
        <v>346</v>
      </c>
      <c r="B107" s="894" t="s">
        <v>347</v>
      </c>
      <c r="C107" s="892" t="s">
        <v>112</v>
      </c>
      <c r="D107" s="892">
        <v>101.49</v>
      </c>
      <c r="E107" s="892" t="s">
        <v>73</v>
      </c>
      <c r="F107" s="893">
        <v>0</v>
      </c>
      <c r="G107" s="897">
        <v>57357</v>
      </c>
      <c r="H107" s="897">
        <v>42130</v>
      </c>
      <c r="I107" s="897">
        <v>14327</v>
      </c>
      <c r="J107" s="897">
        <v>900</v>
      </c>
      <c r="K107" s="897">
        <v>68221</v>
      </c>
      <c r="L107" s="897">
        <v>56575</v>
      </c>
      <c r="M107" s="897">
        <v>11164</v>
      </c>
      <c r="N107" s="898">
        <v>482</v>
      </c>
      <c r="O107" s="898">
        <v>67861</v>
      </c>
      <c r="P107" s="898">
        <v>61035</v>
      </c>
      <c r="Q107" s="898">
        <v>6533</v>
      </c>
      <c r="R107" s="898">
        <v>293</v>
      </c>
      <c r="S107" s="898">
        <v>63701</v>
      </c>
      <c r="T107" s="898">
        <v>53011</v>
      </c>
      <c r="U107" s="898">
        <v>10409</v>
      </c>
      <c r="V107" s="898">
        <v>281</v>
      </c>
      <c r="W107" s="898">
        <v>57357</v>
      </c>
      <c r="X107" s="898">
        <v>51171</v>
      </c>
      <c r="Y107" s="898">
        <v>3894</v>
      </c>
      <c r="Z107" s="898">
        <v>720</v>
      </c>
      <c r="AA107" s="898">
        <v>61130</v>
      </c>
      <c r="AB107" s="898">
        <v>57817</v>
      </c>
      <c r="AC107" s="898">
        <v>2849</v>
      </c>
      <c r="AD107" s="898">
        <v>464</v>
      </c>
      <c r="AE107" s="898">
        <v>65810</v>
      </c>
      <c r="AF107" s="898">
        <v>64314</v>
      </c>
      <c r="AG107" s="898">
        <v>1042</v>
      </c>
      <c r="AH107" s="898">
        <v>454</v>
      </c>
      <c r="AI107" s="898">
        <v>70612</v>
      </c>
      <c r="AJ107" s="898">
        <v>66241</v>
      </c>
      <c r="AK107" s="898">
        <v>4115</v>
      </c>
      <c r="AL107" s="898">
        <v>255</v>
      </c>
      <c r="AM107" s="888">
        <f t="shared" si="54"/>
        <v>57.356999999999999</v>
      </c>
      <c r="AN107" s="888">
        <f t="shared" si="55"/>
        <v>42.13</v>
      </c>
      <c r="AO107" s="888">
        <f t="shared" si="56"/>
        <v>14.327</v>
      </c>
      <c r="AP107" s="888">
        <f t="shared" si="57"/>
        <v>0.9</v>
      </c>
      <c r="AQ107" s="888">
        <f t="shared" si="58"/>
        <v>68.221000000000004</v>
      </c>
      <c r="AR107" s="888">
        <f t="shared" si="59"/>
        <v>56.575000000000003</v>
      </c>
      <c r="AS107" s="888">
        <f t="shared" si="60"/>
        <v>11.164</v>
      </c>
      <c r="AT107" s="888">
        <f t="shared" si="61"/>
        <v>0.48199999999999998</v>
      </c>
      <c r="AU107" s="888">
        <f t="shared" si="62"/>
        <v>67.861000000000004</v>
      </c>
      <c r="AV107" s="888">
        <f t="shared" si="63"/>
        <v>61.034999999999997</v>
      </c>
      <c r="AW107" s="888">
        <f t="shared" si="64"/>
        <v>6.5330000000000004</v>
      </c>
      <c r="AX107" s="888">
        <f t="shared" si="65"/>
        <v>0.29299999999999998</v>
      </c>
      <c r="AY107" s="888">
        <f t="shared" si="66"/>
        <v>63.701000000000001</v>
      </c>
      <c r="AZ107" s="888">
        <f t="shared" si="67"/>
        <v>53.011000000000003</v>
      </c>
      <c r="BA107" s="888">
        <f t="shared" si="68"/>
        <v>10.409000000000001</v>
      </c>
      <c r="BB107" s="888">
        <f t="shared" si="69"/>
        <v>0.28100000000000003</v>
      </c>
      <c r="BC107" s="888">
        <f t="shared" si="70"/>
        <v>57.356999999999999</v>
      </c>
      <c r="BD107" s="888">
        <f t="shared" si="71"/>
        <v>51.170999999999999</v>
      </c>
      <c r="BE107" s="888">
        <f t="shared" si="72"/>
        <v>3.8940000000000001</v>
      </c>
      <c r="BF107" s="888">
        <f t="shared" si="73"/>
        <v>0.72</v>
      </c>
      <c r="BG107" s="888">
        <f t="shared" si="74"/>
        <v>61.13</v>
      </c>
      <c r="BH107" s="888">
        <f t="shared" si="75"/>
        <v>57.817</v>
      </c>
      <c r="BI107" s="888">
        <f t="shared" si="76"/>
        <v>2.8490000000000002</v>
      </c>
      <c r="BJ107" s="888">
        <f t="shared" si="77"/>
        <v>0.46400000000000002</v>
      </c>
      <c r="BK107" s="888">
        <f t="shared" si="78"/>
        <v>65.81</v>
      </c>
      <c r="BL107" s="888">
        <f t="shared" si="79"/>
        <v>64.313999999999993</v>
      </c>
      <c r="BM107" s="888">
        <f t="shared" si="80"/>
        <v>1.042</v>
      </c>
      <c r="BN107" s="888">
        <f t="shared" si="81"/>
        <v>0.45400000000000001</v>
      </c>
      <c r="BO107" s="888">
        <f t="shared" si="82"/>
        <v>70.611999999999995</v>
      </c>
      <c r="BP107" s="888">
        <f t="shared" si="83"/>
        <v>66.241</v>
      </c>
      <c r="BQ107" s="888">
        <f t="shared" si="84"/>
        <v>4.1150000000000002</v>
      </c>
      <c r="BR107" s="888">
        <f t="shared" si="85"/>
        <v>0.255</v>
      </c>
      <c r="BS107" s="904" t="s">
        <v>134</v>
      </c>
    </row>
    <row r="108" spans="1:71" x14ac:dyDescent="0.25">
      <c r="A108" s="884" t="s">
        <v>348</v>
      </c>
      <c r="B108" s="884" t="s">
        <v>349</v>
      </c>
      <c r="C108" s="886" t="s">
        <v>112</v>
      </c>
      <c r="D108" s="886">
        <v>12.13</v>
      </c>
      <c r="E108" s="886" t="s">
        <v>73</v>
      </c>
      <c r="F108" s="887">
        <v>16014</v>
      </c>
      <c r="G108" s="897">
        <v>24789</v>
      </c>
      <c r="H108" s="897">
        <v>18208</v>
      </c>
      <c r="I108" s="897">
        <v>6192</v>
      </c>
      <c r="J108" s="897">
        <v>389</v>
      </c>
      <c r="K108" s="897">
        <v>29484</v>
      </c>
      <c r="L108" s="897">
        <v>24451</v>
      </c>
      <c r="M108" s="897">
        <v>4825</v>
      </c>
      <c r="N108" s="898">
        <v>208</v>
      </c>
      <c r="O108" s="898">
        <v>29328</v>
      </c>
      <c r="P108" s="898">
        <v>26378</v>
      </c>
      <c r="Q108" s="898">
        <v>2824</v>
      </c>
      <c r="R108" s="898">
        <v>127</v>
      </c>
      <c r="S108" s="898">
        <v>27531</v>
      </c>
      <c r="T108" s="898">
        <v>22911</v>
      </c>
      <c r="U108" s="898">
        <v>4499</v>
      </c>
      <c r="V108" s="898">
        <v>122</v>
      </c>
      <c r="W108" s="898">
        <v>24789</v>
      </c>
      <c r="X108" s="898">
        <v>22115</v>
      </c>
      <c r="Y108" s="898">
        <v>1683</v>
      </c>
      <c r="Z108" s="898">
        <v>311</v>
      </c>
      <c r="AA108" s="898">
        <v>26419</v>
      </c>
      <c r="AB108" s="898">
        <v>24988</v>
      </c>
      <c r="AC108" s="898">
        <v>1231</v>
      </c>
      <c r="AD108" s="898">
        <v>200</v>
      </c>
      <c r="AE108" s="898">
        <v>28442</v>
      </c>
      <c r="AF108" s="898">
        <v>27796</v>
      </c>
      <c r="AG108" s="898">
        <v>450</v>
      </c>
      <c r="AH108" s="898">
        <v>196</v>
      </c>
      <c r="AI108" s="898">
        <v>30517</v>
      </c>
      <c r="AJ108" s="898">
        <v>28628</v>
      </c>
      <c r="AK108" s="898">
        <v>1779</v>
      </c>
      <c r="AL108" s="898">
        <v>110</v>
      </c>
      <c r="AM108" s="888">
        <f t="shared" si="54"/>
        <v>24.789000000000001</v>
      </c>
      <c r="AN108" s="888">
        <f t="shared" si="55"/>
        <v>18.207999999999998</v>
      </c>
      <c r="AO108" s="888">
        <f t="shared" si="56"/>
        <v>6.1920000000000002</v>
      </c>
      <c r="AP108" s="888">
        <f t="shared" si="57"/>
        <v>0.38900000000000001</v>
      </c>
      <c r="AQ108" s="888">
        <f t="shared" si="58"/>
        <v>29.484000000000002</v>
      </c>
      <c r="AR108" s="888">
        <f t="shared" si="59"/>
        <v>24.451000000000001</v>
      </c>
      <c r="AS108" s="888">
        <f t="shared" si="60"/>
        <v>4.8250000000000002</v>
      </c>
      <c r="AT108" s="888">
        <f t="shared" si="61"/>
        <v>0.20799999999999999</v>
      </c>
      <c r="AU108" s="888">
        <f t="shared" si="62"/>
        <v>29.327999999999999</v>
      </c>
      <c r="AV108" s="888">
        <f t="shared" si="63"/>
        <v>26.378</v>
      </c>
      <c r="AW108" s="888">
        <f t="shared" si="64"/>
        <v>2.8239999999999998</v>
      </c>
      <c r="AX108" s="888">
        <f t="shared" si="65"/>
        <v>0.127</v>
      </c>
      <c r="AY108" s="888">
        <f t="shared" si="66"/>
        <v>27.530999999999999</v>
      </c>
      <c r="AZ108" s="888">
        <f t="shared" si="67"/>
        <v>22.911000000000001</v>
      </c>
      <c r="BA108" s="888">
        <f t="shared" si="68"/>
        <v>4.4989999999999997</v>
      </c>
      <c r="BB108" s="888">
        <f t="shared" si="69"/>
        <v>0.122</v>
      </c>
      <c r="BC108" s="888">
        <f t="shared" si="70"/>
        <v>24.789000000000001</v>
      </c>
      <c r="BD108" s="888">
        <f t="shared" si="71"/>
        <v>22.114999999999998</v>
      </c>
      <c r="BE108" s="888">
        <f t="shared" si="72"/>
        <v>1.6830000000000001</v>
      </c>
      <c r="BF108" s="888">
        <f t="shared" si="73"/>
        <v>0.311</v>
      </c>
      <c r="BG108" s="888">
        <f t="shared" si="74"/>
        <v>26.419</v>
      </c>
      <c r="BH108" s="888">
        <f t="shared" si="75"/>
        <v>24.988</v>
      </c>
      <c r="BI108" s="888">
        <f t="shared" si="76"/>
        <v>1.2310000000000001</v>
      </c>
      <c r="BJ108" s="888">
        <f t="shared" si="77"/>
        <v>0.2</v>
      </c>
      <c r="BK108" s="888">
        <f t="shared" si="78"/>
        <v>28.442</v>
      </c>
      <c r="BL108" s="888">
        <f t="shared" si="79"/>
        <v>27.795999999999999</v>
      </c>
      <c r="BM108" s="888">
        <f t="shared" si="80"/>
        <v>0.45</v>
      </c>
      <c r="BN108" s="888">
        <f t="shared" si="81"/>
        <v>0.19600000000000001</v>
      </c>
      <c r="BO108" s="888">
        <f t="shared" si="82"/>
        <v>30.516999999999999</v>
      </c>
      <c r="BP108" s="888">
        <f t="shared" si="83"/>
        <v>28.628</v>
      </c>
      <c r="BQ108" s="888">
        <f t="shared" si="84"/>
        <v>1.7789999999999999</v>
      </c>
      <c r="BR108" s="888">
        <f t="shared" si="85"/>
        <v>0.11</v>
      </c>
      <c r="BS108" s="904" t="s">
        <v>134</v>
      </c>
    </row>
    <row r="109" spans="1:71" x14ac:dyDescent="0.25">
      <c r="A109" s="884" t="s">
        <v>350</v>
      </c>
      <c r="B109" s="884" t="s">
        <v>351</v>
      </c>
      <c r="C109" s="886" t="s">
        <v>112</v>
      </c>
      <c r="D109" s="886">
        <v>100.03</v>
      </c>
      <c r="E109" s="886" t="s">
        <v>73</v>
      </c>
      <c r="F109" s="887">
        <v>25227</v>
      </c>
      <c r="G109" s="897">
        <v>15846</v>
      </c>
      <c r="H109" s="897">
        <v>11639</v>
      </c>
      <c r="I109" s="897">
        <v>3958</v>
      </c>
      <c r="J109" s="897">
        <v>249</v>
      </c>
      <c r="K109" s="897">
        <v>18848</v>
      </c>
      <c r="L109" s="897">
        <v>15630</v>
      </c>
      <c r="M109" s="897">
        <v>3084</v>
      </c>
      <c r="N109" s="898">
        <v>133</v>
      </c>
      <c r="O109" s="898">
        <v>18748</v>
      </c>
      <c r="P109" s="898">
        <v>16862</v>
      </c>
      <c r="Q109" s="898">
        <v>1805</v>
      </c>
      <c r="R109" s="898">
        <v>81</v>
      </c>
      <c r="S109" s="898">
        <v>17599</v>
      </c>
      <c r="T109" s="898">
        <v>14646</v>
      </c>
      <c r="U109" s="898">
        <v>2876</v>
      </c>
      <c r="V109" s="898">
        <v>78</v>
      </c>
      <c r="W109" s="898">
        <v>15846</v>
      </c>
      <c r="X109" s="898">
        <v>14137</v>
      </c>
      <c r="Y109" s="898">
        <v>1076</v>
      </c>
      <c r="Z109" s="898">
        <v>199</v>
      </c>
      <c r="AA109" s="898">
        <v>16889</v>
      </c>
      <c r="AB109" s="898">
        <v>15973</v>
      </c>
      <c r="AC109" s="898">
        <v>787</v>
      </c>
      <c r="AD109" s="898">
        <v>128</v>
      </c>
      <c r="AE109" s="898">
        <v>18182</v>
      </c>
      <c r="AF109" s="898">
        <v>17768</v>
      </c>
      <c r="AG109" s="898">
        <v>288</v>
      </c>
      <c r="AH109" s="898">
        <v>125</v>
      </c>
      <c r="AI109" s="898">
        <v>19508</v>
      </c>
      <c r="AJ109" s="898">
        <v>18301</v>
      </c>
      <c r="AK109" s="898">
        <v>1137</v>
      </c>
      <c r="AL109" s="898">
        <v>70</v>
      </c>
      <c r="AM109" s="888">
        <f t="shared" si="54"/>
        <v>15.846</v>
      </c>
      <c r="AN109" s="888">
        <f t="shared" si="55"/>
        <v>11.638999999999999</v>
      </c>
      <c r="AO109" s="888">
        <f t="shared" si="56"/>
        <v>3.9580000000000002</v>
      </c>
      <c r="AP109" s="888">
        <f t="shared" si="57"/>
        <v>0.249</v>
      </c>
      <c r="AQ109" s="888">
        <f t="shared" si="58"/>
        <v>18.847999999999999</v>
      </c>
      <c r="AR109" s="888">
        <f t="shared" si="59"/>
        <v>15.63</v>
      </c>
      <c r="AS109" s="888">
        <f t="shared" si="60"/>
        <v>3.0840000000000001</v>
      </c>
      <c r="AT109" s="888">
        <f t="shared" si="61"/>
        <v>0.13300000000000001</v>
      </c>
      <c r="AU109" s="888">
        <f t="shared" si="62"/>
        <v>18.748000000000001</v>
      </c>
      <c r="AV109" s="888">
        <f t="shared" si="63"/>
        <v>16.861999999999998</v>
      </c>
      <c r="AW109" s="888">
        <f t="shared" si="64"/>
        <v>1.8049999999999999</v>
      </c>
      <c r="AX109" s="888">
        <f t="shared" si="65"/>
        <v>8.1000000000000003E-2</v>
      </c>
      <c r="AY109" s="888">
        <f t="shared" si="66"/>
        <v>17.599</v>
      </c>
      <c r="AZ109" s="888">
        <f t="shared" si="67"/>
        <v>14.646000000000001</v>
      </c>
      <c r="BA109" s="888">
        <f t="shared" si="68"/>
        <v>2.8759999999999999</v>
      </c>
      <c r="BB109" s="888">
        <f t="shared" si="69"/>
        <v>7.8E-2</v>
      </c>
      <c r="BC109" s="888">
        <f t="shared" si="70"/>
        <v>15.846</v>
      </c>
      <c r="BD109" s="888">
        <f t="shared" si="71"/>
        <v>14.137</v>
      </c>
      <c r="BE109" s="888">
        <f t="shared" si="72"/>
        <v>1.0760000000000001</v>
      </c>
      <c r="BF109" s="888">
        <f t="shared" si="73"/>
        <v>0.19900000000000001</v>
      </c>
      <c r="BG109" s="888">
        <f t="shared" si="74"/>
        <v>16.888999999999999</v>
      </c>
      <c r="BH109" s="888">
        <f t="shared" si="75"/>
        <v>15.973000000000001</v>
      </c>
      <c r="BI109" s="888">
        <f t="shared" si="76"/>
        <v>0.78700000000000003</v>
      </c>
      <c r="BJ109" s="888">
        <f t="shared" si="77"/>
        <v>0.128</v>
      </c>
      <c r="BK109" s="888">
        <f t="shared" si="78"/>
        <v>18.181999999999999</v>
      </c>
      <c r="BL109" s="888">
        <f t="shared" si="79"/>
        <v>17.768000000000001</v>
      </c>
      <c r="BM109" s="888">
        <f t="shared" si="80"/>
        <v>0.28799999999999998</v>
      </c>
      <c r="BN109" s="888">
        <f t="shared" si="81"/>
        <v>0.125</v>
      </c>
      <c r="BO109" s="888">
        <f t="shared" si="82"/>
        <v>19.507999999999999</v>
      </c>
      <c r="BP109" s="888">
        <f t="shared" si="83"/>
        <v>18.300999999999998</v>
      </c>
      <c r="BQ109" s="888">
        <f t="shared" si="84"/>
        <v>1.137</v>
      </c>
      <c r="BR109" s="888">
        <f t="shared" si="85"/>
        <v>7.0000000000000007E-2</v>
      </c>
      <c r="BS109" s="904" t="s">
        <v>134</v>
      </c>
    </row>
    <row r="110" spans="1:71" x14ac:dyDescent="0.25">
      <c r="A110" s="884" t="s">
        <v>352</v>
      </c>
      <c r="B110" s="884" t="s">
        <v>353</v>
      </c>
      <c r="C110" s="886" t="s">
        <v>112</v>
      </c>
      <c r="D110" s="886">
        <v>83.84</v>
      </c>
      <c r="E110" s="886" t="s">
        <v>73</v>
      </c>
      <c r="F110" s="887">
        <v>68047</v>
      </c>
      <c r="G110" s="897">
        <v>28145</v>
      </c>
      <c r="H110" s="897">
        <v>20673</v>
      </c>
      <c r="I110" s="897">
        <v>7030</v>
      </c>
      <c r="J110" s="897">
        <v>442</v>
      </c>
      <c r="K110" s="897">
        <v>33476</v>
      </c>
      <c r="L110" s="897">
        <v>27761</v>
      </c>
      <c r="M110" s="897">
        <v>5478</v>
      </c>
      <c r="N110" s="898">
        <v>237</v>
      </c>
      <c r="O110" s="898">
        <v>33299</v>
      </c>
      <c r="P110" s="898">
        <v>29949</v>
      </c>
      <c r="Q110" s="898">
        <v>3206</v>
      </c>
      <c r="R110" s="898">
        <v>144</v>
      </c>
      <c r="S110" s="898">
        <v>31258</v>
      </c>
      <c r="T110" s="898">
        <v>26012</v>
      </c>
      <c r="U110" s="898">
        <v>5108</v>
      </c>
      <c r="V110" s="898">
        <v>138</v>
      </c>
      <c r="W110" s="898">
        <v>28145</v>
      </c>
      <c r="X110" s="898">
        <v>25109</v>
      </c>
      <c r="Y110" s="898">
        <v>1911</v>
      </c>
      <c r="Z110" s="898">
        <v>353</v>
      </c>
      <c r="AA110" s="898">
        <v>29996</v>
      </c>
      <c r="AB110" s="898">
        <v>28370</v>
      </c>
      <c r="AC110" s="898">
        <v>1398</v>
      </c>
      <c r="AD110" s="898">
        <v>228</v>
      </c>
      <c r="AE110" s="898">
        <v>32292</v>
      </c>
      <c r="AF110" s="898">
        <v>31559</v>
      </c>
      <c r="AG110" s="898">
        <v>511</v>
      </c>
      <c r="AH110" s="898">
        <v>223</v>
      </c>
      <c r="AI110" s="898">
        <v>34649</v>
      </c>
      <c r="AJ110" s="898">
        <v>32504</v>
      </c>
      <c r="AK110" s="898">
        <v>2019</v>
      </c>
      <c r="AL110" s="898">
        <v>125</v>
      </c>
      <c r="AM110" s="888">
        <f t="shared" si="54"/>
        <v>28.145</v>
      </c>
      <c r="AN110" s="888">
        <f t="shared" si="55"/>
        <v>20.672999999999998</v>
      </c>
      <c r="AO110" s="888">
        <f t="shared" si="56"/>
        <v>7.03</v>
      </c>
      <c r="AP110" s="888">
        <f t="shared" si="57"/>
        <v>0.442</v>
      </c>
      <c r="AQ110" s="888">
        <f t="shared" si="58"/>
        <v>33.475999999999999</v>
      </c>
      <c r="AR110" s="888">
        <f t="shared" si="59"/>
        <v>27.760999999999999</v>
      </c>
      <c r="AS110" s="888">
        <f t="shared" si="60"/>
        <v>5.4779999999999998</v>
      </c>
      <c r="AT110" s="888">
        <f t="shared" si="61"/>
        <v>0.23699999999999999</v>
      </c>
      <c r="AU110" s="888">
        <f t="shared" si="62"/>
        <v>33.298999999999999</v>
      </c>
      <c r="AV110" s="888">
        <f t="shared" si="63"/>
        <v>29.949000000000002</v>
      </c>
      <c r="AW110" s="888">
        <f t="shared" si="64"/>
        <v>3.206</v>
      </c>
      <c r="AX110" s="888">
        <f t="shared" si="65"/>
        <v>0.14399999999999999</v>
      </c>
      <c r="AY110" s="888">
        <f t="shared" si="66"/>
        <v>31.257999999999999</v>
      </c>
      <c r="AZ110" s="888">
        <f t="shared" si="67"/>
        <v>26.012</v>
      </c>
      <c r="BA110" s="888">
        <f t="shared" si="68"/>
        <v>5.1079999999999997</v>
      </c>
      <c r="BB110" s="888">
        <f t="shared" si="69"/>
        <v>0.13800000000000001</v>
      </c>
      <c r="BC110" s="888">
        <f t="shared" si="70"/>
        <v>28.145</v>
      </c>
      <c r="BD110" s="888">
        <f t="shared" si="71"/>
        <v>25.109000000000002</v>
      </c>
      <c r="BE110" s="888">
        <f t="shared" si="72"/>
        <v>1.911</v>
      </c>
      <c r="BF110" s="888">
        <f t="shared" si="73"/>
        <v>0.35299999999999998</v>
      </c>
      <c r="BG110" s="888">
        <f t="shared" si="74"/>
        <v>29.995999999999999</v>
      </c>
      <c r="BH110" s="888">
        <f t="shared" si="75"/>
        <v>28.37</v>
      </c>
      <c r="BI110" s="888">
        <f t="shared" si="76"/>
        <v>1.3979999999999999</v>
      </c>
      <c r="BJ110" s="888">
        <f t="shared" si="77"/>
        <v>0.22800000000000001</v>
      </c>
      <c r="BK110" s="888">
        <f t="shared" si="78"/>
        <v>32.292000000000002</v>
      </c>
      <c r="BL110" s="888">
        <f t="shared" si="79"/>
        <v>31.559000000000001</v>
      </c>
      <c r="BM110" s="888">
        <f t="shared" si="80"/>
        <v>0.51100000000000001</v>
      </c>
      <c r="BN110" s="888">
        <f t="shared" si="81"/>
        <v>0.223</v>
      </c>
      <c r="BO110" s="888">
        <f t="shared" si="82"/>
        <v>34.649000000000001</v>
      </c>
      <c r="BP110" s="888">
        <f t="shared" si="83"/>
        <v>32.503999999999998</v>
      </c>
      <c r="BQ110" s="888">
        <f t="shared" si="84"/>
        <v>2.0190000000000001</v>
      </c>
      <c r="BR110" s="888">
        <f t="shared" si="85"/>
        <v>0.125</v>
      </c>
      <c r="BS110" s="904" t="s">
        <v>134</v>
      </c>
    </row>
    <row r="111" spans="1:71" x14ac:dyDescent="0.25">
      <c r="A111" s="884" t="s">
        <v>354</v>
      </c>
      <c r="B111" s="884" t="s">
        <v>355</v>
      </c>
      <c r="C111" s="886" t="s">
        <v>356</v>
      </c>
      <c r="D111" s="886">
        <v>2.6</v>
      </c>
      <c r="E111" s="886" t="s">
        <v>73</v>
      </c>
      <c r="F111" s="887">
        <v>2163</v>
      </c>
      <c r="G111" s="897">
        <v>873</v>
      </c>
      <c r="H111" s="897">
        <v>641</v>
      </c>
      <c r="I111" s="897">
        <v>218</v>
      </c>
      <c r="J111" s="897">
        <v>14</v>
      </c>
      <c r="K111" s="897">
        <v>1038</v>
      </c>
      <c r="L111" s="897">
        <v>861</v>
      </c>
      <c r="M111" s="897">
        <v>170</v>
      </c>
      <c r="N111" s="898">
        <v>7</v>
      </c>
      <c r="O111" s="898">
        <v>1033</v>
      </c>
      <c r="P111" s="898">
        <v>929</v>
      </c>
      <c r="Q111" s="898">
        <v>99</v>
      </c>
      <c r="R111" s="898">
        <v>4</v>
      </c>
      <c r="S111" s="898">
        <v>969</v>
      </c>
      <c r="T111" s="898">
        <v>807</v>
      </c>
      <c r="U111" s="898">
        <v>158</v>
      </c>
      <c r="V111" s="898">
        <v>4</v>
      </c>
      <c r="W111" s="898">
        <v>873</v>
      </c>
      <c r="X111" s="898">
        <v>779</v>
      </c>
      <c r="Y111" s="898">
        <v>59</v>
      </c>
      <c r="Z111" s="898">
        <v>11</v>
      </c>
      <c r="AA111" s="898">
        <v>930</v>
      </c>
      <c r="AB111" s="898">
        <v>880</v>
      </c>
      <c r="AC111" s="898">
        <v>43</v>
      </c>
      <c r="AD111" s="898">
        <v>7</v>
      </c>
      <c r="AE111" s="898">
        <v>1001</v>
      </c>
      <c r="AF111" s="898">
        <v>979</v>
      </c>
      <c r="AG111" s="898">
        <v>16</v>
      </c>
      <c r="AH111" s="898">
        <v>7</v>
      </c>
      <c r="AI111" s="898">
        <v>1075</v>
      </c>
      <c r="AJ111" s="898">
        <v>1008</v>
      </c>
      <c r="AK111" s="898">
        <v>63</v>
      </c>
      <c r="AL111" s="898">
        <v>4</v>
      </c>
      <c r="AM111" s="888">
        <f t="shared" si="54"/>
        <v>873</v>
      </c>
      <c r="AN111" s="888">
        <f t="shared" si="55"/>
        <v>641</v>
      </c>
      <c r="AO111" s="888">
        <f t="shared" si="56"/>
        <v>218</v>
      </c>
      <c r="AP111" s="888">
        <f t="shared" si="57"/>
        <v>14</v>
      </c>
      <c r="AQ111" s="888">
        <f t="shared" si="58"/>
        <v>1038</v>
      </c>
      <c r="AR111" s="888">
        <f t="shared" si="59"/>
        <v>861</v>
      </c>
      <c r="AS111" s="888">
        <f t="shared" si="60"/>
        <v>170</v>
      </c>
      <c r="AT111" s="888">
        <f t="shared" si="61"/>
        <v>7</v>
      </c>
      <c r="AU111" s="888">
        <f t="shared" si="62"/>
        <v>1033</v>
      </c>
      <c r="AV111" s="888">
        <f t="shared" si="63"/>
        <v>929</v>
      </c>
      <c r="AW111" s="888">
        <f t="shared" si="64"/>
        <v>99</v>
      </c>
      <c r="AX111" s="888">
        <f t="shared" si="65"/>
        <v>4</v>
      </c>
      <c r="AY111" s="888">
        <f t="shared" si="66"/>
        <v>969</v>
      </c>
      <c r="AZ111" s="888">
        <f t="shared" si="67"/>
        <v>807</v>
      </c>
      <c r="BA111" s="888">
        <f t="shared" si="68"/>
        <v>158</v>
      </c>
      <c r="BB111" s="888">
        <f t="shared" si="69"/>
        <v>4</v>
      </c>
      <c r="BC111" s="888">
        <f t="shared" si="70"/>
        <v>873</v>
      </c>
      <c r="BD111" s="888">
        <f t="shared" si="71"/>
        <v>779</v>
      </c>
      <c r="BE111" s="888">
        <f t="shared" si="72"/>
        <v>59</v>
      </c>
      <c r="BF111" s="888">
        <f t="shared" si="73"/>
        <v>11</v>
      </c>
      <c r="BG111" s="888">
        <f t="shared" si="74"/>
        <v>930</v>
      </c>
      <c r="BH111" s="888">
        <f t="shared" si="75"/>
        <v>880</v>
      </c>
      <c r="BI111" s="888">
        <f t="shared" si="76"/>
        <v>43</v>
      </c>
      <c r="BJ111" s="888">
        <f t="shared" si="77"/>
        <v>7</v>
      </c>
      <c r="BK111" s="888">
        <f t="shared" si="78"/>
        <v>1001</v>
      </c>
      <c r="BL111" s="888">
        <f t="shared" si="79"/>
        <v>979</v>
      </c>
      <c r="BM111" s="888">
        <f t="shared" si="80"/>
        <v>16</v>
      </c>
      <c r="BN111" s="888">
        <f t="shared" si="81"/>
        <v>7</v>
      </c>
      <c r="BO111" s="888">
        <f t="shared" si="82"/>
        <v>1075</v>
      </c>
      <c r="BP111" s="888">
        <f t="shared" si="83"/>
        <v>1008</v>
      </c>
      <c r="BQ111" s="888">
        <f t="shared" si="84"/>
        <v>63</v>
      </c>
      <c r="BR111" s="888">
        <f t="shared" si="85"/>
        <v>4</v>
      </c>
    </row>
    <row r="112" spans="1:71" x14ac:dyDescent="0.25">
      <c r="A112" s="884" t="s">
        <v>357</v>
      </c>
      <c r="B112" s="884" t="s">
        <v>358</v>
      </c>
      <c r="C112" s="886" t="s">
        <v>112</v>
      </c>
      <c r="D112" s="886">
        <v>112.18</v>
      </c>
      <c r="E112" s="886" t="s">
        <v>73</v>
      </c>
      <c r="F112" s="887">
        <v>51865</v>
      </c>
      <c r="G112" s="897">
        <v>35094</v>
      </c>
      <c r="H112" s="897">
        <v>25777</v>
      </c>
      <c r="I112" s="897">
        <v>8766</v>
      </c>
      <c r="J112" s="897">
        <v>551</v>
      </c>
      <c r="K112" s="897">
        <v>41741</v>
      </c>
      <c r="L112" s="897">
        <v>34615</v>
      </c>
      <c r="M112" s="897">
        <v>6831</v>
      </c>
      <c r="N112" s="898">
        <v>295</v>
      </c>
      <c r="O112" s="898">
        <v>41520</v>
      </c>
      <c r="P112" s="898">
        <v>37344</v>
      </c>
      <c r="Q112" s="898">
        <v>3997</v>
      </c>
      <c r="R112" s="898">
        <v>179</v>
      </c>
      <c r="S112" s="898">
        <v>38975</v>
      </c>
      <c r="T112" s="898">
        <v>32435</v>
      </c>
      <c r="U112" s="898">
        <v>6369</v>
      </c>
      <c r="V112" s="898">
        <v>172</v>
      </c>
      <c r="W112" s="898">
        <v>35094</v>
      </c>
      <c r="X112" s="898">
        <v>31309</v>
      </c>
      <c r="Y112" s="898">
        <v>2383</v>
      </c>
      <c r="Z112" s="898">
        <v>441</v>
      </c>
      <c r="AA112" s="898">
        <v>37402</v>
      </c>
      <c r="AB112" s="898">
        <v>35375</v>
      </c>
      <c r="AC112" s="898">
        <v>1743</v>
      </c>
      <c r="AD112" s="898">
        <v>284</v>
      </c>
      <c r="AE112" s="898">
        <v>40265</v>
      </c>
      <c r="AF112" s="898">
        <v>39350</v>
      </c>
      <c r="AG112" s="898">
        <v>637</v>
      </c>
      <c r="AH112" s="898">
        <v>278</v>
      </c>
      <c r="AI112" s="898">
        <v>43203</v>
      </c>
      <c r="AJ112" s="898">
        <v>40529</v>
      </c>
      <c r="AK112" s="898">
        <v>2518</v>
      </c>
      <c r="AL112" s="898">
        <v>156</v>
      </c>
      <c r="AM112" s="888">
        <f t="shared" si="54"/>
        <v>35.094000000000001</v>
      </c>
      <c r="AN112" s="888">
        <f t="shared" si="55"/>
        <v>25.777000000000001</v>
      </c>
      <c r="AO112" s="888">
        <f t="shared" si="56"/>
        <v>8.766</v>
      </c>
      <c r="AP112" s="888">
        <f t="shared" si="57"/>
        <v>0.55100000000000005</v>
      </c>
      <c r="AQ112" s="888">
        <f t="shared" si="58"/>
        <v>41.741</v>
      </c>
      <c r="AR112" s="888">
        <f t="shared" si="59"/>
        <v>34.615000000000002</v>
      </c>
      <c r="AS112" s="888">
        <f t="shared" si="60"/>
        <v>6.8310000000000004</v>
      </c>
      <c r="AT112" s="888">
        <f t="shared" si="61"/>
        <v>0.29499999999999998</v>
      </c>
      <c r="AU112" s="888">
        <f t="shared" si="62"/>
        <v>41.52</v>
      </c>
      <c r="AV112" s="888">
        <f t="shared" si="63"/>
        <v>37.344000000000001</v>
      </c>
      <c r="AW112" s="888">
        <f t="shared" si="64"/>
        <v>3.9969999999999999</v>
      </c>
      <c r="AX112" s="888">
        <f t="shared" si="65"/>
        <v>0.17899999999999999</v>
      </c>
      <c r="AY112" s="888">
        <f t="shared" si="66"/>
        <v>38.975000000000001</v>
      </c>
      <c r="AZ112" s="888">
        <f t="shared" si="67"/>
        <v>32.435000000000002</v>
      </c>
      <c r="BA112" s="888">
        <f t="shared" si="68"/>
        <v>6.3689999999999998</v>
      </c>
      <c r="BB112" s="888">
        <f t="shared" si="69"/>
        <v>0.17199999999999999</v>
      </c>
      <c r="BC112" s="888">
        <f t="shared" si="70"/>
        <v>35.094000000000001</v>
      </c>
      <c r="BD112" s="888">
        <f t="shared" si="71"/>
        <v>31.309000000000001</v>
      </c>
      <c r="BE112" s="888">
        <f t="shared" si="72"/>
        <v>2.383</v>
      </c>
      <c r="BF112" s="888">
        <f t="shared" si="73"/>
        <v>0.441</v>
      </c>
      <c r="BG112" s="888">
        <f t="shared" si="74"/>
        <v>37.402000000000001</v>
      </c>
      <c r="BH112" s="888">
        <f t="shared" si="75"/>
        <v>35.375</v>
      </c>
      <c r="BI112" s="888">
        <f t="shared" si="76"/>
        <v>1.7430000000000001</v>
      </c>
      <c r="BJ112" s="888">
        <f t="shared" si="77"/>
        <v>0.28399999999999997</v>
      </c>
      <c r="BK112" s="888">
        <f t="shared" si="78"/>
        <v>40.265000000000001</v>
      </c>
      <c r="BL112" s="888">
        <f t="shared" si="79"/>
        <v>39.35</v>
      </c>
      <c r="BM112" s="888">
        <f t="shared" si="80"/>
        <v>0.63700000000000001</v>
      </c>
      <c r="BN112" s="888">
        <f t="shared" si="81"/>
        <v>0.27800000000000002</v>
      </c>
      <c r="BO112" s="888">
        <f t="shared" si="82"/>
        <v>43.203000000000003</v>
      </c>
      <c r="BP112" s="888">
        <f t="shared" si="83"/>
        <v>40.529000000000003</v>
      </c>
      <c r="BQ112" s="888">
        <f t="shared" si="84"/>
        <v>2.5179999999999998</v>
      </c>
      <c r="BR112" s="888">
        <f t="shared" si="85"/>
        <v>0.156</v>
      </c>
      <c r="BS112" s="904" t="s">
        <v>134</v>
      </c>
    </row>
    <row r="113" spans="1:71" x14ac:dyDescent="0.25">
      <c r="A113" s="884" t="s">
        <v>359</v>
      </c>
      <c r="B113" s="884" t="s">
        <v>358</v>
      </c>
      <c r="C113" s="886" t="s">
        <v>356</v>
      </c>
      <c r="D113" s="886">
        <v>4.37</v>
      </c>
      <c r="E113" s="886" t="s">
        <v>73</v>
      </c>
      <c r="F113" s="887">
        <v>1581</v>
      </c>
      <c r="G113" s="897">
        <v>1367</v>
      </c>
      <c r="H113" s="897">
        <v>1004</v>
      </c>
      <c r="I113" s="897">
        <v>341</v>
      </c>
      <c r="J113" s="897">
        <v>21</v>
      </c>
      <c r="K113" s="897">
        <v>1626</v>
      </c>
      <c r="L113" s="897">
        <v>1348</v>
      </c>
      <c r="M113" s="897">
        <v>266</v>
      </c>
      <c r="N113" s="898">
        <v>11</v>
      </c>
      <c r="O113" s="898">
        <v>1617</v>
      </c>
      <c r="P113" s="898">
        <v>1455</v>
      </c>
      <c r="Q113" s="898">
        <v>156</v>
      </c>
      <c r="R113" s="898">
        <v>7</v>
      </c>
      <c r="S113" s="898">
        <v>1518</v>
      </c>
      <c r="T113" s="898">
        <v>1263</v>
      </c>
      <c r="U113" s="898">
        <v>248</v>
      </c>
      <c r="V113" s="898">
        <v>7</v>
      </c>
      <c r="W113" s="898">
        <v>1367</v>
      </c>
      <c r="X113" s="898">
        <v>1220</v>
      </c>
      <c r="Y113" s="898">
        <v>93</v>
      </c>
      <c r="Z113" s="898">
        <v>17</v>
      </c>
      <c r="AA113" s="898">
        <v>1457</v>
      </c>
      <c r="AB113" s="898">
        <v>1378</v>
      </c>
      <c r="AC113" s="898">
        <v>68</v>
      </c>
      <c r="AD113" s="898">
        <v>11</v>
      </c>
      <c r="AE113" s="898">
        <v>1569</v>
      </c>
      <c r="AF113" s="898">
        <v>1533</v>
      </c>
      <c r="AG113" s="898">
        <v>25</v>
      </c>
      <c r="AH113" s="898">
        <v>11</v>
      </c>
      <c r="AI113" s="898">
        <v>1683</v>
      </c>
      <c r="AJ113" s="898">
        <v>1579</v>
      </c>
      <c r="AK113" s="898">
        <v>98</v>
      </c>
      <c r="AL113" s="898">
        <v>6</v>
      </c>
      <c r="AM113" s="888">
        <f t="shared" si="54"/>
        <v>1367</v>
      </c>
      <c r="AN113" s="888">
        <f t="shared" si="55"/>
        <v>1004</v>
      </c>
      <c r="AO113" s="888">
        <f t="shared" si="56"/>
        <v>341</v>
      </c>
      <c r="AP113" s="888">
        <f t="shared" si="57"/>
        <v>21</v>
      </c>
      <c r="AQ113" s="888">
        <f t="shared" si="58"/>
        <v>1626</v>
      </c>
      <c r="AR113" s="888">
        <f t="shared" si="59"/>
        <v>1348</v>
      </c>
      <c r="AS113" s="888">
        <f t="shared" si="60"/>
        <v>266</v>
      </c>
      <c r="AT113" s="888">
        <f t="shared" si="61"/>
        <v>11</v>
      </c>
      <c r="AU113" s="888">
        <f t="shared" si="62"/>
        <v>1617</v>
      </c>
      <c r="AV113" s="888">
        <f t="shared" si="63"/>
        <v>1455</v>
      </c>
      <c r="AW113" s="888">
        <f t="shared" si="64"/>
        <v>156</v>
      </c>
      <c r="AX113" s="888">
        <f t="shared" si="65"/>
        <v>7</v>
      </c>
      <c r="AY113" s="888">
        <f t="shared" si="66"/>
        <v>1518</v>
      </c>
      <c r="AZ113" s="888">
        <f t="shared" si="67"/>
        <v>1263</v>
      </c>
      <c r="BA113" s="888">
        <f t="shared" si="68"/>
        <v>248</v>
      </c>
      <c r="BB113" s="888">
        <f t="shared" si="69"/>
        <v>7</v>
      </c>
      <c r="BC113" s="888">
        <f t="shared" si="70"/>
        <v>1367</v>
      </c>
      <c r="BD113" s="888">
        <f t="shared" si="71"/>
        <v>1220</v>
      </c>
      <c r="BE113" s="888">
        <f t="shared" si="72"/>
        <v>93</v>
      </c>
      <c r="BF113" s="888">
        <f t="shared" si="73"/>
        <v>17</v>
      </c>
      <c r="BG113" s="888">
        <f t="shared" si="74"/>
        <v>1457</v>
      </c>
      <c r="BH113" s="888">
        <f t="shared" si="75"/>
        <v>1378</v>
      </c>
      <c r="BI113" s="888">
        <f t="shared" si="76"/>
        <v>68</v>
      </c>
      <c r="BJ113" s="888">
        <f t="shared" si="77"/>
        <v>11</v>
      </c>
      <c r="BK113" s="888">
        <f t="shared" si="78"/>
        <v>1569</v>
      </c>
      <c r="BL113" s="888">
        <f t="shared" si="79"/>
        <v>1533</v>
      </c>
      <c r="BM113" s="888">
        <f t="shared" si="80"/>
        <v>25</v>
      </c>
      <c r="BN113" s="888">
        <f t="shared" si="81"/>
        <v>11</v>
      </c>
      <c r="BO113" s="888">
        <f t="shared" si="82"/>
        <v>1683</v>
      </c>
      <c r="BP113" s="888">
        <f t="shared" si="83"/>
        <v>1579</v>
      </c>
      <c r="BQ113" s="888">
        <f t="shared" si="84"/>
        <v>98</v>
      </c>
      <c r="BR113" s="888">
        <f t="shared" si="85"/>
        <v>6</v>
      </c>
    </row>
    <row r="114" spans="1:71" x14ac:dyDescent="0.25">
      <c r="A114" s="884" t="s">
        <v>360</v>
      </c>
      <c r="B114" s="884" t="s">
        <v>361</v>
      </c>
      <c r="C114" s="886" t="s">
        <v>112</v>
      </c>
      <c r="D114" s="886">
        <v>346.23</v>
      </c>
      <c r="E114" s="886" t="s">
        <v>73</v>
      </c>
      <c r="F114" s="887">
        <v>73276</v>
      </c>
      <c r="G114" s="897">
        <v>57282</v>
      </c>
      <c r="H114" s="897">
        <v>42075</v>
      </c>
      <c r="I114" s="897">
        <v>14309</v>
      </c>
      <c r="J114" s="897">
        <v>899</v>
      </c>
      <c r="K114" s="897">
        <v>68132</v>
      </c>
      <c r="L114" s="897">
        <v>56501</v>
      </c>
      <c r="M114" s="897">
        <v>11149</v>
      </c>
      <c r="N114" s="898">
        <v>482</v>
      </c>
      <c r="O114" s="898">
        <v>67772</v>
      </c>
      <c r="P114" s="898">
        <v>60955</v>
      </c>
      <c r="Q114" s="898">
        <v>6525</v>
      </c>
      <c r="R114" s="898">
        <v>293</v>
      </c>
      <c r="S114" s="898">
        <v>63618</v>
      </c>
      <c r="T114" s="898">
        <v>52942</v>
      </c>
      <c r="U114" s="898">
        <v>10395</v>
      </c>
      <c r="V114" s="898">
        <v>281</v>
      </c>
      <c r="W114" s="898">
        <v>57282</v>
      </c>
      <c r="X114" s="898">
        <v>51104</v>
      </c>
      <c r="Y114" s="898">
        <v>3889</v>
      </c>
      <c r="Z114" s="898">
        <v>719</v>
      </c>
      <c r="AA114" s="898">
        <v>61050</v>
      </c>
      <c r="AB114" s="898">
        <v>57741</v>
      </c>
      <c r="AC114" s="898">
        <v>2845</v>
      </c>
      <c r="AD114" s="898">
        <v>463</v>
      </c>
      <c r="AE114" s="898">
        <v>65724</v>
      </c>
      <c r="AF114" s="898">
        <v>64230</v>
      </c>
      <c r="AG114" s="898">
        <v>1040</v>
      </c>
      <c r="AH114" s="898">
        <v>453</v>
      </c>
      <c r="AI114" s="898">
        <v>70519</v>
      </c>
      <c r="AJ114" s="898">
        <v>66154</v>
      </c>
      <c r="AK114" s="898">
        <v>4110</v>
      </c>
      <c r="AL114" s="898">
        <v>255</v>
      </c>
      <c r="AM114" s="888">
        <f t="shared" si="54"/>
        <v>57.281999999999996</v>
      </c>
      <c r="AN114" s="888">
        <f t="shared" si="55"/>
        <v>42.075000000000003</v>
      </c>
      <c r="AO114" s="888">
        <f t="shared" si="56"/>
        <v>14.308999999999999</v>
      </c>
      <c r="AP114" s="888">
        <f t="shared" si="57"/>
        <v>0.89900000000000002</v>
      </c>
      <c r="AQ114" s="888">
        <f t="shared" si="58"/>
        <v>68.132000000000005</v>
      </c>
      <c r="AR114" s="888">
        <f t="shared" si="59"/>
        <v>56.500999999999998</v>
      </c>
      <c r="AS114" s="888">
        <f t="shared" si="60"/>
        <v>11.148999999999999</v>
      </c>
      <c r="AT114" s="888">
        <f t="shared" si="61"/>
        <v>0.48199999999999998</v>
      </c>
      <c r="AU114" s="888">
        <f t="shared" si="62"/>
        <v>67.772000000000006</v>
      </c>
      <c r="AV114" s="888">
        <f t="shared" si="63"/>
        <v>60.954999999999998</v>
      </c>
      <c r="AW114" s="888">
        <f t="shared" si="64"/>
        <v>6.5250000000000004</v>
      </c>
      <c r="AX114" s="888">
        <f t="shared" si="65"/>
        <v>0.29299999999999998</v>
      </c>
      <c r="AY114" s="888">
        <f t="shared" si="66"/>
        <v>63.618000000000002</v>
      </c>
      <c r="AZ114" s="888">
        <f t="shared" si="67"/>
        <v>52.942</v>
      </c>
      <c r="BA114" s="888">
        <f t="shared" si="68"/>
        <v>10.395</v>
      </c>
      <c r="BB114" s="888">
        <f t="shared" si="69"/>
        <v>0.28100000000000003</v>
      </c>
      <c r="BC114" s="888">
        <f t="shared" si="70"/>
        <v>57.281999999999996</v>
      </c>
      <c r="BD114" s="888">
        <f t="shared" si="71"/>
        <v>51.103999999999999</v>
      </c>
      <c r="BE114" s="888">
        <f t="shared" si="72"/>
        <v>3.8889999999999998</v>
      </c>
      <c r="BF114" s="888">
        <f t="shared" si="73"/>
        <v>0.71899999999999997</v>
      </c>
      <c r="BG114" s="888">
        <f t="shared" si="74"/>
        <v>61.05</v>
      </c>
      <c r="BH114" s="888">
        <f t="shared" si="75"/>
        <v>57.741</v>
      </c>
      <c r="BI114" s="888">
        <f t="shared" si="76"/>
        <v>2.8450000000000002</v>
      </c>
      <c r="BJ114" s="888">
        <f t="shared" si="77"/>
        <v>0.46300000000000002</v>
      </c>
      <c r="BK114" s="888">
        <f t="shared" si="78"/>
        <v>65.724000000000004</v>
      </c>
      <c r="BL114" s="888">
        <f t="shared" si="79"/>
        <v>64.23</v>
      </c>
      <c r="BM114" s="888">
        <f t="shared" si="80"/>
        <v>1.04</v>
      </c>
      <c r="BN114" s="888">
        <f t="shared" si="81"/>
        <v>0.45300000000000001</v>
      </c>
      <c r="BO114" s="888">
        <f t="shared" si="82"/>
        <v>70.519000000000005</v>
      </c>
      <c r="BP114" s="888">
        <f t="shared" si="83"/>
        <v>66.153999999999996</v>
      </c>
      <c r="BQ114" s="888">
        <f t="shared" si="84"/>
        <v>4.1100000000000003</v>
      </c>
      <c r="BR114" s="888">
        <f t="shared" si="85"/>
        <v>0.255</v>
      </c>
      <c r="BS114" s="904" t="s">
        <v>134</v>
      </c>
    </row>
    <row r="115" spans="1:71" x14ac:dyDescent="0.25">
      <c r="A115" s="884" t="s">
        <v>362</v>
      </c>
      <c r="B115" s="884" t="s">
        <v>363</v>
      </c>
      <c r="C115" s="886" t="s">
        <v>112</v>
      </c>
      <c r="D115" s="886">
        <v>470.95</v>
      </c>
      <c r="E115" s="886" t="s">
        <v>73</v>
      </c>
      <c r="F115" s="887">
        <v>50773</v>
      </c>
      <c r="G115" s="897">
        <v>77916</v>
      </c>
      <c r="H115" s="897">
        <v>57231</v>
      </c>
      <c r="I115" s="897">
        <v>19463</v>
      </c>
      <c r="J115" s="897">
        <v>1223</v>
      </c>
      <c r="K115" s="897">
        <v>92674</v>
      </c>
      <c r="L115" s="897">
        <v>76854</v>
      </c>
      <c r="M115" s="897">
        <v>15165</v>
      </c>
      <c r="N115" s="898">
        <v>655</v>
      </c>
      <c r="O115" s="898">
        <v>92185</v>
      </c>
      <c r="P115" s="898">
        <v>82912</v>
      </c>
      <c r="Q115" s="898">
        <v>8875</v>
      </c>
      <c r="R115" s="898">
        <v>398</v>
      </c>
      <c r="S115" s="898">
        <v>86534</v>
      </c>
      <c r="T115" s="898">
        <v>72013</v>
      </c>
      <c r="U115" s="898">
        <v>14140</v>
      </c>
      <c r="V115" s="898">
        <v>382</v>
      </c>
      <c r="W115" s="898">
        <v>77916</v>
      </c>
      <c r="X115" s="898">
        <v>69513</v>
      </c>
      <c r="Y115" s="898">
        <v>5290</v>
      </c>
      <c r="Z115" s="898">
        <v>979</v>
      </c>
      <c r="AA115" s="898">
        <v>83041</v>
      </c>
      <c r="AB115" s="898">
        <v>78541</v>
      </c>
      <c r="AC115" s="898">
        <v>3870</v>
      </c>
      <c r="AD115" s="898">
        <v>630</v>
      </c>
      <c r="AE115" s="898">
        <v>89399</v>
      </c>
      <c r="AF115" s="898">
        <v>87367</v>
      </c>
      <c r="AG115" s="898">
        <v>1415</v>
      </c>
      <c r="AH115" s="898">
        <v>616</v>
      </c>
      <c r="AI115" s="898">
        <v>95922</v>
      </c>
      <c r="AJ115" s="898">
        <v>89985</v>
      </c>
      <c r="AK115" s="898">
        <v>5590</v>
      </c>
      <c r="AL115" s="898">
        <v>347</v>
      </c>
      <c r="AM115" s="888">
        <f t="shared" si="54"/>
        <v>77.915999999999997</v>
      </c>
      <c r="AN115" s="888">
        <f t="shared" si="55"/>
        <v>57.231000000000002</v>
      </c>
      <c r="AO115" s="888">
        <f t="shared" si="56"/>
        <v>19.463000000000001</v>
      </c>
      <c r="AP115" s="888">
        <f t="shared" si="57"/>
        <v>1.2230000000000001</v>
      </c>
      <c r="AQ115" s="888">
        <f t="shared" si="58"/>
        <v>92.674000000000007</v>
      </c>
      <c r="AR115" s="888">
        <f t="shared" si="59"/>
        <v>76.853999999999999</v>
      </c>
      <c r="AS115" s="888">
        <f t="shared" si="60"/>
        <v>15.164999999999999</v>
      </c>
      <c r="AT115" s="888">
        <f t="shared" si="61"/>
        <v>0.65500000000000003</v>
      </c>
      <c r="AU115" s="888">
        <f t="shared" si="62"/>
        <v>92.185000000000002</v>
      </c>
      <c r="AV115" s="888">
        <f t="shared" si="63"/>
        <v>82.912000000000006</v>
      </c>
      <c r="AW115" s="888">
        <f t="shared" si="64"/>
        <v>8.875</v>
      </c>
      <c r="AX115" s="888">
        <f t="shared" si="65"/>
        <v>0.39800000000000002</v>
      </c>
      <c r="AY115" s="888">
        <f t="shared" si="66"/>
        <v>86.534000000000006</v>
      </c>
      <c r="AZ115" s="888">
        <f t="shared" si="67"/>
        <v>72.013000000000005</v>
      </c>
      <c r="BA115" s="888">
        <f t="shared" si="68"/>
        <v>14.14</v>
      </c>
      <c r="BB115" s="888">
        <f t="shared" si="69"/>
        <v>0.38200000000000001</v>
      </c>
      <c r="BC115" s="888">
        <f t="shared" si="70"/>
        <v>77.915999999999997</v>
      </c>
      <c r="BD115" s="888">
        <f t="shared" si="71"/>
        <v>69.513000000000005</v>
      </c>
      <c r="BE115" s="888">
        <f t="shared" si="72"/>
        <v>5.29</v>
      </c>
      <c r="BF115" s="888">
        <f t="shared" si="73"/>
        <v>0.97899999999999998</v>
      </c>
      <c r="BG115" s="888">
        <f t="shared" si="74"/>
        <v>83.040999999999997</v>
      </c>
      <c r="BH115" s="888">
        <f t="shared" si="75"/>
        <v>78.540999999999997</v>
      </c>
      <c r="BI115" s="888">
        <f t="shared" si="76"/>
        <v>3.87</v>
      </c>
      <c r="BJ115" s="888">
        <f t="shared" si="77"/>
        <v>0.63</v>
      </c>
      <c r="BK115" s="888">
        <f t="shared" si="78"/>
        <v>89.399000000000001</v>
      </c>
      <c r="BL115" s="888">
        <f t="shared" si="79"/>
        <v>87.367000000000004</v>
      </c>
      <c r="BM115" s="888">
        <f t="shared" si="80"/>
        <v>1.415</v>
      </c>
      <c r="BN115" s="888">
        <f t="shared" si="81"/>
        <v>0.61599999999999999</v>
      </c>
      <c r="BO115" s="888">
        <f t="shared" si="82"/>
        <v>95.921999999999997</v>
      </c>
      <c r="BP115" s="888">
        <f t="shared" si="83"/>
        <v>89.984999999999999</v>
      </c>
      <c r="BQ115" s="888">
        <f t="shared" si="84"/>
        <v>5.59</v>
      </c>
      <c r="BR115" s="888">
        <f t="shared" si="85"/>
        <v>0.34699999999999998</v>
      </c>
      <c r="BS115" s="904" t="s">
        <v>134</v>
      </c>
    </row>
    <row r="116" spans="1:71" x14ac:dyDescent="0.25">
      <c r="A116" s="884" t="s">
        <v>364</v>
      </c>
      <c r="B116" s="884" t="s">
        <v>365</v>
      </c>
      <c r="C116" s="886" t="s">
        <v>112</v>
      </c>
      <c r="D116" s="886">
        <v>820.38</v>
      </c>
      <c r="E116" s="886" t="s">
        <v>73</v>
      </c>
      <c r="F116" s="887">
        <v>58641</v>
      </c>
      <c r="G116" s="897">
        <v>135728</v>
      </c>
      <c r="H116" s="897">
        <v>99694</v>
      </c>
      <c r="I116" s="897">
        <v>33904</v>
      </c>
      <c r="J116" s="897">
        <v>2130</v>
      </c>
      <c r="K116" s="897">
        <v>161436</v>
      </c>
      <c r="L116" s="897">
        <v>133876</v>
      </c>
      <c r="M116" s="897">
        <v>26418</v>
      </c>
      <c r="N116" s="898">
        <v>1141</v>
      </c>
      <c r="O116" s="898">
        <v>160584</v>
      </c>
      <c r="P116" s="898">
        <v>144430</v>
      </c>
      <c r="Q116" s="898">
        <v>15460</v>
      </c>
      <c r="R116" s="898">
        <v>694</v>
      </c>
      <c r="S116" s="898">
        <v>150740</v>
      </c>
      <c r="T116" s="898">
        <v>125444</v>
      </c>
      <c r="U116" s="898">
        <v>24631</v>
      </c>
      <c r="V116" s="898">
        <v>665</v>
      </c>
      <c r="W116" s="898">
        <v>135728</v>
      </c>
      <c r="X116" s="898">
        <v>121089</v>
      </c>
      <c r="Y116" s="898">
        <v>9215</v>
      </c>
      <c r="Z116" s="898">
        <v>1705</v>
      </c>
      <c r="AA116" s="898">
        <v>144655</v>
      </c>
      <c r="AB116" s="898">
        <v>136816</v>
      </c>
      <c r="AC116" s="898">
        <v>6742</v>
      </c>
      <c r="AD116" s="898">
        <v>1098</v>
      </c>
      <c r="AE116" s="898">
        <v>155730</v>
      </c>
      <c r="AF116" s="898">
        <v>152191</v>
      </c>
      <c r="AG116" s="898">
        <v>2465</v>
      </c>
      <c r="AH116" s="898">
        <v>1074</v>
      </c>
      <c r="AI116" s="898">
        <v>167092</v>
      </c>
      <c r="AJ116" s="898">
        <v>156751</v>
      </c>
      <c r="AK116" s="898">
        <v>9738</v>
      </c>
      <c r="AL116" s="898">
        <v>604</v>
      </c>
      <c r="AM116" s="888">
        <f t="shared" si="54"/>
        <v>135.72800000000001</v>
      </c>
      <c r="AN116" s="888">
        <f t="shared" si="55"/>
        <v>99.694000000000003</v>
      </c>
      <c r="AO116" s="888">
        <f t="shared" si="56"/>
        <v>33.904000000000003</v>
      </c>
      <c r="AP116" s="888">
        <f t="shared" si="57"/>
        <v>2.13</v>
      </c>
      <c r="AQ116" s="888">
        <f t="shared" si="58"/>
        <v>161.43600000000001</v>
      </c>
      <c r="AR116" s="888">
        <f t="shared" si="59"/>
        <v>133.876</v>
      </c>
      <c r="AS116" s="888">
        <f t="shared" si="60"/>
        <v>26.417999999999999</v>
      </c>
      <c r="AT116" s="888">
        <f t="shared" si="61"/>
        <v>1.141</v>
      </c>
      <c r="AU116" s="888">
        <f t="shared" si="62"/>
        <v>160.584</v>
      </c>
      <c r="AV116" s="888">
        <f t="shared" si="63"/>
        <v>144.43</v>
      </c>
      <c r="AW116" s="888">
        <f t="shared" si="64"/>
        <v>15.46</v>
      </c>
      <c r="AX116" s="888">
        <f t="shared" si="65"/>
        <v>0.69399999999999995</v>
      </c>
      <c r="AY116" s="888">
        <f t="shared" si="66"/>
        <v>150.74</v>
      </c>
      <c r="AZ116" s="888">
        <f t="shared" si="67"/>
        <v>125.444</v>
      </c>
      <c r="BA116" s="888">
        <f t="shared" si="68"/>
        <v>24.631</v>
      </c>
      <c r="BB116" s="888">
        <f t="shared" si="69"/>
        <v>0.66500000000000004</v>
      </c>
      <c r="BC116" s="888">
        <f t="shared" si="70"/>
        <v>135.72800000000001</v>
      </c>
      <c r="BD116" s="888">
        <f t="shared" si="71"/>
        <v>121.089</v>
      </c>
      <c r="BE116" s="888">
        <f t="shared" si="72"/>
        <v>9.2149999999999999</v>
      </c>
      <c r="BF116" s="888">
        <f t="shared" si="73"/>
        <v>1.7050000000000001</v>
      </c>
      <c r="BG116" s="888">
        <f t="shared" si="74"/>
        <v>144.655</v>
      </c>
      <c r="BH116" s="888">
        <f t="shared" si="75"/>
        <v>136.816</v>
      </c>
      <c r="BI116" s="888">
        <f t="shared" si="76"/>
        <v>6.742</v>
      </c>
      <c r="BJ116" s="888">
        <f t="shared" si="77"/>
        <v>1.0980000000000001</v>
      </c>
      <c r="BK116" s="888">
        <f t="shared" si="78"/>
        <v>155.72999999999999</v>
      </c>
      <c r="BL116" s="888">
        <f t="shared" si="79"/>
        <v>152.191</v>
      </c>
      <c r="BM116" s="888">
        <f t="shared" si="80"/>
        <v>2.4649999999999999</v>
      </c>
      <c r="BN116" s="888">
        <f t="shared" si="81"/>
        <v>1.0740000000000001</v>
      </c>
      <c r="BO116" s="888">
        <f t="shared" si="82"/>
        <v>167.09200000000001</v>
      </c>
      <c r="BP116" s="888">
        <f t="shared" si="83"/>
        <v>156.751</v>
      </c>
      <c r="BQ116" s="888">
        <f t="shared" si="84"/>
        <v>9.7379999999999995</v>
      </c>
      <c r="BR116" s="888">
        <f t="shared" si="85"/>
        <v>0.60399999999999998</v>
      </c>
      <c r="BS116" s="904" t="s">
        <v>134</v>
      </c>
    </row>
    <row r="117" spans="1:71" x14ac:dyDescent="0.25">
      <c r="A117" s="895" t="s">
        <v>366</v>
      </c>
      <c r="B117" s="884" t="s">
        <v>367</v>
      </c>
      <c r="C117" s="886" t="s">
        <v>368</v>
      </c>
      <c r="D117" s="886">
        <v>172.01</v>
      </c>
      <c r="E117" s="886" t="s">
        <v>73</v>
      </c>
      <c r="F117" s="887">
        <v>12075</v>
      </c>
      <c r="G117" s="900">
        <v>35385</v>
      </c>
      <c r="H117" s="900">
        <v>25991</v>
      </c>
      <c r="I117" s="900">
        <v>8839</v>
      </c>
      <c r="J117" s="900">
        <v>555</v>
      </c>
      <c r="K117" s="900">
        <v>42087</v>
      </c>
      <c r="L117" s="900">
        <v>34902</v>
      </c>
      <c r="M117" s="900">
        <v>6887</v>
      </c>
      <c r="N117" s="901">
        <v>298</v>
      </c>
      <c r="O117" s="898">
        <v>41865</v>
      </c>
      <c r="P117" s="898">
        <v>37654</v>
      </c>
      <c r="Q117" s="898">
        <v>4030</v>
      </c>
      <c r="R117" s="898">
        <v>181</v>
      </c>
      <c r="S117" s="898">
        <v>39299</v>
      </c>
      <c r="T117" s="898">
        <v>32704</v>
      </c>
      <c r="U117" s="898">
        <v>6421</v>
      </c>
      <c r="V117" s="898">
        <v>173</v>
      </c>
      <c r="W117" s="898">
        <v>35385</v>
      </c>
      <c r="X117" s="898">
        <v>31569</v>
      </c>
      <c r="Y117" s="898">
        <v>2402</v>
      </c>
      <c r="Z117" s="898">
        <v>444</v>
      </c>
      <c r="AA117" s="898">
        <v>37713</v>
      </c>
      <c r="AB117" s="898">
        <v>35669</v>
      </c>
      <c r="AC117" s="898">
        <v>1758</v>
      </c>
      <c r="AD117" s="898">
        <v>286</v>
      </c>
      <c r="AE117" s="898">
        <v>40600</v>
      </c>
      <c r="AF117" s="898">
        <v>39677</v>
      </c>
      <c r="AG117" s="898">
        <v>643</v>
      </c>
      <c r="AH117" s="898">
        <v>280</v>
      </c>
      <c r="AI117" s="898">
        <v>43562</v>
      </c>
      <c r="AJ117" s="898">
        <v>40866</v>
      </c>
      <c r="AK117" s="898">
        <v>2539</v>
      </c>
      <c r="AL117" s="898">
        <v>157</v>
      </c>
      <c r="AM117" s="888">
        <f t="shared" si="54"/>
        <v>35385</v>
      </c>
      <c r="AN117" s="888">
        <f t="shared" si="55"/>
        <v>25991</v>
      </c>
      <c r="AO117" s="888">
        <f t="shared" si="56"/>
        <v>8839</v>
      </c>
      <c r="AP117" s="888">
        <f t="shared" si="57"/>
        <v>555</v>
      </c>
      <c r="AQ117" s="888">
        <f t="shared" si="58"/>
        <v>42087</v>
      </c>
      <c r="AR117" s="888">
        <f t="shared" si="59"/>
        <v>34902</v>
      </c>
      <c r="AS117" s="888">
        <f t="shared" si="60"/>
        <v>6887</v>
      </c>
      <c r="AT117" s="888">
        <f t="shared" si="61"/>
        <v>298</v>
      </c>
      <c r="AU117" s="888">
        <f t="shared" si="62"/>
        <v>41865</v>
      </c>
      <c r="AV117" s="888">
        <f t="shared" si="63"/>
        <v>37654</v>
      </c>
      <c r="AW117" s="888">
        <f t="shared" si="64"/>
        <v>4030</v>
      </c>
      <c r="AX117" s="888">
        <f t="shared" si="65"/>
        <v>181</v>
      </c>
      <c r="AY117" s="888">
        <f t="shared" si="66"/>
        <v>39299</v>
      </c>
      <c r="AZ117" s="888">
        <f t="shared" si="67"/>
        <v>32704</v>
      </c>
      <c r="BA117" s="888">
        <f t="shared" si="68"/>
        <v>6421</v>
      </c>
      <c r="BB117" s="888">
        <f t="shared" si="69"/>
        <v>173</v>
      </c>
      <c r="BC117" s="888">
        <f t="shared" si="70"/>
        <v>35385</v>
      </c>
      <c r="BD117" s="888">
        <f t="shared" si="71"/>
        <v>31569</v>
      </c>
      <c r="BE117" s="888">
        <f t="shared" si="72"/>
        <v>2402</v>
      </c>
      <c r="BF117" s="888">
        <f t="shared" si="73"/>
        <v>444</v>
      </c>
      <c r="BG117" s="888">
        <f t="shared" si="74"/>
        <v>37713</v>
      </c>
      <c r="BH117" s="888">
        <f t="shared" si="75"/>
        <v>35669</v>
      </c>
      <c r="BI117" s="888">
        <f t="shared" si="76"/>
        <v>1758</v>
      </c>
      <c r="BJ117" s="888">
        <f t="shared" si="77"/>
        <v>286</v>
      </c>
      <c r="BK117" s="888">
        <f t="shared" si="78"/>
        <v>40600</v>
      </c>
      <c r="BL117" s="888">
        <f t="shared" si="79"/>
        <v>39677</v>
      </c>
      <c r="BM117" s="888">
        <f t="shared" si="80"/>
        <v>643</v>
      </c>
      <c r="BN117" s="888">
        <f t="shared" si="81"/>
        <v>280</v>
      </c>
      <c r="BO117" s="888">
        <f t="shared" si="82"/>
        <v>43562</v>
      </c>
      <c r="BP117" s="888">
        <f t="shared" si="83"/>
        <v>40866</v>
      </c>
      <c r="BQ117" s="888">
        <f t="shared" si="84"/>
        <v>2539</v>
      </c>
      <c r="BR117" s="888">
        <f t="shared" si="85"/>
        <v>157</v>
      </c>
    </row>
    <row r="118" spans="1:71" x14ac:dyDescent="0.25">
      <c r="A118" s="895" t="s">
        <v>133</v>
      </c>
      <c r="B118" s="884"/>
      <c r="C118" s="884"/>
      <c r="D118" s="884"/>
      <c r="E118" s="884"/>
      <c r="F118" s="884"/>
      <c r="G118" s="884"/>
      <c r="H118" s="884"/>
      <c r="I118" s="884"/>
      <c r="J118" s="884"/>
      <c r="K118" s="884"/>
      <c r="L118" s="884"/>
      <c r="M118" s="884"/>
      <c r="N118" s="884"/>
      <c r="O118" s="884"/>
      <c r="P118" s="884"/>
      <c r="Q118" s="884"/>
      <c r="R118" s="884"/>
      <c r="S118" s="884"/>
      <c r="T118" s="884"/>
      <c r="U118" s="884"/>
      <c r="V118" s="884"/>
      <c r="W118" s="884"/>
      <c r="X118" s="884"/>
      <c r="Y118" s="884"/>
      <c r="Z118" s="884"/>
      <c r="AA118" s="884"/>
      <c r="AB118" s="884"/>
      <c r="AC118" s="884"/>
      <c r="AD118" s="884"/>
      <c r="AE118" s="884"/>
      <c r="AF118" s="884"/>
      <c r="AG118" s="884"/>
      <c r="AH118" s="884"/>
      <c r="AI118" s="884"/>
      <c r="AJ118" s="884"/>
      <c r="AK118" s="884"/>
      <c r="AL118" s="884"/>
      <c r="AM118" s="888">
        <f t="shared" ref="AM118:AM130" si="86">IF($BS118="sf",G118/1000,G118)</f>
        <v>0</v>
      </c>
      <c r="AN118" s="889"/>
      <c r="AO118" s="889"/>
      <c r="AP118" s="889"/>
      <c r="AQ118" s="889" t="s">
        <v>133</v>
      </c>
      <c r="AR118" s="889"/>
      <c r="AS118" s="889"/>
      <c r="AT118" s="889"/>
      <c r="AU118" s="889" t="s">
        <v>133</v>
      </c>
      <c r="AV118" s="889"/>
      <c r="AW118" s="889"/>
      <c r="AX118" s="889"/>
      <c r="AY118" s="889" t="s">
        <v>133</v>
      </c>
      <c r="AZ118" s="889"/>
      <c r="BA118" s="889"/>
      <c r="BB118" s="889"/>
      <c r="BC118" s="889" t="s">
        <v>133</v>
      </c>
      <c r="BD118" s="889"/>
      <c r="BE118" s="889"/>
      <c r="BF118" s="889"/>
      <c r="BG118" s="889" t="s">
        <v>133</v>
      </c>
      <c r="BH118" s="889"/>
      <c r="BI118" s="889"/>
      <c r="BJ118" s="889"/>
      <c r="BK118" s="889" t="s">
        <v>133</v>
      </c>
      <c r="BL118" s="889"/>
      <c r="BM118" s="889"/>
      <c r="BN118" s="889"/>
      <c r="BO118" s="889" t="s">
        <v>133</v>
      </c>
      <c r="BP118" s="896"/>
      <c r="BQ118" s="896"/>
      <c r="BR118" s="896"/>
    </row>
    <row r="119" spans="1:71" x14ac:dyDescent="0.25">
      <c r="A119" s="884"/>
      <c r="B119" s="884"/>
      <c r="C119" s="884"/>
      <c r="D119" s="884"/>
      <c r="E119" s="884"/>
      <c r="F119" s="884"/>
      <c r="G119" s="884"/>
      <c r="H119" s="884"/>
      <c r="I119" s="884"/>
      <c r="J119" s="884"/>
      <c r="K119" s="884"/>
      <c r="L119" s="884"/>
      <c r="M119" s="884"/>
      <c r="N119" s="884"/>
      <c r="O119" s="884"/>
      <c r="P119" s="884"/>
      <c r="Q119" s="884"/>
      <c r="R119" s="884"/>
      <c r="S119" s="884"/>
      <c r="T119" s="884"/>
      <c r="U119" s="884"/>
      <c r="V119" s="884"/>
      <c r="W119" s="884"/>
      <c r="X119" s="884"/>
      <c r="Y119" s="884"/>
      <c r="Z119" s="884"/>
      <c r="AA119" s="884"/>
      <c r="AB119" s="884"/>
      <c r="AC119" s="884"/>
      <c r="AD119" s="884"/>
      <c r="AE119" s="884"/>
      <c r="AF119" s="884"/>
      <c r="AG119" s="884"/>
      <c r="AH119" s="884"/>
      <c r="AI119" s="884"/>
      <c r="AJ119" s="884"/>
      <c r="AK119" s="884"/>
      <c r="AL119" s="884"/>
      <c r="AM119" s="888">
        <f t="shared" si="86"/>
        <v>0</v>
      </c>
      <c r="AN119" s="889"/>
      <c r="AO119" s="889"/>
      <c r="AP119" s="889"/>
      <c r="AQ119" s="889" t="s">
        <v>133</v>
      </c>
      <c r="AR119" s="889"/>
      <c r="AS119" s="889"/>
      <c r="AT119" s="889"/>
      <c r="AU119" s="889" t="s">
        <v>133</v>
      </c>
      <c r="AV119" s="889"/>
      <c r="AW119" s="889"/>
      <c r="AX119" s="889"/>
      <c r="AY119" s="889" t="s">
        <v>133</v>
      </c>
      <c r="AZ119" s="889"/>
      <c r="BA119" s="889"/>
      <c r="BB119" s="889"/>
      <c r="BC119" s="889" t="s">
        <v>133</v>
      </c>
      <c r="BD119" s="889"/>
      <c r="BE119" s="889"/>
      <c r="BF119" s="889"/>
      <c r="BG119" s="889" t="s">
        <v>133</v>
      </c>
      <c r="BH119" s="889"/>
      <c r="BI119" s="889"/>
      <c r="BJ119" s="889"/>
      <c r="BK119" s="889" t="s">
        <v>133</v>
      </c>
      <c r="BL119" s="889"/>
      <c r="BM119" s="889"/>
      <c r="BN119" s="889"/>
      <c r="BO119" s="889" t="s">
        <v>133</v>
      </c>
      <c r="BP119" s="896"/>
      <c r="BQ119" s="896"/>
      <c r="BR119" s="896"/>
    </row>
    <row r="120" spans="1:71" x14ac:dyDescent="0.25">
      <c r="A120" s="884"/>
      <c r="B120" s="884"/>
      <c r="C120" s="884"/>
      <c r="D120" s="884"/>
      <c r="E120" s="884"/>
      <c r="F120" s="884"/>
      <c r="G120" s="884"/>
      <c r="H120" s="884"/>
      <c r="I120" s="884"/>
      <c r="J120" s="884"/>
      <c r="K120" s="884"/>
      <c r="L120" s="884"/>
      <c r="M120" s="884"/>
      <c r="N120" s="884"/>
      <c r="O120" s="884"/>
      <c r="P120" s="884"/>
      <c r="Q120" s="884"/>
      <c r="R120" s="884"/>
      <c r="S120" s="884"/>
      <c r="T120" s="884"/>
      <c r="U120" s="884"/>
      <c r="V120" s="884"/>
      <c r="W120" s="884"/>
      <c r="X120" s="884"/>
      <c r="Y120" s="884"/>
      <c r="Z120" s="884"/>
      <c r="AA120" s="884"/>
      <c r="AB120" s="884"/>
      <c r="AC120" s="884"/>
      <c r="AD120" s="884"/>
      <c r="AE120" s="884"/>
      <c r="AF120" s="884"/>
      <c r="AG120" s="884"/>
      <c r="AH120" s="884"/>
      <c r="AI120" s="884"/>
      <c r="AJ120" s="884"/>
      <c r="AK120" s="884"/>
      <c r="AL120" s="884"/>
      <c r="AM120" s="888">
        <f t="shared" si="86"/>
        <v>0</v>
      </c>
      <c r="AN120" s="889"/>
      <c r="AO120" s="889"/>
      <c r="AP120" s="889"/>
      <c r="AQ120" s="889" t="s">
        <v>133</v>
      </c>
      <c r="AR120" s="889"/>
      <c r="AS120" s="889"/>
      <c r="AT120" s="889"/>
      <c r="AU120" s="889" t="s">
        <v>133</v>
      </c>
      <c r="AV120" s="889"/>
      <c r="AW120" s="889"/>
      <c r="AX120" s="889"/>
      <c r="AY120" s="889" t="s">
        <v>133</v>
      </c>
      <c r="AZ120" s="889"/>
      <c r="BA120" s="889"/>
      <c r="BB120" s="889"/>
      <c r="BC120" s="889" t="s">
        <v>133</v>
      </c>
      <c r="BD120" s="889"/>
      <c r="BE120" s="889"/>
      <c r="BF120" s="889"/>
      <c r="BG120" s="889" t="s">
        <v>133</v>
      </c>
      <c r="BH120" s="889"/>
      <c r="BI120" s="889"/>
      <c r="BJ120" s="889"/>
      <c r="BK120" s="889" t="s">
        <v>133</v>
      </c>
      <c r="BL120" s="889"/>
      <c r="BM120" s="889"/>
      <c r="BN120" s="889"/>
      <c r="BO120" s="889" t="s">
        <v>133</v>
      </c>
      <c r="BP120" s="896"/>
      <c r="BQ120" s="896"/>
      <c r="BR120" s="896"/>
    </row>
    <row r="121" spans="1:71" x14ac:dyDescent="0.25">
      <c r="A121" s="884"/>
      <c r="B121" s="884"/>
      <c r="C121" s="884"/>
      <c r="D121" s="884"/>
      <c r="E121" s="884"/>
      <c r="F121" s="884"/>
      <c r="G121" s="884"/>
      <c r="H121" s="884"/>
      <c r="I121" s="884"/>
      <c r="J121" s="884"/>
      <c r="K121" s="884"/>
      <c r="L121" s="884"/>
      <c r="M121" s="884"/>
      <c r="N121" s="884"/>
      <c r="O121" s="884"/>
      <c r="P121" s="884"/>
      <c r="Q121" s="884"/>
      <c r="R121" s="884"/>
      <c r="S121" s="884"/>
      <c r="T121" s="884"/>
      <c r="U121" s="884"/>
      <c r="V121" s="884"/>
      <c r="W121" s="884"/>
      <c r="X121" s="884"/>
      <c r="Y121" s="884"/>
      <c r="Z121" s="884"/>
      <c r="AA121" s="884"/>
      <c r="AB121" s="884"/>
      <c r="AC121" s="884"/>
      <c r="AD121" s="884"/>
      <c r="AE121" s="884"/>
      <c r="AF121" s="884"/>
      <c r="AG121" s="884"/>
      <c r="AH121" s="884"/>
      <c r="AI121" s="884"/>
      <c r="AJ121" s="884"/>
      <c r="AK121" s="884"/>
      <c r="AL121" s="884"/>
      <c r="AM121" s="888">
        <f t="shared" si="86"/>
        <v>0</v>
      </c>
      <c r="AN121" s="889"/>
      <c r="AO121" s="889"/>
      <c r="AP121" s="889"/>
      <c r="AQ121" s="889" t="s">
        <v>133</v>
      </c>
      <c r="AR121" s="889"/>
      <c r="AS121" s="889"/>
      <c r="AT121" s="889"/>
      <c r="AU121" s="889" t="s">
        <v>133</v>
      </c>
      <c r="AV121" s="889"/>
      <c r="AW121" s="889"/>
      <c r="AX121" s="889"/>
      <c r="AY121" s="889" t="s">
        <v>133</v>
      </c>
      <c r="AZ121" s="889"/>
      <c r="BA121" s="889"/>
      <c r="BB121" s="889"/>
      <c r="BC121" s="889" t="s">
        <v>133</v>
      </c>
      <c r="BD121" s="889"/>
      <c r="BE121" s="889"/>
      <c r="BF121" s="889"/>
      <c r="BG121" s="889" t="s">
        <v>133</v>
      </c>
      <c r="BH121" s="889"/>
      <c r="BI121" s="889"/>
      <c r="BJ121" s="889"/>
      <c r="BK121" s="889" t="s">
        <v>133</v>
      </c>
      <c r="BL121" s="889"/>
      <c r="BM121" s="889"/>
      <c r="BN121" s="889"/>
      <c r="BO121" s="889" t="s">
        <v>133</v>
      </c>
      <c r="BP121" s="896"/>
      <c r="BQ121" s="896"/>
      <c r="BR121" s="896"/>
    </row>
    <row r="122" spans="1:71" x14ac:dyDescent="0.25">
      <c r="A122" s="884"/>
      <c r="B122" s="884"/>
      <c r="C122" s="884"/>
      <c r="D122" s="884"/>
      <c r="E122" s="884"/>
      <c r="F122" s="884"/>
      <c r="G122" s="884"/>
      <c r="H122" s="884"/>
      <c r="I122" s="884"/>
      <c r="J122" s="884"/>
      <c r="K122" s="884"/>
      <c r="L122" s="884"/>
      <c r="M122" s="884"/>
      <c r="N122" s="884"/>
      <c r="O122" s="884"/>
      <c r="P122" s="884"/>
      <c r="Q122" s="884"/>
      <c r="R122" s="884"/>
      <c r="S122" s="884"/>
      <c r="T122" s="884"/>
      <c r="U122" s="884"/>
      <c r="V122" s="884"/>
      <c r="W122" s="884"/>
      <c r="X122" s="884"/>
      <c r="Y122" s="884"/>
      <c r="Z122" s="884"/>
      <c r="AA122" s="884"/>
      <c r="AB122" s="884"/>
      <c r="AC122" s="884"/>
      <c r="AD122" s="884"/>
      <c r="AE122" s="884"/>
      <c r="AF122" s="884"/>
      <c r="AG122" s="884"/>
      <c r="AH122" s="884"/>
      <c r="AI122" s="884"/>
      <c r="AJ122" s="884"/>
      <c r="AK122" s="884"/>
      <c r="AL122" s="884"/>
      <c r="AM122" s="888">
        <f t="shared" si="86"/>
        <v>0</v>
      </c>
      <c r="AN122" s="889"/>
      <c r="AO122" s="889"/>
      <c r="AP122" s="889"/>
      <c r="AQ122" s="889" t="s">
        <v>133</v>
      </c>
      <c r="AR122" s="889"/>
      <c r="AS122" s="889"/>
      <c r="AT122" s="889"/>
      <c r="AU122" s="889" t="s">
        <v>133</v>
      </c>
      <c r="AV122" s="889"/>
      <c r="AW122" s="889"/>
      <c r="AX122" s="889"/>
      <c r="AY122" s="889" t="s">
        <v>133</v>
      </c>
      <c r="AZ122" s="889"/>
      <c r="BA122" s="889"/>
      <c r="BB122" s="889"/>
      <c r="BC122" s="889" t="s">
        <v>133</v>
      </c>
      <c r="BD122" s="889"/>
      <c r="BE122" s="889"/>
      <c r="BF122" s="889"/>
      <c r="BG122" s="889" t="s">
        <v>133</v>
      </c>
      <c r="BH122" s="889"/>
      <c r="BI122" s="889"/>
      <c r="BJ122" s="889"/>
      <c r="BK122" s="889" t="s">
        <v>133</v>
      </c>
      <c r="BL122" s="889"/>
      <c r="BM122" s="889"/>
      <c r="BN122" s="889"/>
      <c r="BO122" s="889" t="s">
        <v>133</v>
      </c>
      <c r="BP122" s="896"/>
      <c r="BQ122" s="896"/>
      <c r="BR122" s="896"/>
    </row>
    <row r="123" spans="1:71" x14ac:dyDescent="0.25">
      <c r="A123" s="884"/>
      <c r="B123" s="884"/>
      <c r="C123" s="884"/>
      <c r="D123" s="884"/>
      <c r="E123" s="884"/>
      <c r="F123" s="884"/>
      <c r="G123" s="884"/>
      <c r="H123" s="884"/>
      <c r="I123" s="884"/>
      <c r="J123" s="884"/>
      <c r="K123" s="884"/>
      <c r="L123" s="884"/>
      <c r="M123" s="884"/>
      <c r="N123" s="884"/>
      <c r="O123" s="884"/>
      <c r="P123" s="884"/>
      <c r="Q123" s="884"/>
      <c r="R123" s="884"/>
      <c r="S123" s="884"/>
      <c r="T123" s="884"/>
      <c r="U123" s="884"/>
      <c r="V123" s="884"/>
      <c r="W123" s="884"/>
      <c r="X123" s="884"/>
      <c r="Y123" s="884"/>
      <c r="Z123" s="884"/>
      <c r="AA123" s="884"/>
      <c r="AB123" s="884"/>
      <c r="AC123" s="884"/>
      <c r="AD123" s="884"/>
      <c r="AE123" s="884"/>
      <c r="AF123" s="884"/>
      <c r="AG123" s="884"/>
      <c r="AH123" s="884"/>
      <c r="AI123" s="884"/>
      <c r="AJ123" s="884"/>
      <c r="AK123" s="884"/>
      <c r="AL123" s="884"/>
      <c r="AM123" s="888">
        <f t="shared" si="86"/>
        <v>0</v>
      </c>
      <c r="AN123" s="889"/>
      <c r="AO123" s="889"/>
      <c r="AP123" s="889"/>
      <c r="AQ123" s="889" t="s">
        <v>133</v>
      </c>
      <c r="AR123" s="889"/>
      <c r="AS123" s="889"/>
      <c r="AT123" s="889"/>
      <c r="AU123" s="889" t="s">
        <v>133</v>
      </c>
      <c r="AV123" s="889"/>
      <c r="AW123" s="889"/>
      <c r="AX123" s="889"/>
      <c r="AY123" s="889" t="s">
        <v>133</v>
      </c>
      <c r="AZ123" s="889"/>
      <c r="BA123" s="889"/>
      <c r="BB123" s="889"/>
      <c r="BC123" s="889" t="s">
        <v>133</v>
      </c>
      <c r="BD123" s="889"/>
      <c r="BE123" s="889"/>
      <c r="BF123" s="889"/>
      <c r="BG123" s="889" t="s">
        <v>133</v>
      </c>
      <c r="BH123" s="889"/>
      <c r="BI123" s="889"/>
      <c r="BJ123" s="889"/>
      <c r="BK123" s="889" t="s">
        <v>133</v>
      </c>
      <c r="BL123" s="889"/>
      <c r="BM123" s="889"/>
      <c r="BN123" s="889"/>
      <c r="BO123" s="889" t="s">
        <v>133</v>
      </c>
      <c r="BP123" s="896"/>
      <c r="BQ123" s="896"/>
      <c r="BR123" s="896"/>
    </row>
    <row r="124" spans="1:71" x14ac:dyDescent="0.25">
      <c r="A124" s="884"/>
      <c r="B124" s="884"/>
      <c r="C124" s="884"/>
      <c r="D124" s="884"/>
      <c r="E124" s="884"/>
      <c r="F124" s="884"/>
      <c r="G124" s="884"/>
      <c r="H124" s="884"/>
      <c r="I124" s="884"/>
      <c r="J124" s="884"/>
      <c r="K124" s="884"/>
      <c r="L124" s="884"/>
      <c r="M124" s="884"/>
      <c r="N124" s="884"/>
      <c r="O124" s="884"/>
      <c r="P124" s="884"/>
      <c r="Q124" s="884"/>
      <c r="R124" s="884"/>
      <c r="S124" s="884"/>
      <c r="T124" s="884"/>
      <c r="U124" s="884"/>
      <c r="V124" s="884"/>
      <c r="W124" s="884"/>
      <c r="X124" s="884"/>
      <c r="Y124" s="884"/>
      <c r="Z124" s="884"/>
      <c r="AA124" s="884"/>
      <c r="AB124" s="884"/>
      <c r="AC124" s="884"/>
      <c r="AD124" s="884"/>
      <c r="AE124" s="884"/>
      <c r="AF124" s="884"/>
      <c r="AG124" s="884"/>
      <c r="AH124" s="884"/>
      <c r="AI124" s="884"/>
      <c r="AJ124" s="884"/>
      <c r="AK124" s="884"/>
      <c r="AL124" s="884"/>
      <c r="AM124" s="888">
        <f t="shared" si="86"/>
        <v>0</v>
      </c>
      <c r="AN124" s="889"/>
      <c r="AO124" s="889"/>
      <c r="AP124" s="889"/>
      <c r="AQ124" s="889" t="s">
        <v>133</v>
      </c>
      <c r="AR124" s="889"/>
      <c r="AS124" s="889"/>
      <c r="AT124" s="889"/>
      <c r="AU124" s="889" t="s">
        <v>133</v>
      </c>
      <c r="AV124" s="889"/>
      <c r="AW124" s="889"/>
      <c r="AX124" s="889"/>
      <c r="AY124" s="889" t="s">
        <v>133</v>
      </c>
      <c r="AZ124" s="889"/>
      <c r="BA124" s="889"/>
      <c r="BB124" s="889"/>
      <c r="BC124" s="889" t="s">
        <v>133</v>
      </c>
      <c r="BD124" s="889"/>
      <c r="BE124" s="889"/>
      <c r="BF124" s="889"/>
      <c r="BG124" s="889" t="s">
        <v>133</v>
      </c>
      <c r="BH124" s="889"/>
      <c r="BI124" s="889"/>
      <c r="BJ124" s="889"/>
      <c r="BK124" s="889" t="s">
        <v>133</v>
      </c>
      <c r="BL124" s="889"/>
      <c r="BM124" s="889"/>
      <c r="BN124" s="889"/>
      <c r="BO124" s="889" t="s">
        <v>133</v>
      </c>
      <c r="BP124" s="896"/>
      <c r="BQ124" s="896"/>
      <c r="BR124" s="896"/>
    </row>
    <row r="125" spans="1:71" x14ac:dyDescent="0.25">
      <c r="A125" s="884"/>
      <c r="B125" s="884"/>
      <c r="C125" s="884"/>
      <c r="D125" s="884"/>
      <c r="E125" s="884"/>
      <c r="F125" s="884"/>
      <c r="G125" s="884"/>
      <c r="H125" s="884"/>
      <c r="I125" s="884"/>
      <c r="J125" s="884"/>
      <c r="K125" s="884"/>
      <c r="L125" s="884"/>
      <c r="M125" s="884"/>
      <c r="N125" s="884"/>
      <c r="O125" s="884"/>
      <c r="P125" s="884"/>
      <c r="Q125" s="884"/>
      <c r="R125" s="884"/>
      <c r="S125" s="884"/>
      <c r="T125" s="884"/>
      <c r="U125" s="884"/>
      <c r="V125" s="884"/>
      <c r="W125" s="884"/>
      <c r="X125" s="884"/>
      <c r="Y125" s="884"/>
      <c r="Z125" s="884"/>
      <c r="AA125" s="884"/>
      <c r="AB125" s="884"/>
      <c r="AC125" s="884"/>
      <c r="AD125" s="884"/>
      <c r="AE125" s="884"/>
      <c r="AF125" s="884"/>
      <c r="AG125" s="884"/>
      <c r="AH125" s="884"/>
      <c r="AI125" s="884"/>
      <c r="AJ125" s="884"/>
      <c r="AK125" s="884"/>
      <c r="AL125" s="884"/>
      <c r="AM125" s="888">
        <f t="shared" si="86"/>
        <v>0</v>
      </c>
      <c r="AN125" s="889"/>
      <c r="AO125" s="889"/>
      <c r="AP125" s="889"/>
      <c r="AQ125" s="889" t="s">
        <v>133</v>
      </c>
      <c r="AR125" s="889"/>
      <c r="AS125" s="889"/>
      <c r="AT125" s="889"/>
      <c r="AU125" s="889" t="s">
        <v>133</v>
      </c>
      <c r="AV125" s="889"/>
      <c r="AW125" s="889"/>
      <c r="AX125" s="889"/>
      <c r="AY125" s="889" t="s">
        <v>133</v>
      </c>
      <c r="AZ125" s="889"/>
      <c r="BA125" s="889"/>
      <c r="BB125" s="889"/>
      <c r="BC125" s="889" t="s">
        <v>133</v>
      </c>
      <c r="BD125" s="889"/>
      <c r="BE125" s="889"/>
      <c r="BF125" s="889"/>
      <c r="BG125" s="889" t="s">
        <v>133</v>
      </c>
      <c r="BH125" s="889"/>
      <c r="BI125" s="889"/>
      <c r="BJ125" s="889"/>
      <c r="BK125" s="889" t="s">
        <v>133</v>
      </c>
      <c r="BL125" s="889"/>
      <c r="BM125" s="889"/>
      <c r="BN125" s="889"/>
      <c r="BO125" s="889" t="s">
        <v>133</v>
      </c>
      <c r="BP125" s="896"/>
      <c r="BQ125" s="896"/>
      <c r="BR125" s="896"/>
    </row>
    <row r="126" spans="1:71" x14ac:dyDescent="0.25">
      <c r="A126" s="884"/>
      <c r="B126" s="884"/>
      <c r="C126" s="884"/>
      <c r="D126" s="884"/>
      <c r="E126" s="884"/>
      <c r="F126" s="884"/>
      <c r="G126" s="884"/>
      <c r="H126" s="884"/>
      <c r="I126" s="884"/>
      <c r="J126" s="884"/>
      <c r="K126" s="884"/>
      <c r="L126" s="884"/>
      <c r="M126" s="884"/>
      <c r="N126" s="884"/>
      <c r="O126" s="884"/>
      <c r="P126" s="884"/>
      <c r="Q126" s="884"/>
      <c r="R126" s="884"/>
      <c r="S126" s="884"/>
      <c r="T126" s="884"/>
      <c r="U126" s="884"/>
      <c r="V126" s="884"/>
      <c r="W126" s="884"/>
      <c r="X126" s="884"/>
      <c r="Y126" s="884"/>
      <c r="Z126" s="884"/>
      <c r="AA126" s="884"/>
      <c r="AB126" s="884"/>
      <c r="AC126" s="884"/>
      <c r="AD126" s="884"/>
      <c r="AE126" s="884"/>
      <c r="AF126" s="884"/>
      <c r="AG126" s="884"/>
      <c r="AH126" s="884"/>
      <c r="AI126" s="884"/>
      <c r="AJ126" s="884"/>
      <c r="AK126" s="884"/>
      <c r="AL126" s="884"/>
      <c r="AM126" s="888">
        <f t="shared" si="86"/>
        <v>0</v>
      </c>
      <c r="AN126" s="889"/>
      <c r="AO126" s="889"/>
      <c r="AP126" s="889"/>
      <c r="AQ126" s="889" t="s">
        <v>133</v>
      </c>
      <c r="AR126" s="889"/>
      <c r="AS126" s="889"/>
      <c r="AT126" s="889"/>
      <c r="AU126" s="889" t="s">
        <v>133</v>
      </c>
      <c r="AV126" s="889"/>
      <c r="AW126" s="889"/>
      <c r="AX126" s="889"/>
      <c r="AY126" s="889" t="s">
        <v>133</v>
      </c>
      <c r="AZ126" s="889"/>
      <c r="BA126" s="889"/>
      <c r="BB126" s="889"/>
      <c r="BC126" s="889" t="s">
        <v>133</v>
      </c>
      <c r="BD126" s="889"/>
      <c r="BE126" s="889"/>
      <c r="BF126" s="889"/>
      <c r="BG126" s="889" t="s">
        <v>133</v>
      </c>
      <c r="BH126" s="889"/>
      <c r="BI126" s="889"/>
      <c r="BJ126" s="889"/>
      <c r="BK126" s="889" t="s">
        <v>133</v>
      </c>
      <c r="BL126" s="889"/>
      <c r="BM126" s="889"/>
      <c r="BN126" s="889"/>
      <c r="BO126" s="889" t="s">
        <v>133</v>
      </c>
      <c r="BP126" s="896"/>
      <c r="BQ126" s="896"/>
      <c r="BR126" s="896"/>
    </row>
    <row r="127" spans="1:71" x14ac:dyDescent="0.25">
      <c r="A127" s="884"/>
      <c r="B127" s="884"/>
      <c r="C127" s="884"/>
      <c r="D127" s="884"/>
      <c r="E127" s="884"/>
      <c r="F127" s="884"/>
      <c r="G127" s="884"/>
      <c r="H127" s="884"/>
      <c r="I127" s="884"/>
      <c r="J127" s="884"/>
      <c r="K127" s="884"/>
      <c r="L127" s="884"/>
      <c r="M127" s="884"/>
      <c r="N127" s="884"/>
      <c r="O127" s="884"/>
      <c r="P127" s="884"/>
      <c r="Q127" s="884"/>
      <c r="R127" s="884"/>
      <c r="S127" s="884"/>
      <c r="T127" s="884"/>
      <c r="U127" s="884"/>
      <c r="V127" s="884"/>
      <c r="W127" s="884"/>
      <c r="X127" s="884"/>
      <c r="Y127" s="884"/>
      <c r="Z127" s="884"/>
      <c r="AA127" s="884"/>
      <c r="AB127" s="884"/>
      <c r="AC127" s="884"/>
      <c r="AD127" s="884"/>
      <c r="AE127" s="884"/>
      <c r="AF127" s="884"/>
      <c r="AG127" s="884"/>
      <c r="AH127" s="884"/>
      <c r="AI127" s="884"/>
      <c r="AJ127" s="884"/>
      <c r="AK127" s="884"/>
      <c r="AL127" s="884"/>
      <c r="AM127" s="888">
        <f t="shared" si="86"/>
        <v>0</v>
      </c>
      <c r="AN127" s="889"/>
      <c r="AO127" s="889"/>
      <c r="AP127" s="889"/>
      <c r="AQ127" s="889" t="s">
        <v>133</v>
      </c>
      <c r="AR127" s="889"/>
      <c r="AS127" s="889"/>
      <c r="AT127" s="889"/>
      <c r="AU127" s="889" t="s">
        <v>133</v>
      </c>
      <c r="AV127" s="889"/>
      <c r="AW127" s="889"/>
      <c r="AX127" s="889"/>
      <c r="AY127" s="889" t="s">
        <v>133</v>
      </c>
      <c r="AZ127" s="889"/>
      <c r="BA127" s="889"/>
      <c r="BB127" s="889"/>
      <c r="BC127" s="889" t="s">
        <v>133</v>
      </c>
      <c r="BD127" s="889"/>
      <c r="BE127" s="889"/>
      <c r="BF127" s="889"/>
      <c r="BG127" s="889" t="s">
        <v>133</v>
      </c>
      <c r="BH127" s="889"/>
      <c r="BI127" s="889"/>
      <c r="BJ127" s="889"/>
      <c r="BK127" s="889" t="s">
        <v>133</v>
      </c>
      <c r="BL127" s="889"/>
      <c r="BM127" s="889"/>
      <c r="BN127" s="889"/>
      <c r="BO127" s="889" t="s">
        <v>133</v>
      </c>
      <c r="BP127" s="896"/>
      <c r="BQ127" s="896"/>
      <c r="BR127" s="896"/>
    </row>
    <row r="128" spans="1:71" x14ac:dyDescent="0.25">
      <c r="A128" s="884"/>
      <c r="B128" s="884"/>
      <c r="C128" s="884"/>
      <c r="D128" s="884"/>
      <c r="E128" s="884"/>
      <c r="F128" s="884"/>
      <c r="G128" s="884"/>
      <c r="H128" s="884"/>
      <c r="I128" s="884"/>
      <c r="J128" s="884"/>
      <c r="K128" s="884"/>
      <c r="L128" s="884"/>
      <c r="M128" s="884"/>
      <c r="N128" s="884"/>
      <c r="O128" s="884"/>
      <c r="P128" s="884"/>
      <c r="Q128" s="884"/>
      <c r="R128" s="884"/>
      <c r="S128" s="884"/>
      <c r="T128" s="884"/>
      <c r="U128" s="884"/>
      <c r="V128" s="884"/>
      <c r="W128" s="884"/>
      <c r="X128" s="884"/>
      <c r="Y128" s="884"/>
      <c r="Z128" s="884"/>
      <c r="AA128" s="884"/>
      <c r="AB128" s="884"/>
      <c r="AC128" s="884"/>
      <c r="AD128" s="884"/>
      <c r="AE128" s="884"/>
      <c r="AF128" s="884"/>
      <c r="AG128" s="884"/>
      <c r="AH128" s="884"/>
      <c r="AI128" s="884"/>
      <c r="AJ128" s="884"/>
      <c r="AK128" s="884"/>
      <c r="AL128" s="884"/>
      <c r="AM128" s="888">
        <f t="shared" si="86"/>
        <v>0</v>
      </c>
      <c r="AN128" s="889"/>
      <c r="AO128" s="889"/>
      <c r="AP128" s="889"/>
      <c r="AQ128" s="889" t="s">
        <v>133</v>
      </c>
      <c r="AR128" s="889"/>
      <c r="AS128" s="889"/>
      <c r="AT128" s="889"/>
      <c r="AU128" s="889" t="s">
        <v>133</v>
      </c>
      <c r="AV128" s="889"/>
      <c r="AW128" s="889"/>
      <c r="AX128" s="889"/>
      <c r="AY128" s="889" t="s">
        <v>133</v>
      </c>
      <c r="AZ128" s="889"/>
      <c r="BA128" s="889"/>
      <c r="BB128" s="889"/>
      <c r="BC128" s="889" t="s">
        <v>133</v>
      </c>
      <c r="BD128" s="889"/>
      <c r="BE128" s="889"/>
      <c r="BF128" s="889"/>
      <c r="BG128" s="889" t="s">
        <v>133</v>
      </c>
      <c r="BH128" s="889"/>
      <c r="BI128" s="889"/>
      <c r="BJ128" s="889"/>
      <c r="BK128" s="889" t="s">
        <v>133</v>
      </c>
      <c r="BL128" s="889"/>
      <c r="BM128" s="889"/>
      <c r="BN128" s="889"/>
      <c r="BO128" s="889" t="s">
        <v>133</v>
      </c>
      <c r="BP128" s="896"/>
      <c r="BQ128" s="896"/>
      <c r="BR128" s="896"/>
    </row>
    <row r="129" spans="1:70" x14ac:dyDescent="0.25">
      <c r="A129" s="884"/>
      <c r="B129" s="884"/>
      <c r="C129" s="884"/>
      <c r="D129" s="884"/>
      <c r="E129" s="884"/>
      <c r="F129" s="884"/>
      <c r="G129" s="884"/>
      <c r="H129" s="884"/>
      <c r="I129" s="884"/>
      <c r="J129" s="884"/>
      <c r="K129" s="884"/>
      <c r="L129" s="884"/>
      <c r="M129" s="884"/>
      <c r="N129" s="884"/>
      <c r="O129" s="884"/>
      <c r="P129" s="884"/>
      <c r="Q129" s="884"/>
      <c r="R129" s="884"/>
      <c r="S129" s="884"/>
      <c r="T129" s="884"/>
      <c r="U129" s="884"/>
      <c r="V129" s="884"/>
      <c r="W129" s="884"/>
      <c r="X129" s="884"/>
      <c r="Y129" s="884"/>
      <c r="Z129" s="884"/>
      <c r="AA129" s="884"/>
      <c r="AB129" s="884"/>
      <c r="AC129" s="884"/>
      <c r="AD129" s="884"/>
      <c r="AE129" s="884"/>
      <c r="AF129" s="884"/>
      <c r="AG129" s="884"/>
      <c r="AH129" s="884"/>
      <c r="AI129" s="884"/>
      <c r="AJ129" s="884"/>
      <c r="AK129" s="884"/>
      <c r="AL129" s="884"/>
      <c r="AM129" s="888">
        <f t="shared" si="86"/>
        <v>0</v>
      </c>
      <c r="AN129" s="889"/>
      <c r="AO129" s="889"/>
      <c r="AP129" s="889"/>
      <c r="AQ129" s="889" t="s">
        <v>133</v>
      </c>
      <c r="AR129" s="889"/>
      <c r="AS129" s="889"/>
      <c r="AT129" s="889"/>
      <c r="AU129" s="889" t="s">
        <v>133</v>
      </c>
      <c r="AV129" s="889"/>
      <c r="AW129" s="889"/>
      <c r="AX129" s="889"/>
      <c r="AY129" s="889" t="s">
        <v>133</v>
      </c>
      <c r="AZ129" s="889"/>
      <c r="BA129" s="889"/>
      <c r="BB129" s="889"/>
      <c r="BC129" s="889" t="s">
        <v>133</v>
      </c>
      <c r="BD129" s="889"/>
      <c r="BE129" s="889"/>
      <c r="BF129" s="889"/>
      <c r="BG129" s="889" t="s">
        <v>133</v>
      </c>
      <c r="BH129" s="889"/>
      <c r="BI129" s="889"/>
      <c r="BJ129" s="889"/>
      <c r="BK129" s="889" t="s">
        <v>133</v>
      </c>
      <c r="BL129" s="889"/>
      <c r="BM129" s="889"/>
      <c r="BN129" s="889"/>
      <c r="BO129" s="889" t="s">
        <v>133</v>
      </c>
      <c r="BP129" s="896"/>
      <c r="BQ129" s="896"/>
      <c r="BR129" s="896"/>
    </row>
    <row r="130" spans="1:70" x14ac:dyDescent="0.25">
      <c r="A130" s="884"/>
      <c r="B130" s="884"/>
      <c r="C130" s="884"/>
      <c r="D130" s="884"/>
      <c r="E130" s="884"/>
      <c r="F130" s="884"/>
      <c r="G130" s="884"/>
      <c r="H130" s="884"/>
      <c r="I130" s="884"/>
      <c r="J130" s="884"/>
      <c r="K130" s="884"/>
      <c r="L130" s="884"/>
      <c r="M130" s="884"/>
      <c r="N130" s="884"/>
      <c r="O130" s="884"/>
      <c r="P130" s="884"/>
      <c r="Q130" s="884"/>
      <c r="R130" s="884"/>
      <c r="S130" s="884"/>
      <c r="T130" s="884"/>
      <c r="U130" s="884"/>
      <c r="V130" s="884"/>
      <c r="W130" s="884"/>
      <c r="X130" s="884"/>
      <c r="Y130" s="884"/>
      <c r="Z130" s="884"/>
      <c r="AA130" s="884"/>
      <c r="AB130" s="884"/>
      <c r="AC130" s="884"/>
      <c r="AD130" s="884"/>
      <c r="AE130" s="884"/>
      <c r="AF130" s="884"/>
      <c r="AG130" s="884"/>
      <c r="AH130" s="884"/>
      <c r="AI130" s="884"/>
      <c r="AJ130" s="884"/>
      <c r="AK130" s="884"/>
      <c r="AL130" s="884"/>
      <c r="AM130" s="888">
        <f t="shared" si="86"/>
        <v>0</v>
      </c>
      <c r="AN130" s="889"/>
      <c r="AO130" s="889"/>
      <c r="AP130" s="889"/>
      <c r="AQ130" s="889" t="s">
        <v>133</v>
      </c>
      <c r="AR130" s="889"/>
      <c r="AS130" s="889"/>
      <c r="AT130" s="889"/>
      <c r="AU130" s="889" t="s">
        <v>133</v>
      </c>
      <c r="AV130" s="889"/>
      <c r="AW130" s="889"/>
      <c r="AX130" s="889"/>
      <c r="AY130" s="889" t="s">
        <v>133</v>
      </c>
      <c r="AZ130" s="889"/>
      <c r="BA130" s="889"/>
      <c r="BB130" s="889"/>
      <c r="BC130" s="889" t="s">
        <v>133</v>
      </c>
      <c r="BD130" s="889"/>
      <c r="BE130" s="889"/>
      <c r="BF130" s="889"/>
      <c r="BG130" s="889" t="s">
        <v>133</v>
      </c>
      <c r="BH130" s="889"/>
      <c r="BI130" s="889"/>
      <c r="BJ130" s="889"/>
      <c r="BK130" s="889" t="s">
        <v>133</v>
      </c>
      <c r="BL130" s="889"/>
      <c r="BM130" s="889"/>
      <c r="BN130" s="889"/>
      <c r="BO130" s="889" t="s">
        <v>133</v>
      </c>
      <c r="BP130" s="896"/>
      <c r="BQ130" s="896"/>
      <c r="BR130" s="896"/>
    </row>
    <row r="131" spans="1:70" x14ac:dyDescent="0.25">
      <c r="A131" s="884"/>
      <c r="B131" s="884"/>
      <c r="C131" s="884"/>
      <c r="D131" s="884"/>
      <c r="E131" s="884"/>
      <c r="F131" s="884"/>
      <c r="G131" s="884"/>
      <c r="H131" s="884"/>
      <c r="I131" s="884"/>
      <c r="J131" s="884"/>
      <c r="K131" s="884"/>
      <c r="L131" s="884"/>
      <c r="M131" s="884"/>
      <c r="N131" s="884"/>
      <c r="O131" s="884"/>
      <c r="P131" s="884"/>
      <c r="Q131" s="884"/>
      <c r="R131" s="884"/>
      <c r="S131" s="884"/>
      <c r="T131" s="884"/>
      <c r="U131" s="884"/>
      <c r="V131" s="884"/>
      <c r="W131" s="884"/>
      <c r="X131" s="884"/>
      <c r="Y131" s="884"/>
      <c r="Z131" s="884"/>
      <c r="AA131" s="884"/>
      <c r="AB131" s="884"/>
      <c r="AC131" s="884"/>
      <c r="AD131" s="884"/>
      <c r="AE131" s="884"/>
      <c r="AF131" s="884"/>
      <c r="AG131" s="884"/>
      <c r="AH131" s="884"/>
      <c r="AI131" s="884"/>
      <c r="AJ131" s="884"/>
      <c r="AK131" s="884"/>
      <c r="AL131" s="884"/>
      <c r="AM131" s="888">
        <f t="shared" ref="AM131:AM141" si="87">IF($BS131="sf",G131/1000,G131)</f>
        <v>0</v>
      </c>
      <c r="AN131" s="889"/>
      <c r="AO131" s="889"/>
      <c r="AP131" s="889"/>
      <c r="AQ131" s="889" t="s">
        <v>133</v>
      </c>
      <c r="AR131" s="889"/>
      <c r="AS131" s="889"/>
      <c r="AT131" s="889"/>
      <c r="AU131" s="889" t="s">
        <v>133</v>
      </c>
      <c r="AV131" s="889"/>
      <c r="AW131" s="889"/>
      <c r="AX131" s="889"/>
      <c r="AY131" s="889" t="s">
        <v>133</v>
      </c>
      <c r="AZ131" s="889"/>
      <c r="BA131" s="889"/>
      <c r="BB131" s="889"/>
      <c r="BC131" s="889" t="s">
        <v>133</v>
      </c>
      <c r="BD131" s="889"/>
      <c r="BE131" s="889"/>
      <c r="BF131" s="889"/>
      <c r="BG131" s="889" t="s">
        <v>133</v>
      </c>
      <c r="BH131" s="889"/>
      <c r="BI131" s="889"/>
      <c r="BJ131" s="889"/>
      <c r="BK131" s="889" t="s">
        <v>133</v>
      </c>
      <c r="BL131" s="889"/>
      <c r="BM131" s="889"/>
      <c r="BN131" s="889"/>
      <c r="BO131" s="889" t="s">
        <v>133</v>
      </c>
      <c r="BP131" s="896"/>
      <c r="BQ131" s="896"/>
      <c r="BR131" s="896"/>
    </row>
    <row r="132" spans="1:70" x14ac:dyDescent="0.25">
      <c r="A132" s="884"/>
      <c r="B132" s="884"/>
      <c r="C132" s="884"/>
      <c r="D132" s="884"/>
      <c r="E132" s="884"/>
      <c r="F132" s="884"/>
      <c r="G132" s="884"/>
      <c r="H132" s="884"/>
      <c r="I132" s="884"/>
      <c r="J132" s="884"/>
      <c r="K132" s="884"/>
      <c r="L132" s="884"/>
      <c r="M132" s="884"/>
      <c r="N132" s="884"/>
      <c r="O132" s="884"/>
      <c r="P132" s="884"/>
      <c r="Q132" s="884"/>
      <c r="R132" s="884"/>
      <c r="S132" s="884"/>
      <c r="T132" s="884"/>
      <c r="U132" s="884"/>
      <c r="V132" s="884"/>
      <c r="W132" s="884"/>
      <c r="X132" s="884"/>
      <c r="Y132" s="884"/>
      <c r="Z132" s="884"/>
      <c r="AA132" s="884"/>
      <c r="AB132" s="884"/>
      <c r="AC132" s="884"/>
      <c r="AD132" s="884"/>
      <c r="AE132" s="884"/>
      <c r="AF132" s="884"/>
      <c r="AG132" s="884"/>
      <c r="AH132" s="884"/>
      <c r="AI132" s="884"/>
      <c r="AJ132" s="884"/>
      <c r="AK132" s="884"/>
      <c r="AL132" s="884"/>
      <c r="AM132" s="888">
        <f t="shared" si="87"/>
        <v>0</v>
      </c>
      <c r="AN132" s="889"/>
      <c r="AO132" s="889"/>
      <c r="AP132" s="889"/>
      <c r="AQ132" s="889" t="s">
        <v>133</v>
      </c>
      <c r="AR132" s="889"/>
      <c r="AS132" s="889"/>
      <c r="AT132" s="889"/>
      <c r="AU132" s="889" t="s">
        <v>133</v>
      </c>
      <c r="AV132" s="889"/>
      <c r="AW132" s="889"/>
      <c r="AX132" s="889"/>
      <c r="AY132" s="889" t="s">
        <v>133</v>
      </c>
      <c r="AZ132" s="889"/>
      <c r="BA132" s="889"/>
      <c r="BB132" s="889"/>
      <c r="BC132" s="889" t="s">
        <v>133</v>
      </c>
      <c r="BD132" s="889"/>
      <c r="BE132" s="889"/>
      <c r="BF132" s="889"/>
      <c r="BG132" s="889" t="s">
        <v>133</v>
      </c>
      <c r="BH132" s="889"/>
      <c r="BI132" s="889"/>
      <c r="BJ132" s="889"/>
      <c r="BK132" s="889" t="s">
        <v>133</v>
      </c>
      <c r="BL132" s="889"/>
      <c r="BM132" s="889"/>
      <c r="BN132" s="889"/>
      <c r="BO132" s="889" t="s">
        <v>133</v>
      </c>
      <c r="BP132" s="896"/>
      <c r="BQ132" s="896"/>
      <c r="BR132" s="896"/>
    </row>
    <row r="133" spans="1:70" x14ac:dyDescent="0.25">
      <c r="A133" s="884"/>
      <c r="B133" s="884"/>
      <c r="C133" s="884"/>
      <c r="D133" s="884"/>
      <c r="E133" s="884"/>
      <c r="F133" s="884"/>
      <c r="G133" s="884"/>
      <c r="H133" s="884"/>
      <c r="I133" s="884"/>
      <c r="J133" s="884"/>
      <c r="K133" s="884"/>
      <c r="L133" s="884"/>
      <c r="M133" s="884"/>
      <c r="N133" s="884"/>
      <c r="O133" s="884"/>
      <c r="P133" s="884"/>
      <c r="Q133" s="884"/>
      <c r="R133" s="884"/>
      <c r="S133" s="884"/>
      <c r="T133" s="884"/>
      <c r="U133" s="884"/>
      <c r="V133" s="884"/>
      <c r="W133" s="884"/>
      <c r="X133" s="884"/>
      <c r="Y133" s="884"/>
      <c r="Z133" s="884"/>
      <c r="AA133" s="884"/>
      <c r="AB133" s="884"/>
      <c r="AC133" s="884"/>
      <c r="AD133" s="884"/>
      <c r="AE133" s="884"/>
      <c r="AF133" s="884"/>
      <c r="AG133" s="884"/>
      <c r="AH133" s="884"/>
      <c r="AI133" s="884"/>
      <c r="AJ133" s="884"/>
      <c r="AK133" s="884"/>
      <c r="AL133" s="884"/>
      <c r="AM133" s="888">
        <f t="shared" si="87"/>
        <v>0</v>
      </c>
      <c r="AN133" s="889"/>
      <c r="AO133" s="889"/>
      <c r="AP133" s="889"/>
      <c r="AQ133" s="889" t="s">
        <v>133</v>
      </c>
      <c r="AR133" s="889"/>
      <c r="AS133" s="889"/>
      <c r="AT133" s="889"/>
      <c r="AU133" s="889" t="s">
        <v>133</v>
      </c>
      <c r="AV133" s="889"/>
      <c r="AW133" s="889"/>
      <c r="AX133" s="889"/>
      <c r="AY133" s="889" t="s">
        <v>133</v>
      </c>
      <c r="AZ133" s="889"/>
      <c r="BA133" s="889"/>
      <c r="BB133" s="889"/>
      <c r="BC133" s="889" t="s">
        <v>133</v>
      </c>
      <c r="BD133" s="889"/>
      <c r="BE133" s="889"/>
      <c r="BF133" s="889"/>
      <c r="BG133" s="889" t="s">
        <v>133</v>
      </c>
      <c r="BH133" s="889"/>
      <c r="BI133" s="889"/>
      <c r="BJ133" s="889"/>
      <c r="BK133" s="889" t="s">
        <v>133</v>
      </c>
      <c r="BL133" s="889"/>
      <c r="BM133" s="889"/>
      <c r="BN133" s="889"/>
      <c r="BO133" s="889" t="s">
        <v>133</v>
      </c>
      <c r="BP133" s="896"/>
      <c r="BQ133" s="896"/>
      <c r="BR133" s="896"/>
    </row>
    <row r="134" spans="1:70" x14ac:dyDescent="0.25">
      <c r="A134" s="884"/>
      <c r="B134" s="884"/>
      <c r="C134" s="884"/>
      <c r="D134" s="884"/>
      <c r="E134" s="884"/>
      <c r="F134" s="884"/>
      <c r="G134" s="884"/>
      <c r="H134" s="884"/>
      <c r="I134" s="884"/>
      <c r="J134" s="884"/>
      <c r="K134" s="884"/>
      <c r="L134" s="884"/>
      <c r="M134" s="884"/>
      <c r="N134" s="884"/>
      <c r="O134" s="884"/>
      <c r="P134" s="884"/>
      <c r="Q134" s="884"/>
      <c r="R134" s="884"/>
      <c r="S134" s="884"/>
      <c r="T134" s="884"/>
      <c r="U134" s="884"/>
      <c r="V134" s="884"/>
      <c r="W134" s="884"/>
      <c r="X134" s="884"/>
      <c r="Y134" s="884"/>
      <c r="Z134" s="884"/>
      <c r="AA134" s="884"/>
      <c r="AB134" s="884"/>
      <c r="AC134" s="884"/>
      <c r="AD134" s="884"/>
      <c r="AE134" s="884"/>
      <c r="AF134" s="884"/>
      <c r="AG134" s="884"/>
      <c r="AH134" s="884"/>
      <c r="AI134" s="884"/>
      <c r="AJ134" s="884"/>
      <c r="AK134" s="884"/>
      <c r="AL134" s="884"/>
      <c r="AM134" s="888">
        <f t="shared" si="87"/>
        <v>0</v>
      </c>
      <c r="AN134" s="889"/>
      <c r="AO134" s="889"/>
      <c r="AP134" s="889"/>
      <c r="AQ134" s="889" t="s">
        <v>133</v>
      </c>
      <c r="AR134" s="889"/>
      <c r="AS134" s="889"/>
      <c r="AT134" s="889"/>
      <c r="AU134" s="889" t="s">
        <v>133</v>
      </c>
      <c r="AV134" s="889"/>
      <c r="AW134" s="889"/>
      <c r="AX134" s="889"/>
      <c r="AY134" s="889" t="s">
        <v>133</v>
      </c>
      <c r="AZ134" s="889"/>
      <c r="BA134" s="889"/>
      <c r="BB134" s="889"/>
      <c r="BC134" s="889" t="s">
        <v>133</v>
      </c>
      <c r="BD134" s="889"/>
      <c r="BE134" s="889"/>
      <c r="BF134" s="889"/>
      <c r="BG134" s="889" t="s">
        <v>133</v>
      </c>
      <c r="BH134" s="889"/>
      <c r="BI134" s="889"/>
      <c r="BJ134" s="889"/>
      <c r="BK134" s="889" t="s">
        <v>133</v>
      </c>
      <c r="BL134" s="889"/>
      <c r="BM134" s="889"/>
      <c r="BN134" s="889"/>
      <c r="BO134" s="889" t="s">
        <v>133</v>
      </c>
      <c r="BP134" s="896"/>
      <c r="BQ134" s="896"/>
      <c r="BR134" s="896"/>
    </row>
    <row r="135" spans="1:70" x14ac:dyDescent="0.25">
      <c r="A135" s="884"/>
      <c r="B135" s="884"/>
      <c r="C135" s="884"/>
      <c r="D135" s="884"/>
      <c r="E135" s="884"/>
      <c r="F135" s="884"/>
      <c r="G135" s="884"/>
      <c r="H135" s="884"/>
      <c r="I135" s="884"/>
      <c r="J135" s="884"/>
      <c r="K135" s="884"/>
      <c r="L135" s="884"/>
      <c r="M135" s="884"/>
      <c r="N135" s="884"/>
      <c r="O135" s="884"/>
      <c r="P135" s="884"/>
      <c r="Q135" s="884"/>
      <c r="R135" s="884"/>
      <c r="S135" s="884"/>
      <c r="T135" s="884"/>
      <c r="U135" s="884"/>
      <c r="V135" s="884"/>
      <c r="W135" s="884"/>
      <c r="X135" s="884"/>
      <c r="Y135" s="884"/>
      <c r="Z135" s="884"/>
      <c r="AA135" s="884"/>
      <c r="AB135" s="884"/>
      <c r="AC135" s="884"/>
      <c r="AD135" s="884"/>
      <c r="AE135" s="884"/>
      <c r="AF135" s="884"/>
      <c r="AG135" s="884"/>
      <c r="AH135" s="884"/>
      <c r="AI135" s="884"/>
      <c r="AJ135" s="884"/>
      <c r="AK135" s="884"/>
      <c r="AL135" s="884"/>
      <c r="AM135" s="888">
        <f t="shared" si="87"/>
        <v>0</v>
      </c>
      <c r="AN135" s="889"/>
      <c r="AO135" s="889"/>
      <c r="AP135" s="889"/>
      <c r="AQ135" s="889" t="s">
        <v>133</v>
      </c>
      <c r="AR135" s="889"/>
      <c r="AS135" s="889"/>
      <c r="AT135" s="889"/>
      <c r="AU135" s="889" t="s">
        <v>133</v>
      </c>
      <c r="AV135" s="889"/>
      <c r="AW135" s="889"/>
      <c r="AX135" s="889"/>
      <c r="AY135" s="889" t="s">
        <v>133</v>
      </c>
      <c r="AZ135" s="889"/>
      <c r="BA135" s="889"/>
      <c r="BB135" s="889"/>
      <c r="BC135" s="889" t="s">
        <v>133</v>
      </c>
      <c r="BD135" s="889"/>
      <c r="BE135" s="889"/>
      <c r="BF135" s="889"/>
      <c r="BG135" s="889" t="s">
        <v>133</v>
      </c>
      <c r="BH135" s="889"/>
      <c r="BI135" s="889"/>
      <c r="BJ135" s="889"/>
      <c r="BK135" s="889" t="s">
        <v>133</v>
      </c>
      <c r="BL135" s="889"/>
      <c r="BM135" s="889"/>
      <c r="BN135" s="889"/>
      <c r="BO135" s="889" t="s">
        <v>133</v>
      </c>
      <c r="BP135" s="896"/>
      <c r="BQ135" s="896"/>
      <c r="BR135" s="896"/>
    </row>
    <row r="136" spans="1:70" x14ac:dyDescent="0.25">
      <c r="A136" s="884"/>
      <c r="B136" s="884"/>
      <c r="C136" s="884"/>
      <c r="D136" s="884"/>
      <c r="E136" s="884"/>
      <c r="F136" s="884"/>
      <c r="G136" s="884"/>
      <c r="H136" s="884"/>
      <c r="I136" s="884"/>
      <c r="J136" s="884"/>
      <c r="K136" s="884"/>
      <c r="L136" s="884"/>
      <c r="M136" s="884"/>
      <c r="N136" s="884"/>
      <c r="O136" s="884"/>
      <c r="P136" s="884"/>
      <c r="Q136" s="884"/>
      <c r="R136" s="884"/>
      <c r="S136" s="884"/>
      <c r="T136" s="884"/>
      <c r="U136" s="884"/>
      <c r="V136" s="884"/>
      <c r="W136" s="884"/>
      <c r="X136" s="884"/>
      <c r="Y136" s="884"/>
      <c r="Z136" s="884"/>
      <c r="AA136" s="884"/>
      <c r="AB136" s="884"/>
      <c r="AC136" s="884"/>
      <c r="AD136" s="884"/>
      <c r="AE136" s="884"/>
      <c r="AF136" s="884"/>
      <c r="AG136" s="884"/>
      <c r="AH136" s="884"/>
      <c r="AI136" s="884"/>
      <c r="AJ136" s="884"/>
      <c r="AK136" s="884"/>
      <c r="AL136" s="884"/>
      <c r="AM136" s="888">
        <f t="shared" si="87"/>
        <v>0</v>
      </c>
      <c r="AN136" s="889"/>
      <c r="AO136" s="889"/>
      <c r="AP136" s="889"/>
      <c r="AQ136" s="889" t="s">
        <v>133</v>
      </c>
      <c r="AR136" s="889"/>
      <c r="AS136" s="889"/>
      <c r="AT136" s="889"/>
      <c r="AU136" s="889" t="s">
        <v>133</v>
      </c>
      <c r="AV136" s="889"/>
      <c r="AW136" s="889"/>
      <c r="AX136" s="889"/>
      <c r="AY136" s="889" t="s">
        <v>133</v>
      </c>
      <c r="AZ136" s="889"/>
      <c r="BA136" s="889"/>
      <c r="BB136" s="889"/>
      <c r="BC136" s="889" t="s">
        <v>133</v>
      </c>
      <c r="BD136" s="889"/>
      <c r="BE136" s="889"/>
      <c r="BF136" s="889"/>
      <c r="BG136" s="889" t="s">
        <v>133</v>
      </c>
      <c r="BH136" s="889"/>
      <c r="BI136" s="889"/>
      <c r="BJ136" s="889"/>
      <c r="BK136" s="889" t="s">
        <v>133</v>
      </c>
      <c r="BL136" s="889"/>
      <c r="BM136" s="889"/>
      <c r="BN136" s="889"/>
      <c r="BO136" s="889" t="s">
        <v>133</v>
      </c>
      <c r="BP136" s="896"/>
      <c r="BQ136" s="896"/>
      <c r="BR136" s="896"/>
    </row>
    <row r="137" spans="1:70" x14ac:dyDescent="0.25">
      <c r="A137" s="884"/>
      <c r="B137" s="884"/>
      <c r="C137" s="884"/>
      <c r="D137" s="884"/>
      <c r="E137" s="884"/>
      <c r="F137" s="884"/>
      <c r="G137" s="884"/>
      <c r="H137" s="884"/>
      <c r="I137" s="884"/>
      <c r="J137" s="884"/>
      <c r="K137" s="884"/>
      <c r="L137" s="884"/>
      <c r="M137" s="884"/>
      <c r="N137" s="884"/>
      <c r="O137" s="884"/>
      <c r="P137" s="884"/>
      <c r="Q137" s="884"/>
      <c r="R137" s="884"/>
      <c r="S137" s="884"/>
      <c r="T137" s="884"/>
      <c r="U137" s="884"/>
      <c r="V137" s="884"/>
      <c r="W137" s="884"/>
      <c r="X137" s="884"/>
      <c r="Y137" s="884"/>
      <c r="Z137" s="884"/>
      <c r="AA137" s="884"/>
      <c r="AB137" s="884"/>
      <c r="AC137" s="884"/>
      <c r="AD137" s="884"/>
      <c r="AE137" s="884"/>
      <c r="AF137" s="884"/>
      <c r="AG137" s="884"/>
      <c r="AH137" s="884"/>
      <c r="AI137" s="884"/>
      <c r="AJ137" s="884"/>
      <c r="AK137" s="884"/>
      <c r="AL137" s="884"/>
      <c r="AM137" s="888">
        <f t="shared" si="87"/>
        <v>0</v>
      </c>
      <c r="AN137" s="889"/>
      <c r="AO137" s="889"/>
      <c r="AP137" s="889"/>
      <c r="AQ137" s="889" t="s">
        <v>133</v>
      </c>
      <c r="AR137" s="889"/>
      <c r="AS137" s="889"/>
      <c r="AT137" s="889"/>
      <c r="AU137" s="889" t="s">
        <v>133</v>
      </c>
      <c r="AV137" s="889"/>
      <c r="AW137" s="889"/>
      <c r="AX137" s="889"/>
      <c r="AY137" s="889" t="s">
        <v>133</v>
      </c>
      <c r="AZ137" s="889"/>
      <c r="BA137" s="889"/>
      <c r="BB137" s="889"/>
      <c r="BC137" s="889" t="s">
        <v>133</v>
      </c>
      <c r="BD137" s="889"/>
      <c r="BE137" s="889"/>
      <c r="BF137" s="889"/>
      <c r="BG137" s="889" t="s">
        <v>133</v>
      </c>
      <c r="BH137" s="889"/>
      <c r="BI137" s="889"/>
      <c r="BJ137" s="889"/>
      <c r="BK137" s="889" t="s">
        <v>133</v>
      </c>
      <c r="BL137" s="889"/>
      <c r="BM137" s="889"/>
      <c r="BN137" s="889"/>
      <c r="BO137" s="889" t="s">
        <v>133</v>
      </c>
      <c r="BP137" s="896"/>
      <c r="BQ137" s="896"/>
      <c r="BR137" s="896"/>
    </row>
    <row r="138" spans="1:70" x14ac:dyDescent="0.25">
      <c r="A138" s="884"/>
      <c r="B138" s="884"/>
      <c r="C138" s="884"/>
      <c r="D138" s="884"/>
      <c r="E138" s="884"/>
      <c r="F138" s="884"/>
      <c r="G138" s="884"/>
      <c r="H138" s="884"/>
      <c r="I138" s="884"/>
      <c r="J138" s="884"/>
      <c r="K138" s="884"/>
      <c r="L138" s="884"/>
      <c r="M138" s="884"/>
      <c r="N138" s="884"/>
      <c r="O138" s="884"/>
      <c r="P138" s="884"/>
      <c r="Q138" s="884"/>
      <c r="R138" s="884"/>
      <c r="S138" s="884"/>
      <c r="T138" s="884"/>
      <c r="U138" s="884"/>
      <c r="V138" s="884"/>
      <c r="W138" s="884"/>
      <c r="X138" s="884"/>
      <c r="Y138" s="884"/>
      <c r="Z138" s="884"/>
      <c r="AA138" s="884"/>
      <c r="AB138" s="884"/>
      <c r="AC138" s="884"/>
      <c r="AD138" s="884"/>
      <c r="AE138" s="884"/>
      <c r="AF138" s="884"/>
      <c r="AG138" s="884"/>
      <c r="AH138" s="884"/>
      <c r="AI138" s="884"/>
      <c r="AJ138" s="884"/>
      <c r="AK138" s="884"/>
      <c r="AL138" s="884"/>
      <c r="AM138" s="888">
        <f t="shared" si="87"/>
        <v>0</v>
      </c>
      <c r="AN138" s="889"/>
      <c r="AO138" s="889"/>
      <c r="AP138" s="889"/>
      <c r="AQ138" s="889" t="s">
        <v>133</v>
      </c>
      <c r="AR138" s="889"/>
      <c r="AS138" s="889"/>
      <c r="AT138" s="889"/>
      <c r="AU138" s="889" t="s">
        <v>133</v>
      </c>
      <c r="AV138" s="889"/>
      <c r="AW138" s="889"/>
      <c r="AX138" s="889"/>
      <c r="AY138" s="889" t="s">
        <v>133</v>
      </c>
      <c r="AZ138" s="889"/>
      <c r="BA138" s="889"/>
      <c r="BB138" s="889"/>
      <c r="BC138" s="889" t="s">
        <v>133</v>
      </c>
      <c r="BD138" s="889"/>
      <c r="BE138" s="889"/>
      <c r="BF138" s="889"/>
      <c r="BG138" s="889" t="s">
        <v>133</v>
      </c>
      <c r="BH138" s="889"/>
      <c r="BI138" s="889"/>
      <c r="BJ138" s="889"/>
      <c r="BK138" s="889" t="s">
        <v>133</v>
      </c>
      <c r="BL138" s="889"/>
      <c r="BM138" s="889"/>
      <c r="BN138" s="889"/>
      <c r="BO138" s="889" t="s">
        <v>133</v>
      </c>
      <c r="BP138" s="896"/>
      <c r="BQ138" s="896"/>
      <c r="BR138" s="896"/>
    </row>
    <row r="139" spans="1:70" x14ac:dyDescent="0.25">
      <c r="A139" s="884"/>
      <c r="B139" s="884"/>
      <c r="C139" s="884"/>
      <c r="D139" s="884"/>
      <c r="E139" s="884"/>
      <c r="F139" s="884"/>
      <c r="G139" s="884"/>
      <c r="H139" s="884"/>
      <c r="I139" s="884"/>
      <c r="J139" s="884"/>
      <c r="K139" s="884"/>
      <c r="L139" s="884"/>
      <c r="M139" s="884"/>
      <c r="N139" s="884"/>
      <c r="O139" s="884"/>
      <c r="P139" s="884"/>
      <c r="Q139" s="884"/>
      <c r="R139" s="884"/>
      <c r="S139" s="884"/>
      <c r="T139" s="884"/>
      <c r="U139" s="884"/>
      <c r="V139" s="884"/>
      <c r="W139" s="884"/>
      <c r="X139" s="884"/>
      <c r="Y139" s="884"/>
      <c r="Z139" s="884"/>
      <c r="AA139" s="884"/>
      <c r="AB139" s="884"/>
      <c r="AC139" s="884"/>
      <c r="AD139" s="884"/>
      <c r="AE139" s="884"/>
      <c r="AF139" s="884"/>
      <c r="AG139" s="884"/>
      <c r="AH139" s="884"/>
      <c r="AI139" s="884"/>
      <c r="AJ139" s="884"/>
      <c r="AK139" s="884"/>
      <c r="AL139" s="884"/>
      <c r="AM139" s="888">
        <f t="shared" si="87"/>
        <v>0</v>
      </c>
      <c r="AN139" s="889"/>
      <c r="AO139" s="889"/>
      <c r="AP139" s="889"/>
      <c r="AQ139" s="889" t="s">
        <v>133</v>
      </c>
      <c r="AR139" s="889"/>
      <c r="AS139" s="889"/>
      <c r="AT139" s="889"/>
      <c r="AU139" s="889" t="s">
        <v>133</v>
      </c>
      <c r="AV139" s="889"/>
      <c r="AW139" s="889"/>
      <c r="AX139" s="889"/>
      <c r="AY139" s="889" t="s">
        <v>133</v>
      </c>
      <c r="AZ139" s="889"/>
      <c r="BA139" s="889"/>
      <c r="BB139" s="889"/>
      <c r="BC139" s="889" t="s">
        <v>133</v>
      </c>
      <c r="BD139" s="889"/>
      <c r="BE139" s="889"/>
      <c r="BF139" s="889"/>
      <c r="BG139" s="889" t="s">
        <v>133</v>
      </c>
      <c r="BH139" s="889"/>
      <c r="BI139" s="889"/>
      <c r="BJ139" s="889"/>
      <c r="BK139" s="889" t="s">
        <v>133</v>
      </c>
      <c r="BL139" s="889"/>
      <c r="BM139" s="889"/>
      <c r="BN139" s="889"/>
      <c r="BO139" s="889" t="s">
        <v>133</v>
      </c>
      <c r="BP139" s="896"/>
      <c r="BQ139" s="896"/>
      <c r="BR139" s="896"/>
    </row>
    <row r="140" spans="1:70" x14ac:dyDescent="0.25">
      <c r="A140" s="884"/>
      <c r="B140" s="884"/>
      <c r="C140" s="884"/>
      <c r="D140" s="884"/>
      <c r="E140" s="884"/>
      <c r="F140" s="884"/>
      <c r="G140" s="884"/>
      <c r="H140" s="884"/>
      <c r="I140" s="884"/>
      <c r="J140" s="884"/>
      <c r="K140" s="884"/>
      <c r="L140" s="884"/>
      <c r="M140" s="884"/>
      <c r="N140" s="884"/>
      <c r="O140" s="884"/>
      <c r="P140" s="884"/>
      <c r="Q140" s="884"/>
      <c r="R140" s="884"/>
      <c r="S140" s="884"/>
      <c r="T140" s="884"/>
      <c r="U140" s="884"/>
      <c r="V140" s="884"/>
      <c r="W140" s="884"/>
      <c r="X140" s="884"/>
      <c r="Y140" s="884"/>
      <c r="Z140" s="884"/>
      <c r="AA140" s="884"/>
      <c r="AB140" s="884"/>
      <c r="AC140" s="884"/>
      <c r="AD140" s="884"/>
      <c r="AE140" s="884"/>
      <c r="AF140" s="884"/>
      <c r="AG140" s="884"/>
      <c r="AH140" s="884"/>
      <c r="AI140" s="884"/>
      <c r="AJ140" s="884"/>
      <c r="AK140" s="884"/>
      <c r="AL140" s="884"/>
      <c r="AM140" s="888">
        <f t="shared" si="87"/>
        <v>0</v>
      </c>
      <c r="AN140" s="889"/>
      <c r="AO140" s="889"/>
      <c r="AP140" s="889"/>
      <c r="AQ140" s="889" t="s">
        <v>133</v>
      </c>
      <c r="AR140" s="889"/>
      <c r="AS140" s="889"/>
      <c r="AT140" s="889"/>
      <c r="AU140" s="889" t="s">
        <v>133</v>
      </c>
      <c r="AV140" s="889"/>
      <c r="AW140" s="889"/>
      <c r="AX140" s="889"/>
      <c r="AY140" s="889" t="s">
        <v>133</v>
      </c>
      <c r="AZ140" s="889"/>
      <c r="BA140" s="889"/>
      <c r="BB140" s="889"/>
      <c r="BC140" s="889" t="s">
        <v>133</v>
      </c>
      <c r="BD140" s="889"/>
      <c r="BE140" s="889"/>
      <c r="BF140" s="889"/>
      <c r="BG140" s="889" t="s">
        <v>133</v>
      </c>
      <c r="BH140" s="889"/>
      <c r="BI140" s="889"/>
      <c r="BJ140" s="889"/>
      <c r="BK140" s="889" t="s">
        <v>133</v>
      </c>
      <c r="BL140" s="889"/>
      <c r="BM140" s="889"/>
      <c r="BN140" s="889"/>
      <c r="BO140" s="889" t="s">
        <v>133</v>
      </c>
      <c r="BP140" s="896"/>
      <c r="BQ140" s="896"/>
      <c r="BR140" s="896"/>
    </row>
    <row r="141" spans="1:70" x14ac:dyDescent="0.25">
      <c r="A141" s="884"/>
      <c r="B141" s="884"/>
      <c r="C141" s="884"/>
      <c r="D141" s="884"/>
      <c r="E141" s="884"/>
      <c r="F141" s="884"/>
      <c r="G141" s="884"/>
      <c r="H141" s="884"/>
      <c r="I141" s="884"/>
      <c r="J141" s="884"/>
      <c r="K141" s="884"/>
      <c r="L141" s="884"/>
      <c r="M141" s="884"/>
      <c r="N141" s="884"/>
      <c r="O141" s="884"/>
      <c r="P141" s="884"/>
      <c r="Q141" s="884"/>
      <c r="R141" s="884"/>
      <c r="S141" s="884"/>
      <c r="T141" s="884"/>
      <c r="U141" s="884"/>
      <c r="V141" s="884"/>
      <c r="W141" s="884"/>
      <c r="X141" s="884"/>
      <c r="Y141" s="884"/>
      <c r="Z141" s="884"/>
      <c r="AA141" s="884"/>
      <c r="AB141" s="884"/>
      <c r="AC141" s="884"/>
      <c r="AD141" s="884"/>
      <c r="AE141" s="884"/>
      <c r="AF141" s="884"/>
      <c r="AG141" s="884"/>
      <c r="AH141" s="884"/>
      <c r="AI141" s="884"/>
      <c r="AJ141" s="884"/>
      <c r="AK141" s="884"/>
      <c r="AL141" s="884"/>
      <c r="AM141" s="888">
        <f t="shared" si="87"/>
        <v>0</v>
      </c>
      <c r="AN141" s="889"/>
      <c r="AO141" s="889"/>
      <c r="AP141" s="889"/>
      <c r="AQ141" s="889" t="s">
        <v>133</v>
      </c>
      <c r="AR141" s="889"/>
      <c r="AS141" s="889"/>
      <c r="AT141" s="889"/>
      <c r="AU141" s="889" t="s">
        <v>133</v>
      </c>
      <c r="AV141" s="889"/>
      <c r="AW141" s="889"/>
      <c r="AX141" s="889"/>
      <c r="AY141" s="889" t="s">
        <v>133</v>
      </c>
      <c r="AZ141" s="889"/>
      <c r="BA141" s="889"/>
      <c r="BB141" s="889"/>
      <c r="BC141" s="889" t="s">
        <v>133</v>
      </c>
      <c r="BD141" s="889"/>
      <c r="BE141" s="889"/>
      <c r="BF141" s="889"/>
      <c r="BG141" s="889" t="s">
        <v>133</v>
      </c>
      <c r="BH141" s="889"/>
      <c r="BI141" s="889"/>
      <c r="BJ141" s="889"/>
      <c r="BK141" s="889" t="s">
        <v>133</v>
      </c>
      <c r="BL141" s="889"/>
      <c r="BM141" s="889"/>
      <c r="BN141" s="889"/>
      <c r="BO141" s="889" t="s">
        <v>133</v>
      </c>
      <c r="BP141" s="896"/>
      <c r="BQ141" s="896"/>
      <c r="BR141" s="89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T118"/>
  <sheetViews>
    <sheetView workbookViewId="0"/>
  </sheetViews>
  <sheetFormatPr defaultColWidth="9" defaultRowHeight="15.75" x14ac:dyDescent="0.25"/>
  <cols>
    <col min="1" max="1" width="18.140625" style="496" bestFit="1" customWidth="1"/>
    <col min="2" max="2" width="37" style="496" bestFit="1" customWidth="1"/>
    <col min="3" max="3" width="11.85546875" style="496" bestFit="1" customWidth="1"/>
    <col min="4" max="4" width="22.85546875" style="496" bestFit="1" customWidth="1"/>
    <col min="5" max="20" width="13.42578125" style="496" customWidth="1"/>
    <col min="21" max="16384" width="9" style="496"/>
  </cols>
  <sheetData>
    <row r="1" spans="1:20" ht="63" x14ac:dyDescent="0.25">
      <c r="A1" s="658" t="s">
        <v>369</v>
      </c>
      <c r="B1" s="658" t="s">
        <v>79</v>
      </c>
      <c r="C1" s="658" t="s">
        <v>80</v>
      </c>
      <c r="D1" s="658" t="s">
        <v>84</v>
      </c>
      <c r="E1" s="658" t="s">
        <v>370</v>
      </c>
      <c r="F1" s="658" t="s">
        <v>371</v>
      </c>
      <c r="G1" s="658" t="s">
        <v>372</v>
      </c>
      <c r="H1" s="658" t="s">
        <v>373</v>
      </c>
      <c r="I1" s="658" t="s">
        <v>374</v>
      </c>
      <c r="J1" s="658" t="s">
        <v>375</v>
      </c>
      <c r="K1" s="658" t="s">
        <v>376</v>
      </c>
      <c r="L1" s="658" t="s">
        <v>377</v>
      </c>
      <c r="M1" s="658" t="s">
        <v>378</v>
      </c>
      <c r="N1" s="658" t="s">
        <v>379</v>
      </c>
      <c r="O1" s="658" t="s">
        <v>380</v>
      </c>
      <c r="P1" s="658" t="s">
        <v>381</v>
      </c>
      <c r="Q1" s="658" t="s">
        <v>382</v>
      </c>
      <c r="R1" s="658" t="s">
        <v>383</v>
      </c>
      <c r="S1" s="658" t="s">
        <v>384</v>
      </c>
      <c r="T1" s="658" t="s">
        <v>385</v>
      </c>
    </row>
    <row r="2" spans="1:20" x14ac:dyDescent="0.25">
      <c r="A2" s="496" t="s">
        <v>131</v>
      </c>
      <c r="B2" s="496" t="s">
        <v>132</v>
      </c>
      <c r="C2" s="496" t="s">
        <v>112</v>
      </c>
      <c r="D2" s="660">
        <v>10080</v>
      </c>
      <c r="E2" s="660">
        <v>9089</v>
      </c>
      <c r="F2" s="660">
        <v>8610</v>
      </c>
      <c r="G2" s="660">
        <v>10811</v>
      </c>
      <c r="H2" s="660">
        <v>9427</v>
      </c>
      <c r="I2" s="660">
        <v>10753</v>
      </c>
      <c r="J2" s="660">
        <v>10394</v>
      </c>
      <c r="K2" s="660">
        <v>10094</v>
      </c>
      <c r="L2" s="660">
        <v>10891</v>
      </c>
      <c r="M2" s="496">
        <v>0.9</v>
      </c>
      <c r="N2" s="496">
        <v>0.85</v>
      </c>
      <c r="O2" s="496">
        <v>1.07</v>
      </c>
      <c r="P2" s="496">
        <v>0.94</v>
      </c>
      <c r="Q2" s="496">
        <v>1.07</v>
      </c>
      <c r="R2" s="496">
        <v>1.03</v>
      </c>
      <c r="S2" s="496">
        <v>1</v>
      </c>
      <c r="T2" s="496">
        <v>1.08</v>
      </c>
    </row>
    <row r="3" spans="1:20" x14ac:dyDescent="0.25">
      <c r="A3" s="496" t="s">
        <v>135</v>
      </c>
      <c r="B3" s="496" t="s">
        <v>136</v>
      </c>
      <c r="C3" s="496" t="s">
        <v>112</v>
      </c>
      <c r="D3" s="660">
        <v>0</v>
      </c>
      <c r="E3" s="660">
        <v>4577</v>
      </c>
      <c r="F3" s="660">
        <v>4335</v>
      </c>
      <c r="G3" s="660">
        <v>5444</v>
      </c>
      <c r="H3" s="660">
        <v>4747</v>
      </c>
      <c r="I3" s="660">
        <v>5415</v>
      </c>
      <c r="J3" s="660">
        <v>5234</v>
      </c>
      <c r="K3" s="660">
        <v>5083</v>
      </c>
      <c r="L3" s="660">
        <v>5484</v>
      </c>
      <c r="M3" s="496" t="s">
        <v>386</v>
      </c>
      <c r="N3" s="496" t="s">
        <v>386</v>
      </c>
      <c r="O3" s="496" t="s">
        <v>386</v>
      </c>
      <c r="P3" s="496" t="s">
        <v>386</v>
      </c>
      <c r="Q3" s="496" t="s">
        <v>386</v>
      </c>
      <c r="R3" s="496" t="s">
        <v>386</v>
      </c>
      <c r="S3" s="496" t="s">
        <v>386</v>
      </c>
      <c r="T3" s="496" t="s">
        <v>386</v>
      </c>
    </row>
    <row r="4" spans="1:20" x14ac:dyDescent="0.25">
      <c r="A4" s="496" t="s">
        <v>137</v>
      </c>
      <c r="B4" s="496" t="s">
        <v>138</v>
      </c>
      <c r="C4" s="496" t="s">
        <v>112</v>
      </c>
      <c r="D4" s="660">
        <v>7021</v>
      </c>
      <c r="E4" s="660">
        <v>3110</v>
      </c>
      <c r="F4" s="660">
        <v>2946</v>
      </c>
      <c r="G4" s="660">
        <v>3699</v>
      </c>
      <c r="H4" s="660">
        <v>3225</v>
      </c>
      <c r="I4" s="660">
        <v>3679</v>
      </c>
      <c r="J4" s="660">
        <v>3556</v>
      </c>
      <c r="K4" s="660">
        <v>3454</v>
      </c>
      <c r="L4" s="660">
        <v>3726</v>
      </c>
      <c r="M4" s="496">
        <v>0.44</v>
      </c>
      <c r="N4" s="496">
        <v>0.42</v>
      </c>
      <c r="O4" s="496">
        <v>0.53</v>
      </c>
      <c r="P4" s="496">
        <v>0.46</v>
      </c>
      <c r="Q4" s="496">
        <v>0.52</v>
      </c>
      <c r="R4" s="496">
        <v>0.51</v>
      </c>
      <c r="S4" s="496">
        <v>0.49</v>
      </c>
      <c r="T4" s="496">
        <v>0.53</v>
      </c>
    </row>
    <row r="5" spans="1:20" x14ac:dyDescent="0.25">
      <c r="A5" s="496" t="s">
        <v>139</v>
      </c>
      <c r="B5" s="496" t="s">
        <v>140</v>
      </c>
      <c r="C5" s="496" t="s">
        <v>112</v>
      </c>
      <c r="D5" s="660">
        <v>3854</v>
      </c>
      <c r="E5" s="660">
        <v>3626</v>
      </c>
      <c r="F5" s="660">
        <v>3435</v>
      </c>
      <c r="G5" s="660">
        <v>4313</v>
      </c>
      <c r="H5" s="660">
        <v>3761</v>
      </c>
      <c r="I5" s="660">
        <v>4290</v>
      </c>
      <c r="J5" s="660">
        <v>4147</v>
      </c>
      <c r="K5" s="660">
        <v>4027</v>
      </c>
      <c r="L5" s="660">
        <v>4345</v>
      </c>
      <c r="M5" s="496">
        <v>0.94</v>
      </c>
      <c r="N5" s="496">
        <v>0.89</v>
      </c>
      <c r="O5" s="496">
        <v>1.1200000000000001</v>
      </c>
      <c r="P5" s="496">
        <v>0.98</v>
      </c>
      <c r="Q5" s="496">
        <v>1.1100000000000001</v>
      </c>
      <c r="R5" s="496">
        <v>1.08</v>
      </c>
      <c r="S5" s="496">
        <v>1.05</v>
      </c>
      <c r="T5" s="496">
        <v>1.1299999999999999</v>
      </c>
    </row>
    <row r="6" spans="1:20" x14ac:dyDescent="0.25">
      <c r="A6" s="496" t="s">
        <v>141</v>
      </c>
      <c r="B6" s="496" t="s">
        <v>142</v>
      </c>
      <c r="C6" s="496" t="s">
        <v>112</v>
      </c>
      <c r="D6" s="660">
        <v>5002</v>
      </c>
      <c r="E6" s="660">
        <v>1606</v>
      </c>
      <c r="F6" s="660">
        <v>1521</v>
      </c>
      <c r="G6" s="660">
        <v>1910</v>
      </c>
      <c r="H6" s="660">
        <v>1665</v>
      </c>
      <c r="I6" s="660">
        <v>1900</v>
      </c>
      <c r="J6" s="660">
        <v>1836</v>
      </c>
      <c r="K6" s="660">
        <v>1783</v>
      </c>
      <c r="L6" s="660">
        <v>1924</v>
      </c>
      <c r="M6" s="496">
        <v>0.32</v>
      </c>
      <c r="N6" s="496">
        <v>0.3</v>
      </c>
      <c r="O6" s="496">
        <v>0.38</v>
      </c>
      <c r="P6" s="496">
        <v>0.33</v>
      </c>
      <c r="Q6" s="496">
        <v>0.38</v>
      </c>
      <c r="R6" s="496">
        <v>0.37</v>
      </c>
      <c r="S6" s="496">
        <v>0.36</v>
      </c>
      <c r="T6" s="496">
        <v>0.38</v>
      </c>
    </row>
    <row r="7" spans="1:20" x14ac:dyDescent="0.25">
      <c r="A7" s="496" t="s">
        <v>143</v>
      </c>
      <c r="B7" s="496" t="s">
        <v>144</v>
      </c>
      <c r="C7" s="496" t="s">
        <v>112</v>
      </c>
      <c r="D7" s="660">
        <v>2415</v>
      </c>
      <c r="E7" s="660">
        <v>1393</v>
      </c>
      <c r="F7" s="660">
        <v>1320</v>
      </c>
      <c r="G7" s="660">
        <v>1657</v>
      </c>
      <c r="H7" s="660">
        <v>1445</v>
      </c>
      <c r="I7" s="660">
        <v>1648</v>
      </c>
      <c r="J7" s="660">
        <v>1593</v>
      </c>
      <c r="K7" s="660">
        <v>1547</v>
      </c>
      <c r="L7" s="660">
        <v>1670</v>
      </c>
      <c r="M7" s="496">
        <v>0.57999999999999996</v>
      </c>
      <c r="N7" s="496">
        <v>0.55000000000000004</v>
      </c>
      <c r="O7" s="496">
        <v>0.69</v>
      </c>
      <c r="P7" s="496">
        <v>0.6</v>
      </c>
      <c r="Q7" s="496">
        <v>0.68</v>
      </c>
      <c r="R7" s="496">
        <v>0.66</v>
      </c>
      <c r="S7" s="496">
        <v>0.64</v>
      </c>
      <c r="T7" s="496">
        <v>0.69</v>
      </c>
    </row>
    <row r="8" spans="1:20" x14ac:dyDescent="0.25">
      <c r="A8" s="496" t="s">
        <v>145</v>
      </c>
      <c r="B8" s="496" t="s">
        <v>146</v>
      </c>
      <c r="C8" s="496" t="s">
        <v>112</v>
      </c>
      <c r="D8" s="660">
        <v>0</v>
      </c>
      <c r="E8" s="660">
        <v>914</v>
      </c>
      <c r="F8" s="660">
        <v>865</v>
      </c>
      <c r="G8" s="660">
        <v>1087</v>
      </c>
      <c r="H8" s="660">
        <v>947</v>
      </c>
      <c r="I8" s="660">
        <v>1081</v>
      </c>
      <c r="J8" s="660">
        <v>1045</v>
      </c>
      <c r="K8" s="660">
        <v>1015</v>
      </c>
      <c r="L8" s="660">
        <v>1095</v>
      </c>
      <c r="M8" s="496" t="s">
        <v>386</v>
      </c>
      <c r="N8" s="496" t="s">
        <v>386</v>
      </c>
      <c r="O8" s="496" t="s">
        <v>386</v>
      </c>
      <c r="P8" s="496" t="s">
        <v>386</v>
      </c>
      <c r="Q8" s="496" t="s">
        <v>386</v>
      </c>
      <c r="R8" s="496" t="s">
        <v>386</v>
      </c>
      <c r="S8" s="496" t="s">
        <v>386</v>
      </c>
      <c r="T8" s="496" t="s">
        <v>386</v>
      </c>
    </row>
    <row r="9" spans="1:20" x14ac:dyDescent="0.25">
      <c r="A9" s="496" t="s">
        <v>147</v>
      </c>
      <c r="B9" s="496" t="s">
        <v>148</v>
      </c>
      <c r="C9" s="496" t="s">
        <v>112</v>
      </c>
      <c r="D9" s="660">
        <v>0</v>
      </c>
      <c r="E9" s="660">
        <v>12217</v>
      </c>
      <c r="F9" s="660">
        <v>11573</v>
      </c>
      <c r="G9" s="660">
        <v>14531</v>
      </c>
      <c r="H9" s="660">
        <v>12671</v>
      </c>
      <c r="I9" s="660">
        <v>14454</v>
      </c>
      <c r="J9" s="660">
        <v>13972</v>
      </c>
      <c r="K9" s="660">
        <v>13568</v>
      </c>
      <c r="L9" s="660">
        <v>14639</v>
      </c>
      <c r="M9" s="496" t="s">
        <v>386</v>
      </c>
      <c r="N9" s="496" t="s">
        <v>386</v>
      </c>
      <c r="O9" s="496" t="s">
        <v>386</v>
      </c>
      <c r="P9" s="496" t="s">
        <v>386</v>
      </c>
      <c r="Q9" s="496" t="s">
        <v>386</v>
      </c>
      <c r="R9" s="496" t="s">
        <v>386</v>
      </c>
      <c r="S9" s="496" t="s">
        <v>386</v>
      </c>
      <c r="T9" s="496" t="s">
        <v>386</v>
      </c>
    </row>
    <row r="10" spans="1:20" x14ac:dyDescent="0.25">
      <c r="A10" s="496" t="s">
        <v>149</v>
      </c>
      <c r="B10" s="496" t="s">
        <v>150</v>
      </c>
      <c r="C10" s="496" t="s">
        <v>151</v>
      </c>
      <c r="D10" s="660">
        <v>9544</v>
      </c>
      <c r="E10" s="660">
        <v>9538</v>
      </c>
      <c r="F10" s="660">
        <v>7194</v>
      </c>
      <c r="G10" s="660">
        <v>10403</v>
      </c>
      <c r="H10" s="660">
        <v>9053</v>
      </c>
      <c r="I10" s="660">
        <v>10239</v>
      </c>
      <c r="J10" s="660">
        <v>9958</v>
      </c>
      <c r="K10" s="660">
        <v>9550</v>
      </c>
      <c r="L10" s="660">
        <v>10433</v>
      </c>
      <c r="M10" s="496">
        <v>1</v>
      </c>
      <c r="N10" s="496">
        <v>0.75</v>
      </c>
      <c r="O10" s="496">
        <v>1.0900000000000001</v>
      </c>
      <c r="P10" s="496">
        <v>0.95</v>
      </c>
      <c r="Q10" s="496">
        <v>1.07</v>
      </c>
      <c r="R10" s="496">
        <v>1.04</v>
      </c>
      <c r="S10" s="496">
        <v>1</v>
      </c>
      <c r="T10" s="496">
        <v>1.0900000000000001</v>
      </c>
    </row>
    <row r="11" spans="1:20" x14ac:dyDescent="0.25">
      <c r="A11" s="496" t="s">
        <v>152</v>
      </c>
      <c r="B11" s="496" t="s">
        <v>153</v>
      </c>
      <c r="C11" s="496" t="s">
        <v>151</v>
      </c>
      <c r="D11" s="660">
        <v>6701</v>
      </c>
      <c r="E11" s="660">
        <v>7396</v>
      </c>
      <c r="F11" s="660">
        <v>5579</v>
      </c>
      <c r="G11" s="660">
        <v>8067</v>
      </c>
      <c r="H11" s="660">
        <v>7020</v>
      </c>
      <c r="I11" s="660">
        <v>7939</v>
      </c>
      <c r="J11" s="660">
        <v>1158283</v>
      </c>
      <c r="K11" s="660">
        <v>7405</v>
      </c>
      <c r="L11" s="660">
        <v>8090</v>
      </c>
      <c r="M11" s="496">
        <v>1.1000000000000001</v>
      </c>
      <c r="N11" s="496">
        <v>0.83</v>
      </c>
      <c r="O11" s="496">
        <v>1.2</v>
      </c>
      <c r="P11" s="496">
        <v>1.05</v>
      </c>
      <c r="Q11" s="496">
        <v>1.18</v>
      </c>
      <c r="R11" s="496">
        <v>172.85</v>
      </c>
      <c r="S11" s="496">
        <v>1.1100000000000001</v>
      </c>
      <c r="T11" s="496">
        <v>1.21</v>
      </c>
    </row>
    <row r="12" spans="1:20" s="658" customFormat="1" x14ac:dyDescent="0.25">
      <c r="A12" s="658" t="s">
        <v>154</v>
      </c>
      <c r="B12" s="658" t="s">
        <v>155</v>
      </c>
      <c r="C12" s="658" t="s">
        <v>151</v>
      </c>
      <c r="D12" s="659">
        <v>0</v>
      </c>
      <c r="E12" s="659">
        <v>5496</v>
      </c>
      <c r="F12" s="659">
        <v>4146</v>
      </c>
      <c r="G12" s="659">
        <v>5995</v>
      </c>
      <c r="H12" s="659">
        <v>5217</v>
      </c>
      <c r="I12" s="659">
        <v>5900</v>
      </c>
      <c r="J12" s="659">
        <v>5739</v>
      </c>
      <c r="K12" s="659">
        <v>5503</v>
      </c>
      <c r="L12" s="659">
        <v>6012</v>
      </c>
      <c r="M12" s="658" t="s">
        <v>386</v>
      </c>
      <c r="N12" s="658" t="s">
        <v>386</v>
      </c>
      <c r="O12" s="658" t="s">
        <v>386</v>
      </c>
      <c r="P12" s="658" t="s">
        <v>386</v>
      </c>
      <c r="Q12" s="658" t="s">
        <v>386</v>
      </c>
      <c r="R12" s="658" t="s">
        <v>386</v>
      </c>
      <c r="S12" s="658" t="s">
        <v>386</v>
      </c>
      <c r="T12" s="658" t="s">
        <v>386</v>
      </c>
    </row>
    <row r="13" spans="1:20" x14ac:dyDescent="0.25">
      <c r="A13" s="496" t="s">
        <v>156</v>
      </c>
      <c r="B13" s="496" t="s">
        <v>157</v>
      </c>
      <c r="C13" s="496" t="s">
        <v>151</v>
      </c>
      <c r="D13" s="660">
        <v>4188</v>
      </c>
      <c r="E13" s="660">
        <v>4496</v>
      </c>
      <c r="F13" s="660">
        <v>3391</v>
      </c>
      <c r="G13" s="660">
        <v>4904</v>
      </c>
      <c r="H13" s="660">
        <v>4268</v>
      </c>
      <c r="I13" s="660">
        <v>4827</v>
      </c>
      <c r="J13" s="660">
        <v>4694</v>
      </c>
      <c r="K13" s="660">
        <v>4502</v>
      </c>
      <c r="L13" s="660">
        <v>4918</v>
      </c>
      <c r="M13" s="496">
        <v>1.07</v>
      </c>
      <c r="N13" s="496">
        <v>0.81</v>
      </c>
      <c r="O13" s="496">
        <v>1.17</v>
      </c>
      <c r="P13" s="496">
        <v>1.02</v>
      </c>
      <c r="Q13" s="496">
        <v>1.1499999999999999</v>
      </c>
      <c r="R13" s="496">
        <v>1.1200000000000001</v>
      </c>
      <c r="S13" s="496">
        <v>1.07</v>
      </c>
      <c r="T13" s="496">
        <v>1.17</v>
      </c>
    </row>
    <row r="14" spans="1:20" x14ac:dyDescent="0.25">
      <c r="A14" s="496" t="s">
        <v>158</v>
      </c>
      <c r="B14" s="496" t="s">
        <v>159</v>
      </c>
      <c r="C14" s="496" t="s">
        <v>151</v>
      </c>
      <c r="D14" s="660">
        <v>5843</v>
      </c>
      <c r="E14" s="660">
        <v>5921</v>
      </c>
      <c r="F14" s="660">
        <v>4466</v>
      </c>
      <c r="G14" s="660">
        <v>6458</v>
      </c>
      <c r="H14" s="660">
        <v>5620</v>
      </c>
      <c r="I14" s="660">
        <v>6356</v>
      </c>
      <c r="J14" s="660">
        <v>6182</v>
      </c>
      <c r="K14" s="660">
        <v>5928</v>
      </c>
      <c r="L14" s="660">
        <v>6477</v>
      </c>
      <c r="M14" s="496">
        <v>1.01</v>
      </c>
      <c r="N14" s="496">
        <v>0.76</v>
      </c>
      <c r="O14" s="496">
        <v>1.1100000000000001</v>
      </c>
      <c r="P14" s="496">
        <v>0.96</v>
      </c>
      <c r="Q14" s="496">
        <v>1.0900000000000001</v>
      </c>
      <c r="R14" s="496">
        <v>1.06</v>
      </c>
      <c r="S14" s="496">
        <v>1.01</v>
      </c>
      <c r="T14" s="496">
        <v>1.1100000000000001</v>
      </c>
    </row>
    <row r="15" spans="1:20" x14ac:dyDescent="0.25">
      <c r="A15" s="496" t="s">
        <v>160</v>
      </c>
      <c r="B15" s="496" t="s">
        <v>161</v>
      </c>
      <c r="C15" s="496" t="s">
        <v>151</v>
      </c>
      <c r="D15" s="660">
        <v>0</v>
      </c>
      <c r="E15" s="660">
        <v>3476</v>
      </c>
      <c r="F15" s="660">
        <v>2622</v>
      </c>
      <c r="G15" s="660">
        <v>3791</v>
      </c>
      <c r="H15" s="660">
        <v>3299</v>
      </c>
      <c r="I15" s="660">
        <v>3731</v>
      </c>
      <c r="J15" s="660">
        <v>3629</v>
      </c>
      <c r="K15" s="660">
        <v>3480</v>
      </c>
      <c r="L15" s="660">
        <v>3802</v>
      </c>
      <c r="M15" s="496" t="s">
        <v>386</v>
      </c>
      <c r="N15" s="496" t="s">
        <v>386</v>
      </c>
      <c r="O15" s="496" t="s">
        <v>386</v>
      </c>
      <c r="P15" s="496" t="s">
        <v>386</v>
      </c>
      <c r="Q15" s="496" t="s">
        <v>386</v>
      </c>
      <c r="R15" s="496" t="s">
        <v>386</v>
      </c>
      <c r="S15" s="496" t="s">
        <v>386</v>
      </c>
      <c r="T15" s="496" t="s">
        <v>386</v>
      </c>
    </row>
    <row r="16" spans="1:20" x14ac:dyDescent="0.25">
      <c r="A16" s="496" t="s">
        <v>162</v>
      </c>
      <c r="B16" s="496" t="s">
        <v>163</v>
      </c>
      <c r="C16" s="496" t="s">
        <v>151</v>
      </c>
      <c r="D16" s="660">
        <v>4975</v>
      </c>
      <c r="E16" s="660">
        <v>5052</v>
      </c>
      <c r="F16" s="660">
        <v>3811</v>
      </c>
      <c r="G16" s="660">
        <v>5510</v>
      </c>
      <c r="H16" s="660">
        <v>4795</v>
      </c>
      <c r="I16" s="660">
        <v>5423</v>
      </c>
      <c r="J16" s="660">
        <v>5275</v>
      </c>
      <c r="K16" s="660">
        <v>5058</v>
      </c>
      <c r="L16" s="660">
        <v>5526</v>
      </c>
      <c r="M16" s="496">
        <v>1.02</v>
      </c>
      <c r="N16" s="496">
        <v>0.77</v>
      </c>
      <c r="O16" s="496">
        <v>1.1100000000000001</v>
      </c>
      <c r="P16" s="496">
        <v>0.96</v>
      </c>
      <c r="Q16" s="496">
        <v>1.0900000000000001</v>
      </c>
      <c r="R16" s="496">
        <v>1.06</v>
      </c>
      <c r="S16" s="496">
        <v>1.02</v>
      </c>
      <c r="T16" s="496">
        <v>1.1100000000000001</v>
      </c>
    </row>
    <row r="17" spans="1:20" x14ac:dyDescent="0.25">
      <c r="A17" s="496" t="s">
        <v>164</v>
      </c>
      <c r="B17" s="496" t="s">
        <v>165</v>
      </c>
      <c r="C17" s="496" t="s">
        <v>151</v>
      </c>
      <c r="D17" s="660">
        <v>3670</v>
      </c>
      <c r="E17" s="660">
        <v>4314</v>
      </c>
      <c r="F17" s="660">
        <v>3254</v>
      </c>
      <c r="G17" s="660">
        <v>4706</v>
      </c>
      <c r="H17" s="660">
        <v>4095</v>
      </c>
      <c r="I17" s="660">
        <v>4631</v>
      </c>
      <c r="J17" s="660">
        <v>4504</v>
      </c>
      <c r="K17" s="660">
        <v>4320</v>
      </c>
      <c r="L17" s="660">
        <v>4719</v>
      </c>
      <c r="M17" s="496">
        <v>1.18</v>
      </c>
      <c r="N17" s="496">
        <v>0.89</v>
      </c>
      <c r="O17" s="496">
        <v>1.28</v>
      </c>
      <c r="P17" s="496">
        <v>1.1200000000000001</v>
      </c>
      <c r="Q17" s="496">
        <v>1.26</v>
      </c>
      <c r="R17" s="496">
        <v>1.23</v>
      </c>
      <c r="S17" s="496">
        <v>1.18</v>
      </c>
      <c r="T17" s="496">
        <v>1.29</v>
      </c>
    </row>
    <row r="18" spans="1:20" x14ac:dyDescent="0.25">
      <c r="A18" s="496" t="s">
        <v>166</v>
      </c>
      <c r="B18" s="496" t="s">
        <v>167</v>
      </c>
      <c r="C18" s="496" t="s">
        <v>151</v>
      </c>
      <c r="D18" s="660">
        <v>3430</v>
      </c>
      <c r="E18" s="660">
        <v>3738</v>
      </c>
      <c r="F18" s="660">
        <v>2820</v>
      </c>
      <c r="G18" s="660">
        <v>4078</v>
      </c>
      <c r="H18" s="660">
        <v>3548</v>
      </c>
      <c r="I18" s="660">
        <v>4013</v>
      </c>
      <c r="J18" s="660">
        <v>3903</v>
      </c>
      <c r="K18" s="660">
        <v>3743</v>
      </c>
      <c r="L18" s="660">
        <v>4089</v>
      </c>
      <c r="M18" s="496">
        <v>1.0900000000000001</v>
      </c>
      <c r="N18" s="496">
        <v>0.82</v>
      </c>
      <c r="O18" s="496">
        <v>1.19</v>
      </c>
      <c r="P18" s="496">
        <v>1.03</v>
      </c>
      <c r="Q18" s="496">
        <v>1.17</v>
      </c>
      <c r="R18" s="496">
        <v>1.1399999999999999</v>
      </c>
      <c r="S18" s="496">
        <v>1.0900000000000001</v>
      </c>
      <c r="T18" s="496">
        <v>1.19</v>
      </c>
    </row>
    <row r="19" spans="1:20" x14ac:dyDescent="0.25">
      <c r="A19" s="496" t="s">
        <v>168</v>
      </c>
      <c r="B19" s="496" t="s">
        <v>169</v>
      </c>
      <c r="C19" s="496" t="s">
        <v>151</v>
      </c>
      <c r="D19" s="660">
        <v>2050</v>
      </c>
      <c r="E19" s="660">
        <v>2041</v>
      </c>
      <c r="F19" s="660">
        <v>1539</v>
      </c>
      <c r="G19" s="660">
        <v>2226</v>
      </c>
      <c r="H19" s="660">
        <v>1937</v>
      </c>
      <c r="I19" s="660">
        <v>2191</v>
      </c>
      <c r="J19" s="660">
        <v>2131</v>
      </c>
      <c r="K19" s="660">
        <v>2044</v>
      </c>
      <c r="L19" s="660">
        <v>2233</v>
      </c>
      <c r="M19" s="496">
        <v>1</v>
      </c>
      <c r="N19" s="496">
        <v>0.75</v>
      </c>
      <c r="O19" s="496">
        <v>1.0900000000000001</v>
      </c>
      <c r="P19" s="496">
        <v>0.94</v>
      </c>
      <c r="Q19" s="496">
        <v>1.07</v>
      </c>
      <c r="R19" s="496">
        <v>1.04</v>
      </c>
      <c r="S19" s="496">
        <v>1</v>
      </c>
      <c r="T19" s="496">
        <v>1.0900000000000001</v>
      </c>
    </row>
    <row r="20" spans="1:20" x14ac:dyDescent="0.25">
      <c r="A20" s="496" t="s">
        <v>170</v>
      </c>
      <c r="B20" s="496" t="s">
        <v>171</v>
      </c>
      <c r="C20" s="496" t="s">
        <v>172</v>
      </c>
      <c r="D20" s="660">
        <v>2701</v>
      </c>
      <c r="E20" s="660">
        <v>2627</v>
      </c>
      <c r="F20" s="660">
        <v>1982</v>
      </c>
      <c r="G20" s="660">
        <v>2865</v>
      </c>
      <c r="H20" s="660">
        <v>2493</v>
      </c>
      <c r="I20" s="660">
        <v>2820</v>
      </c>
      <c r="J20" s="660">
        <v>2743</v>
      </c>
      <c r="K20" s="660">
        <v>2630</v>
      </c>
      <c r="L20" s="660">
        <v>2874</v>
      </c>
      <c r="M20" s="496">
        <v>0.97</v>
      </c>
      <c r="N20" s="496">
        <v>0.73</v>
      </c>
      <c r="O20" s="496">
        <v>1.06</v>
      </c>
      <c r="P20" s="496">
        <v>0.92</v>
      </c>
      <c r="Q20" s="496">
        <v>1.04</v>
      </c>
      <c r="R20" s="496">
        <v>1.02</v>
      </c>
      <c r="S20" s="496">
        <v>0.97</v>
      </c>
      <c r="T20" s="496">
        <v>1.06</v>
      </c>
    </row>
    <row r="21" spans="1:20" x14ac:dyDescent="0.25">
      <c r="A21" s="496" t="s">
        <v>173</v>
      </c>
      <c r="B21" s="496" t="s">
        <v>174</v>
      </c>
      <c r="C21" s="496" t="s">
        <v>151</v>
      </c>
      <c r="D21" s="660">
        <v>2437</v>
      </c>
      <c r="E21" s="660">
        <v>2425</v>
      </c>
      <c r="F21" s="660">
        <v>1829</v>
      </c>
      <c r="G21" s="660">
        <v>2645</v>
      </c>
      <c r="H21" s="660">
        <v>2302</v>
      </c>
      <c r="I21" s="660">
        <v>2603</v>
      </c>
      <c r="J21" s="660">
        <v>2532</v>
      </c>
      <c r="K21" s="660">
        <v>2428</v>
      </c>
      <c r="L21" s="660">
        <v>2653</v>
      </c>
      <c r="M21" s="496">
        <v>0.99</v>
      </c>
      <c r="N21" s="496">
        <v>0.75</v>
      </c>
      <c r="O21" s="496">
        <v>1.0900000000000001</v>
      </c>
      <c r="P21" s="496">
        <v>0.94</v>
      </c>
      <c r="Q21" s="496">
        <v>1.07</v>
      </c>
      <c r="R21" s="496">
        <v>1.04</v>
      </c>
      <c r="S21" s="496">
        <v>1</v>
      </c>
      <c r="T21" s="496">
        <v>1.0900000000000001</v>
      </c>
    </row>
    <row r="22" spans="1:20" x14ac:dyDescent="0.25">
      <c r="A22" s="496" t="s">
        <v>175</v>
      </c>
      <c r="B22" s="496" t="s">
        <v>176</v>
      </c>
      <c r="C22" s="496" t="s">
        <v>151</v>
      </c>
      <c r="D22" s="660">
        <v>0</v>
      </c>
      <c r="E22" s="660">
        <v>8720</v>
      </c>
      <c r="F22" s="660">
        <v>6577</v>
      </c>
      <c r="G22" s="660">
        <v>9511</v>
      </c>
      <c r="H22" s="660">
        <v>8276</v>
      </c>
      <c r="I22" s="660">
        <v>9360</v>
      </c>
      <c r="J22" s="660">
        <v>9104</v>
      </c>
      <c r="K22" s="660">
        <v>8731</v>
      </c>
      <c r="L22" s="660">
        <v>9538</v>
      </c>
      <c r="M22" s="496" t="s">
        <v>386</v>
      </c>
      <c r="N22" s="496" t="s">
        <v>386</v>
      </c>
      <c r="O22" s="496" t="s">
        <v>386</v>
      </c>
      <c r="P22" s="496" t="s">
        <v>386</v>
      </c>
      <c r="Q22" s="496" t="s">
        <v>386</v>
      </c>
      <c r="R22" s="496" t="s">
        <v>386</v>
      </c>
      <c r="S22" s="496" t="s">
        <v>386</v>
      </c>
      <c r="T22" s="496" t="s">
        <v>386</v>
      </c>
    </row>
    <row r="23" spans="1:20" x14ac:dyDescent="0.25">
      <c r="A23" s="496" t="s">
        <v>177</v>
      </c>
      <c r="B23" s="496" t="s">
        <v>178</v>
      </c>
      <c r="C23" s="496" t="s">
        <v>151</v>
      </c>
      <c r="D23" s="660">
        <v>0</v>
      </c>
      <c r="E23" s="660">
        <v>7911</v>
      </c>
      <c r="F23" s="660">
        <v>5967</v>
      </c>
      <c r="G23" s="660">
        <v>8629</v>
      </c>
      <c r="H23" s="660">
        <v>7509</v>
      </c>
      <c r="I23" s="660">
        <v>8493</v>
      </c>
      <c r="J23" s="660">
        <v>8260</v>
      </c>
      <c r="K23" s="660">
        <v>7921</v>
      </c>
      <c r="L23" s="660">
        <v>8654</v>
      </c>
      <c r="M23" s="496" t="s">
        <v>386</v>
      </c>
      <c r="N23" s="496" t="s">
        <v>386</v>
      </c>
      <c r="O23" s="496" t="s">
        <v>386</v>
      </c>
      <c r="P23" s="496" t="s">
        <v>386</v>
      </c>
      <c r="Q23" s="496" t="s">
        <v>386</v>
      </c>
      <c r="R23" s="496" t="s">
        <v>386</v>
      </c>
      <c r="S23" s="496" t="s">
        <v>386</v>
      </c>
      <c r="T23" s="496" t="s">
        <v>386</v>
      </c>
    </row>
    <row r="24" spans="1:20" x14ac:dyDescent="0.25">
      <c r="A24" s="496" t="s">
        <v>179</v>
      </c>
      <c r="B24" s="496" t="s">
        <v>180</v>
      </c>
      <c r="C24" s="496" t="s">
        <v>181</v>
      </c>
      <c r="D24" s="660">
        <v>8894</v>
      </c>
      <c r="E24" s="660">
        <v>8447</v>
      </c>
      <c r="F24" s="660">
        <v>6371</v>
      </c>
      <c r="G24" s="660">
        <v>9213</v>
      </c>
      <c r="H24" s="660">
        <v>8017</v>
      </c>
      <c r="I24" s="660">
        <v>9067</v>
      </c>
      <c r="J24" s="660">
        <v>8819</v>
      </c>
      <c r="K24" s="660">
        <v>8457</v>
      </c>
      <c r="L24" s="660">
        <v>9240</v>
      </c>
      <c r="M24" s="496">
        <v>0.95</v>
      </c>
      <c r="N24" s="496">
        <v>0.72</v>
      </c>
      <c r="O24" s="496">
        <v>1.04</v>
      </c>
      <c r="P24" s="496">
        <v>0.9</v>
      </c>
      <c r="Q24" s="496">
        <v>1.02</v>
      </c>
      <c r="R24" s="496">
        <v>0.99</v>
      </c>
      <c r="S24" s="496">
        <v>0.95</v>
      </c>
      <c r="T24" s="496">
        <v>1.04</v>
      </c>
    </row>
    <row r="25" spans="1:20" x14ac:dyDescent="0.25">
      <c r="A25" s="496" t="s">
        <v>182</v>
      </c>
      <c r="B25" s="496" t="s">
        <v>183</v>
      </c>
      <c r="C25" s="496" t="s">
        <v>181</v>
      </c>
      <c r="D25" s="660">
        <v>6222</v>
      </c>
      <c r="E25" s="660">
        <v>4506</v>
      </c>
      <c r="F25" s="660">
        <v>3399</v>
      </c>
      <c r="G25" s="660">
        <v>4915</v>
      </c>
      <c r="H25" s="660">
        <v>4277</v>
      </c>
      <c r="I25" s="660">
        <v>4837</v>
      </c>
      <c r="J25" s="660">
        <v>4705</v>
      </c>
      <c r="K25" s="660">
        <v>4512</v>
      </c>
      <c r="L25" s="660">
        <v>4929</v>
      </c>
      <c r="M25" s="496">
        <v>0.72</v>
      </c>
      <c r="N25" s="496">
        <v>0.55000000000000004</v>
      </c>
      <c r="O25" s="496">
        <v>0.79</v>
      </c>
      <c r="P25" s="496">
        <v>0.69</v>
      </c>
      <c r="Q25" s="496">
        <v>0.78</v>
      </c>
      <c r="R25" s="496">
        <v>0.76</v>
      </c>
      <c r="S25" s="496">
        <v>0.73</v>
      </c>
      <c r="T25" s="496">
        <v>0.79</v>
      </c>
    </row>
    <row r="26" spans="1:20" x14ac:dyDescent="0.25">
      <c r="A26" s="496" t="s">
        <v>184</v>
      </c>
      <c r="B26" s="496" t="s">
        <v>185</v>
      </c>
      <c r="C26" s="496" t="s">
        <v>181</v>
      </c>
      <c r="D26" s="660">
        <v>9084</v>
      </c>
      <c r="E26" s="660">
        <v>3385</v>
      </c>
      <c r="F26" s="660">
        <v>2553</v>
      </c>
      <c r="G26" s="660">
        <v>3692</v>
      </c>
      <c r="H26" s="660">
        <v>3213</v>
      </c>
      <c r="I26" s="660">
        <v>3634</v>
      </c>
      <c r="J26" s="660">
        <v>3534</v>
      </c>
      <c r="K26" s="660">
        <v>3389</v>
      </c>
      <c r="L26" s="660">
        <v>3703</v>
      </c>
      <c r="M26" s="496">
        <v>0.37</v>
      </c>
      <c r="N26" s="496">
        <v>0.28000000000000003</v>
      </c>
      <c r="O26" s="496">
        <v>0.41</v>
      </c>
      <c r="P26" s="496">
        <v>0.35</v>
      </c>
      <c r="Q26" s="496">
        <v>0.4</v>
      </c>
      <c r="R26" s="496">
        <v>0.39</v>
      </c>
      <c r="S26" s="496">
        <v>0.37</v>
      </c>
      <c r="T26" s="496">
        <v>0.41</v>
      </c>
    </row>
    <row r="27" spans="1:20" x14ac:dyDescent="0.25">
      <c r="A27" s="496" t="s">
        <v>186</v>
      </c>
      <c r="B27" s="496" t="s">
        <v>187</v>
      </c>
      <c r="C27" s="496" t="s">
        <v>181</v>
      </c>
      <c r="D27" s="660">
        <v>0</v>
      </c>
      <c r="E27" s="660">
        <v>4062</v>
      </c>
      <c r="F27" s="660">
        <v>3064</v>
      </c>
      <c r="G27" s="660">
        <v>4430</v>
      </c>
      <c r="H27" s="660">
        <v>3855</v>
      </c>
      <c r="I27" s="660">
        <v>4360</v>
      </c>
      <c r="J27" s="660">
        <v>4241</v>
      </c>
      <c r="K27" s="660">
        <v>4067</v>
      </c>
      <c r="L27" s="660">
        <v>4443</v>
      </c>
      <c r="M27" s="496" t="s">
        <v>386</v>
      </c>
      <c r="N27" s="496" t="s">
        <v>386</v>
      </c>
      <c r="O27" s="496" t="s">
        <v>386</v>
      </c>
      <c r="P27" s="496" t="s">
        <v>386</v>
      </c>
      <c r="Q27" s="496" t="s">
        <v>386</v>
      </c>
      <c r="R27" s="496" t="s">
        <v>386</v>
      </c>
      <c r="S27" s="496" t="s">
        <v>386</v>
      </c>
      <c r="T27" s="496" t="s">
        <v>386</v>
      </c>
    </row>
    <row r="28" spans="1:20" x14ac:dyDescent="0.25">
      <c r="A28" s="496" t="s">
        <v>188</v>
      </c>
      <c r="B28" s="496" t="s">
        <v>189</v>
      </c>
      <c r="C28" s="496" t="s">
        <v>190</v>
      </c>
      <c r="D28" s="660">
        <v>3053</v>
      </c>
      <c r="E28" s="660">
        <v>980</v>
      </c>
      <c r="F28" s="660">
        <v>928</v>
      </c>
      <c r="G28" s="660">
        <v>1165</v>
      </c>
      <c r="H28" s="660">
        <v>1016</v>
      </c>
      <c r="I28" s="660">
        <v>1159</v>
      </c>
      <c r="J28" s="660">
        <v>1120</v>
      </c>
      <c r="K28" s="660">
        <v>1088</v>
      </c>
      <c r="L28" s="660">
        <v>1174</v>
      </c>
      <c r="M28" s="496">
        <v>0.32</v>
      </c>
      <c r="N28" s="496">
        <v>0.3</v>
      </c>
      <c r="O28" s="496">
        <v>0.38</v>
      </c>
      <c r="P28" s="496">
        <v>0.33</v>
      </c>
      <c r="Q28" s="496">
        <v>0.38</v>
      </c>
      <c r="R28" s="496">
        <v>0.37</v>
      </c>
      <c r="S28" s="496">
        <v>0.36</v>
      </c>
      <c r="T28" s="496">
        <v>0.38</v>
      </c>
    </row>
    <row r="29" spans="1:20" x14ac:dyDescent="0.25">
      <c r="A29" s="496" t="s">
        <v>191</v>
      </c>
      <c r="B29" s="496" t="s">
        <v>192</v>
      </c>
      <c r="C29" s="496" t="s">
        <v>193</v>
      </c>
      <c r="D29" s="660">
        <v>36869</v>
      </c>
      <c r="E29" s="660">
        <v>12348</v>
      </c>
      <c r="F29" s="660">
        <v>11697</v>
      </c>
      <c r="G29" s="660">
        <v>14687</v>
      </c>
      <c r="H29" s="660">
        <v>12807</v>
      </c>
      <c r="I29" s="660">
        <v>14610</v>
      </c>
      <c r="J29" s="660">
        <v>14122</v>
      </c>
      <c r="K29" s="660">
        <v>13714</v>
      </c>
      <c r="L29" s="660">
        <v>14797</v>
      </c>
      <c r="M29" s="496">
        <v>0.33</v>
      </c>
      <c r="N29" s="496">
        <v>0.32</v>
      </c>
      <c r="O29" s="496">
        <v>0.4</v>
      </c>
      <c r="P29" s="496">
        <v>0.35</v>
      </c>
      <c r="Q29" s="496">
        <v>0.4</v>
      </c>
      <c r="R29" s="496">
        <v>0.38</v>
      </c>
      <c r="S29" s="496">
        <v>0.37</v>
      </c>
      <c r="T29" s="496">
        <v>0.4</v>
      </c>
    </row>
    <row r="30" spans="1:20" x14ac:dyDescent="0.25">
      <c r="A30" s="496" t="s">
        <v>194</v>
      </c>
      <c r="B30" s="496" t="s">
        <v>195</v>
      </c>
      <c r="C30" s="496" t="s">
        <v>112</v>
      </c>
      <c r="D30" s="660">
        <v>0</v>
      </c>
      <c r="E30" s="660">
        <v>31741</v>
      </c>
      <c r="F30" s="660">
        <v>30067</v>
      </c>
      <c r="G30" s="660">
        <v>37753</v>
      </c>
      <c r="H30" s="660">
        <v>32920</v>
      </c>
      <c r="I30" s="660">
        <v>37554</v>
      </c>
      <c r="J30" s="660">
        <v>36300</v>
      </c>
      <c r="K30" s="660">
        <v>35252</v>
      </c>
      <c r="L30" s="660">
        <v>38034</v>
      </c>
      <c r="M30" s="496" t="s">
        <v>386</v>
      </c>
      <c r="N30" s="496" t="s">
        <v>386</v>
      </c>
      <c r="O30" s="496" t="s">
        <v>386</v>
      </c>
      <c r="P30" s="496" t="s">
        <v>386</v>
      </c>
      <c r="Q30" s="496" t="s">
        <v>386</v>
      </c>
      <c r="R30" s="496" t="s">
        <v>386</v>
      </c>
      <c r="S30" s="496" t="s">
        <v>386</v>
      </c>
      <c r="T30" s="496" t="s">
        <v>386</v>
      </c>
    </row>
    <row r="31" spans="1:20" x14ac:dyDescent="0.25">
      <c r="A31" s="496" t="s">
        <v>194</v>
      </c>
      <c r="B31" s="496" t="s">
        <v>195</v>
      </c>
      <c r="C31" s="496" t="s">
        <v>197</v>
      </c>
      <c r="D31" s="660">
        <v>0</v>
      </c>
      <c r="E31" s="660">
        <v>89422</v>
      </c>
      <c r="F31" s="660">
        <v>84706</v>
      </c>
      <c r="G31" s="660">
        <v>106360</v>
      </c>
      <c r="H31" s="660">
        <v>92743</v>
      </c>
      <c r="I31" s="660">
        <v>105798</v>
      </c>
      <c r="J31" s="660">
        <v>102266</v>
      </c>
      <c r="K31" s="660">
        <v>99313</v>
      </c>
      <c r="L31" s="660">
        <v>107153</v>
      </c>
      <c r="M31" s="496" t="s">
        <v>386</v>
      </c>
      <c r="N31" s="496" t="s">
        <v>386</v>
      </c>
      <c r="O31" s="496" t="s">
        <v>386</v>
      </c>
      <c r="P31" s="496" t="s">
        <v>386</v>
      </c>
      <c r="Q31" s="496" t="s">
        <v>386</v>
      </c>
      <c r="R31" s="496" t="s">
        <v>386</v>
      </c>
      <c r="S31" s="496" t="s">
        <v>386</v>
      </c>
      <c r="T31" s="496" t="s">
        <v>386</v>
      </c>
    </row>
    <row r="32" spans="1:20" x14ac:dyDescent="0.25">
      <c r="A32" s="496" t="s">
        <v>198</v>
      </c>
      <c r="B32" s="496" t="s">
        <v>199</v>
      </c>
      <c r="C32" s="496" t="s">
        <v>200</v>
      </c>
      <c r="D32" s="660">
        <v>78154</v>
      </c>
      <c r="E32" s="660">
        <v>21709</v>
      </c>
      <c r="F32" s="660">
        <v>20564</v>
      </c>
      <c r="G32" s="660">
        <v>25821</v>
      </c>
      <c r="H32" s="660">
        <v>22516</v>
      </c>
      <c r="I32" s="660">
        <v>25685</v>
      </c>
      <c r="J32" s="660">
        <v>24827</v>
      </c>
      <c r="K32" s="660">
        <v>24110</v>
      </c>
      <c r="L32" s="660">
        <v>26014</v>
      </c>
      <c r="M32" s="496">
        <v>0.28000000000000003</v>
      </c>
      <c r="N32" s="496">
        <v>0.26</v>
      </c>
      <c r="O32" s="496">
        <v>0.33</v>
      </c>
      <c r="P32" s="496">
        <v>0.28999999999999998</v>
      </c>
      <c r="Q32" s="496">
        <v>0.33</v>
      </c>
      <c r="R32" s="496">
        <v>0.32</v>
      </c>
      <c r="S32" s="496">
        <v>0.31</v>
      </c>
      <c r="T32" s="496">
        <v>0.33</v>
      </c>
    </row>
    <row r="33" spans="1:20" x14ac:dyDescent="0.25">
      <c r="A33" s="496" t="s">
        <v>201</v>
      </c>
      <c r="B33" s="496" t="s">
        <v>202</v>
      </c>
      <c r="C33" s="496" t="s">
        <v>203</v>
      </c>
      <c r="D33" s="660">
        <v>32020</v>
      </c>
      <c r="E33" s="660">
        <v>12324</v>
      </c>
      <c r="F33" s="660">
        <v>11674</v>
      </c>
      <c r="G33" s="660">
        <v>14658</v>
      </c>
      <c r="H33" s="660">
        <v>12782</v>
      </c>
      <c r="I33" s="660">
        <v>14581</v>
      </c>
      <c r="J33" s="660">
        <v>14094</v>
      </c>
      <c r="K33" s="660">
        <v>13687</v>
      </c>
      <c r="L33" s="660">
        <v>14768</v>
      </c>
      <c r="M33" s="496">
        <v>0.38</v>
      </c>
      <c r="N33" s="496">
        <v>0.36</v>
      </c>
      <c r="O33" s="496">
        <v>0.46</v>
      </c>
      <c r="P33" s="496">
        <v>0.4</v>
      </c>
      <c r="Q33" s="496">
        <v>0.46</v>
      </c>
      <c r="R33" s="496">
        <v>0.44</v>
      </c>
      <c r="S33" s="496">
        <v>0.43</v>
      </c>
      <c r="T33" s="496">
        <v>0.46</v>
      </c>
    </row>
    <row r="34" spans="1:20" x14ac:dyDescent="0.25">
      <c r="A34" s="496" t="s">
        <v>204</v>
      </c>
      <c r="B34" s="496" t="s">
        <v>205</v>
      </c>
      <c r="C34" s="496" t="s">
        <v>203</v>
      </c>
      <c r="D34" s="660">
        <v>39922</v>
      </c>
      <c r="E34" s="660">
        <v>15730</v>
      </c>
      <c r="F34" s="660">
        <v>14901</v>
      </c>
      <c r="G34" s="660">
        <v>18710</v>
      </c>
      <c r="H34" s="660">
        <v>16314</v>
      </c>
      <c r="I34" s="660">
        <v>18611</v>
      </c>
      <c r="J34" s="660">
        <v>17990</v>
      </c>
      <c r="K34" s="660">
        <v>17470</v>
      </c>
      <c r="L34" s="660">
        <v>18849</v>
      </c>
      <c r="M34" s="496">
        <v>0.39</v>
      </c>
      <c r="N34" s="496">
        <v>0.37</v>
      </c>
      <c r="O34" s="496">
        <v>0.47</v>
      </c>
      <c r="P34" s="496">
        <v>0.41</v>
      </c>
      <c r="Q34" s="496">
        <v>0.47</v>
      </c>
      <c r="R34" s="496">
        <v>0.45</v>
      </c>
      <c r="S34" s="496">
        <v>0.44</v>
      </c>
      <c r="T34" s="496">
        <v>0.47</v>
      </c>
    </row>
    <row r="35" spans="1:20" x14ac:dyDescent="0.25">
      <c r="A35" s="496" t="s">
        <v>206</v>
      </c>
      <c r="B35" s="496" t="s">
        <v>207</v>
      </c>
      <c r="C35" s="496" t="s">
        <v>112</v>
      </c>
      <c r="D35" s="660">
        <v>4148</v>
      </c>
      <c r="E35" s="660">
        <v>1634</v>
      </c>
      <c r="F35" s="660">
        <v>1548</v>
      </c>
      <c r="G35" s="660">
        <v>1943</v>
      </c>
      <c r="H35" s="660">
        <v>1695</v>
      </c>
      <c r="I35" s="660">
        <v>1933</v>
      </c>
      <c r="J35" s="660">
        <v>1869</v>
      </c>
      <c r="K35" s="660">
        <v>1815</v>
      </c>
      <c r="L35" s="660">
        <v>1958</v>
      </c>
      <c r="M35" s="496">
        <v>0.39</v>
      </c>
      <c r="N35" s="496">
        <v>0.37</v>
      </c>
      <c r="O35" s="496">
        <v>0.47</v>
      </c>
      <c r="P35" s="496">
        <v>0.41</v>
      </c>
      <c r="Q35" s="496">
        <v>0.47</v>
      </c>
      <c r="R35" s="496">
        <v>0.45</v>
      </c>
      <c r="S35" s="496">
        <v>0.44</v>
      </c>
      <c r="T35" s="496">
        <v>0.47</v>
      </c>
    </row>
    <row r="36" spans="1:20" x14ac:dyDescent="0.25">
      <c r="A36" s="496" t="s">
        <v>208</v>
      </c>
      <c r="B36" s="496" t="s">
        <v>209</v>
      </c>
      <c r="C36" s="496" t="s">
        <v>112</v>
      </c>
      <c r="D36" s="660">
        <v>0</v>
      </c>
      <c r="E36" s="660">
        <v>11714</v>
      </c>
      <c r="F36" s="660">
        <v>11096</v>
      </c>
      <c r="G36" s="660">
        <v>13933</v>
      </c>
      <c r="H36" s="660">
        <v>12149</v>
      </c>
      <c r="I36" s="660">
        <v>13860</v>
      </c>
      <c r="J36" s="660">
        <v>13397</v>
      </c>
      <c r="K36" s="660">
        <v>13010</v>
      </c>
      <c r="L36" s="660">
        <v>14037</v>
      </c>
      <c r="M36" s="496" t="s">
        <v>386</v>
      </c>
      <c r="N36" s="496" t="s">
        <v>386</v>
      </c>
      <c r="O36" s="496" t="s">
        <v>386</v>
      </c>
      <c r="P36" s="496" t="s">
        <v>386</v>
      </c>
      <c r="Q36" s="496" t="s">
        <v>386</v>
      </c>
      <c r="R36" s="496" t="s">
        <v>386</v>
      </c>
      <c r="S36" s="496" t="s">
        <v>386</v>
      </c>
      <c r="T36" s="496" t="s">
        <v>386</v>
      </c>
    </row>
    <row r="37" spans="1:20" x14ac:dyDescent="0.25">
      <c r="A37" s="496" t="s">
        <v>210</v>
      </c>
      <c r="B37" s="496" t="s">
        <v>211</v>
      </c>
      <c r="C37" s="496" t="s">
        <v>212</v>
      </c>
      <c r="D37" s="660">
        <v>198</v>
      </c>
      <c r="E37" s="660">
        <v>1744</v>
      </c>
      <c r="F37" s="660">
        <v>1652</v>
      </c>
      <c r="G37" s="660">
        <v>2074</v>
      </c>
      <c r="H37" s="660">
        <v>1809</v>
      </c>
      <c r="I37" s="660">
        <v>2063</v>
      </c>
      <c r="J37" s="660">
        <v>1994</v>
      </c>
      <c r="K37" s="660">
        <v>1937</v>
      </c>
      <c r="L37" s="660">
        <v>2090</v>
      </c>
      <c r="M37" s="496">
        <v>8.7899999999999991</v>
      </c>
      <c r="N37" s="496">
        <v>8.32</v>
      </c>
      <c r="O37" s="496">
        <v>10.45</v>
      </c>
      <c r="P37" s="496">
        <v>9.11</v>
      </c>
      <c r="Q37" s="496">
        <v>10.4</v>
      </c>
      <c r="R37" s="496">
        <v>10.050000000000001</v>
      </c>
      <c r="S37" s="496">
        <v>9.76</v>
      </c>
      <c r="T37" s="496">
        <v>10.53</v>
      </c>
    </row>
    <row r="38" spans="1:20" x14ac:dyDescent="0.25">
      <c r="A38" s="496" t="s">
        <v>213</v>
      </c>
      <c r="B38" s="496" t="s">
        <v>214</v>
      </c>
      <c r="C38" s="496" t="s">
        <v>212</v>
      </c>
      <c r="D38" s="660">
        <v>1120</v>
      </c>
      <c r="E38" s="660">
        <v>1873</v>
      </c>
      <c r="F38" s="660">
        <v>1774</v>
      </c>
      <c r="G38" s="660">
        <v>2228</v>
      </c>
      <c r="H38" s="660">
        <v>1943</v>
      </c>
      <c r="I38" s="660">
        <v>2216</v>
      </c>
      <c r="J38" s="660">
        <v>2142</v>
      </c>
      <c r="K38" s="660">
        <v>2080</v>
      </c>
      <c r="L38" s="660">
        <v>2245</v>
      </c>
      <c r="M38" s="496">
        <v>1.67</v>
      </c>
      <c r="N38" s="496">
        <v>1.58</v>
      </c>
      <c r="O38" s="496">
        <v>1.99</v>
      </c>
      <c r="P38" s="496">
        <v>1.73</v>
      </c>
      <c r="Q38" s="496">
        <v>1.98</v>
      </c>
      <c r="R38" s="496">
        <v>1.91</v>
      </c>
      <c r="S38" s="496">
        <v>1.86</v>
      </c>
      <c r="T38" s="496">
        <v>2</v>
      </c>
    </row>
    <row r="39" spans="1:20" x14ac:dyDescent="0.25">
      <c r="A39" s="496" t="s">
        <v>215</v>
      </c>
      <c r="B39" s="496" t="s">
        <v>216</v>
      </c>
      <c r="C39" s="496" t="s">
        <v>212</v>
      </c>
      <c r="D39" s="660">
        <v>0</v>
      </c>
      <c r="E39" s="660">
        <v>1951</v>
      </c>
      <c r="F39" s="660">
        <v>1848</v>
      </c>
      <c r="G39" s="660">
        <v>2320</v>
      </c>
      <c r="H39" s="660">
        <v>2023</v>
      </c>
      <c r="I39" s="660">
        <v>2308</v>
      </c>
      <c r="J39" s="660">
        <v>2231</v>
      </c>
      <c r="K39" s="660">
        <v>2167</v>
      </c>
      <c r="L39" s="660">
        <v>2338</v>
      </c>
      <c r="M39" s="496" t="s">
        <v>386</v>
      </c>
      <c r="N39" s="496" t="s">
        <v>386</v>
      </c>
      <c r="O39" s="496" t="s">
        <v>386</v>
      </c>
      <c r="P39" s="496" t="s">
        <v>386</v>
      </c>
      <c r="Q39" s="496" t="s">
        <v>386</v>
      </c>
      <c r="R39" s="496" t="s">
        <v>386</v>
      </c>
      <c r="S39" s="496" t="s">
        <v>386</v>
      </c>
      <c r="T39" s="496" t="s">
        <v>386</v>
      </c>
    </row>
    <row r="40" spans="1:20" x14ac:dyDescent="0.25">
      <c r="A40" s="496" t="s">
        <v>217</v>
      </c>
      <c r="B40" s="496" t="s">
        <v>218</v>
      </c>
      <c r="C40" s="496" t="s">
        <v>212</v>
      </c>
      <c r="D40" s="660">
        <v>0</v>
      </c>
      <c r="E40" s="660">
        <v>1177</v>
      </c>
      <c r="F40" s="660">
        <v>1115</v>
      </c>
      <c r="G40" s="660">
        <v>1400</v>
      </c>
      <c r="H40" s="660">
        <v>1221</v>
      </c>
      <c r="I40" s="660">
        <v>1393</v>
      </c>
      <c r="J40" s="660">
        <v>1346</v>
      </c>
      <c r="K40" s="660">
        <v>1307</v>
      </c>
      <c r="L40" s="660">
        <v>1411</v>
      </c>
      <c r="M40" s="496" t="s">
        <v>386</v>
      </c>
      <c r="N40" s="496" t="s">
        <v>386</v>
      </c>
      <c r="O40" s="496" t="s">
        <v>386</v>
      </c>
      <c r="P40" s="496" t="s">
        <v>386</v>
      </c>
      <c r="Q40" s="496" t="s">
        <v>386</v>
      </c>
      <c r="R40" s="496" t="s">
        <v>386</v>
      </c>
      <c r="S40" s="496" t="s">
        <v>386</v>
      </c>
      <c r="T40" s="496" t="s">
        <v>386</v>
      </c>
    </row>
    <row r="41" spans="1:20" x14ac:dyDescent="0.25">
      <c r="A41" s="496" t="s">
        <v>219</v>
      </c>
      <c r="B41" s="496" t="s">
        <v>220</v>
      </c>
      <c r="C41" s="496" t="s">
        <v>212</v>
      </c>
      <c r="D41" s="660">
        <v>0</v>
      </c>
      <c r="E41" s="660">
        <v>1707</v>
      </c>
      <c r="F41" s="660">
        <v>1617</v>
      </c>
      <c r="G41" s="660">
        <v>2030</v>
      </c>
      <c r="H41" s="660">
        <v>1770</v>
      </c>
      <c r="I41" s="660">
        <v>2020</v>
      </c>
      <c r="J41" s="660">
        <v>1952</v>
      </c>
      <c r="K41" s="660">
        <v>1896</v>
      </c>
      <c r="L41" s="660">
        <v>2046</v>
      </c>
      <c r="M41" s="496" t="s">
        <v>386</v>
      </c>
      <c r="N41" s="496" t="s">
        <v>386</v>
      </c>
      <c r="O41" s="496" t="s">
        <v>386</v>
      </c>
      <c r="P41" s="496" t="s">
        <v>386</v>
      </c>
      <c r="Q41" s="496" t="s">
        <v>386</v>
      </c>
      <c r="R41" s="496" t="s">
        <v>386</v>
      </c>
      <c r="S41" s="496" t="s">
        <v>386</v>
      </c>
      <c r="T41" s="496" t="s">
        <v>386</v>
      </c>
    </row>
    <row r="42" spans="1:20" x14ac:dyDescent="0.25">
      <c r="A42" s="496" t="s">
        <v>221</v>
      </c>
      <c r="B42" s="496" t="s">
        <v>222</v>
      </c>
      <c r="C42" s="496" t="s">
        <v>212</v>
      </c>
      <c r="D42" s="660">
        <v>1193</v>
      </c>
      <c r="E42" s="660">
        <v>546</v>
      </c>
      <c r="F42" s="660">
        <v>517</v>
      </c>
      <c r="G42" s="660">
        <v>649</v>
      </c>
      <c r="H42" s="660">
        <v>566</v>
      </c>
      <c r="I42" s="660">
        <v>646</v>
      </c>
      <c r="J42" s="660">
        <v>624</v>
      </c>
      <c r="K42" s="660">
        <v>606</v>
      </c>
      <c r="L42" s="660">
        <v>654</v>
      </c>
      <c r="M42" s="496">
        <v>0.46</v>
      </c>
      <c r="N42" s="496">
        <v>0.43</v>
      </c>
      <c r="O42" s="496">
        <v>0.54</v>
      </c>
      <c r="P42" s="496">
        <v>0.47</v>
      </c>
      <c r="Q42" s="496">
        <v>0.54</v>
      </c>
      <c r="R42" s="496">
        <v>0.52</v>
      </c>
      <c r="S42" s="496">
        <v>0.51</v>
      </c>
      <c r="T42" s="496">
        <v>0.55000000000000004</v>
      </c>
    </row>
    <row r="43" spans="1:20" x14ac:dyDescent="0.25">
      <c r="A43" s="496" t="s">
        <v>223</v>
      </c>
      <c r="B43" s="496" t="s">
        <v>224</v>
      </c>
      <c r="C43" s="496" t="s">
        <v>212</v>
      </c>
      <c r="D43" s="660">
        <v>2365</v>
      </c>
      <c r="E43" s="660">
        <v>741</v>
      </c>
      <c r="F43" s="660">
        <v>701</v>
      </c>
      <c r="G43" s="660">
        <v>881</v>
      </c>
      <c r="H43" s="660">
        <v>768</v>
      </c>
      <c r="I43" s="660">
        <v>876</v>
      </c>
      <c r="J43" s="660">
        <v>847</v>
      </c>
      <c r="K43" s="660">
        <v>822</v>
      </c>
      <c r="L43" s="660">
        <v>887</v>
      </c>
      <c r="M43" s="496">
        <v>0.31</v>
      </c>
      <c r="N43" s="496">
        <v>0.3</v>
      </c>
      <c r="O43" s="496">
        <v>0.37</v>
      </c>
      <c r="P43" s="496">
        <v>0.32</v>
      </c>
      <c r="Q43" s="496">
        <v>0.37</v>
      </c>
      <c r="R43" s="496">
        <v>0.36</v>
      </c>
      <c r="S43" s="496">
        <v>0.35</v>
      </c>
      <c r="T43" s="496">
        <v>0.38</v>
      </c>
    </row>
    <row r="44" spans="1:20" x14ac:dyDescent="0.25">
      <c r="A44" s="496" t="s">
        <v>225</v>
      </c>
      <c r="B44" s="496" t="s">
        <v>226</v>
      </c>
      <c r="C44" s="496" t="s">
        <v>112</v>
      </c>
      <c r="D44" s="660">
        <v>5966</v>
      </c>
      <c r="E44" s="660">
        <v>2796</v>
      </c>
      <c r="F44" s="660">
        <v>2649</v>
      </c>
      <c r="G44" s="660">
        <v>3326</v>
      </c>
      <c r="H44" s="660">
        <v>2900</v>
      </c>
      <c r="I44" s="660">
        <v>3308</v>
      </c>
      <c r="J44" s="660">
        <v>3198</v>
      </c>
      <c r="K44" s="660">
        <v>3105</v>
      </c>
      <c r="L44" s="660">
        <v>3350</v>
      </c>
      <c r="M44" s="496">
        <v>0.47</v>
      </c>
      <c r="N44" s="496">
        <v>0.44</v>
      </c>
      <c r="O44" s="496">
        <v>0.56000000000000005</v>
      </c>
      <c r="P44" s="496">
        <v>0.49</v>
      </c>
      <c r="Q44" s="496">
        <v>0.55000000000000004</v>
      </c>
      <c r="R44" s="496">
        <v>0.54</v>
      </c>
      <c r="S44" s="496">
        <v>0.52</v>
      </c>
      <c r="T44" s="496">
        <v>0.56000000000000005</v>
      </c>
    </row>
    <row r="45" spans="1:20" x14ac:dyDescent="0.25">
      <c r="A45" s="496" t="s">
        <v>227</v>
      </c>
      <c r="B45" s="496" t="s">
        <v>228</v>
      </c>
      <c r="C45" s="496" t="s">
        <v>112</v>
      </c>
      <c r="D45" s="660">
        <v>8112</v>
      </c>
      <c r="E45" s="660">
        <v>43941</v>
      </c>
      <c r="F45" s="660">
        <v>41623</v>
      </c>
      <c r="G45" s="660">
        <v>52264</v>
      </c>
      <c r="H45" s="660">
        <v>45573</v>
      </c>
      <c r="I45" s="660">
        <v>51988</v>
      </c>
      <c r="J45" s="660">
        <v>50252</v>
      </c>
      <c r="K45" s="660">
        <v>48801</v>
      </c>
      <c r="L45" s="660">
        <v>52653</v>
      </c>
      <c r="M45" s="496">
        <v>5.42</v>
      </c>
      <c r="N45" s="496">
        <v>5.13</v>
      </c>
      <c r="O45" s="496">
        <v>6.44</v>
      </c>
      <c r="P45" s="496">
        <v>5.62</v>
      </c>
      <c r="Q45" s="496">
        <v>6.41</v>
      </c>
      <c r="R45" s="496">
        <v>6.19</v>
      </c>
      <c r="S45" s="496">
        <v>6.02</v>
      </c>
      <c r="T45" s="496">
        <v>6.49</v>
      </c>
    </row>
    <row r="46" spans="1:20" x14ac:dyDescent="0.25">
      <c r="A46" s="496" t="s">
        <v>229</v>
      </c>
      <c r="B46" s="496" t="s">
        <v>230</v>
      </c>
      <c r="C46" s="496" t="s">
        <v>112</v>
      </c>
      <c r="D46" s="660">
        <v>17838</v>
      </c>
      <c r="E46" s="660">
        <v>9370</v>
      </c>
      <c r="F46" s="660">
        <v>9370</v>
      </c>
      <c r="G46" s="660">
        <v>11765</v>
      </c>
      <c r="H46" s="660">
        <v>10259</v>
      </c>
      <c r="I46" s="660">
        <v>11703</v>
      </c>
      <c r="J46" s="660">
        <v>11313</v>
      </c>
      <c r="K46" s="660">
        <v>10986</v>
      </c>
      <c r="L46" s="660">
        <v>11853</v>
      </c>
      <c r="M46" s="496">
        <v>0.53</v>
      </c>
      <c r="N46" s="496">
        <v>0.53</v>
      </c>
      <c r="O46" s="496">
        <v>0.66</v>
      </c>
      <c r="P46" s="496">
        <v>0.57999999999999996</v>
      </c>
      <c r="Q46" s="496">
        <v>0.66</v>
      </c>
      <c r="R46" s="496">
        <v>0.63</v>
      </c>
      <c r="S46" s="496">
        <v>0.62</v>
      </c>
      <c r="T46" s="496">
        <v>0.66</v>
      </c>
    </row>
    <row r="47" spans="1:20" x14ac:dyDescent="0.25">
      <c r="A47" s="496" t="s">
        <v>231</v>
      </c>
      <c r="B47" s="496" t="s">
        <v>232</v>
      </c>
      <c r="C47" s="496" t="s">
        <v>172</v>
      </c>
      <c r="D47" s="660">
        <v>2405</v>
      </c>
      <c r="E47" s="660">
        <v>2675</v>
      </c>
      <c r="F47" s="660">
        <v>2675</v>
      </c>
      <c r="G47" s="660">
        <v>3358</v>
      </c>
      <c r="H47" s="660">
        <v>2928</v>
      </c>
      <c r="I47" s="660">
        <v>3341</v>
      </c>
      <c r="J47" s="660">
        <v>3229</v>
      </c>
      <c r="K47" s="660">
        <v>3136</v>
      </c>
      <c r="L47" s="660">
        <v>3383</v>
      </c>
      <c r="M47" s="496">
        <v>1.1100000000000001</v>
      </c>
      <c r="N47" s="496">
        <v>1.1100000000000001</v>
      </c>
      <c r="O47" s="496">
        <v>1.4</v>
      </c>
      <c r="P47" s="496">
        <v>1.22</v>
      </c>
      <c r="Q47" s="496">
        <v>1.39</v>
      </c>
      <c r="R47" s="496">
        <v>1.34</v>
      </c>
      <c r="S47" s="496">
        <v>1.3</v>
      </c>
      <c r="T47" s="496">
        <v>1.41</v>
      </c>
    </row>
    <row r="48" spans="1:20" x14ac:dyDescent="0.25">
      <c r="A48" s="496" t="s">
        <v>233</v>
      </c>
      <c r="B48" s="496" t="s">
        <v>234</v>
      </c>
      <c r="C48" s="496" t="s">
        <v>112</v>
      </c>
      <c r="D48" s="660">
        <v>31928</v>
      </c>
      <c r="E48" s="660">
        <v>12829</v>
      </c>
      <c r="F48" s="660">
        <v>12829</v>
      </c>
      <c r="G48" s="660">
        <v>16109</v>
      </c>
      <c r="H48" s="660">
        <v>14046</v>
      </c>
      <c r="I48" s="660">
        <v>16024</v>
      </c>
      <c r="J48" s="660">
        <v>15489</v>
      </c>
      <c r="K48" s="660">
        <v>15041</v>
      </c>
      <c r="L48" s="660">
        <v>16229</v>
      </c>
      <c r="M48" s="496">
        <v>0.4</v>
      </c>
      <c r="N48" s="496">
        <v>0.4</v>
      </c>
      <c r="O48" s="496">
        <v>0.5</v>
      </c>
      <c r="P48" s="496">
        <v>0.44</v>
      </c>
      <c r="Q48" s="496">
        <v>0.5</v>
      </c>
      <c r="R48" s="496">
        <v>0.49</v>
      </c>
      <c r="S48" s="496">
        <v>0.47</v>
      </c>
      <c r="T48" s="496">
        <v>0.51</v>
      </c>
    </row>
    <row r="49" spans="1:20" x14ac:dyDescent="0.25">
      <c r="A49" s="496" t="s">
        <v>235</v>
      </c>
      <c r="B49" s="496" t="s">
        <v>236</v>
      </c>
      <c r="C49" s="496" t="s">
        <v>112</v>
      </c>
      <c r="D49" s="660">
        <v>0</v>
      </c>
      <c r="E49" s="660">
        <v>7228</v>
      </c>
      <c r="F49" s="660">
        <v>7228</v>
      </c>
      <c r="G49" s="660">
        <v>9076</v>
      </c>
      <c r="H49" s="660">
        <v>7914</v>
      </c>
      <c r="I49" s="660">
        <v>9028</v>
      </c>
      <c r="J49" s="660">
        <v>8727</v>
      </c>
      <c r="K49" s="660">
        <v>8475</v>
      </c>
      <c r="L49" s="660">
        <v>9144</v>
      </c>
      <c r="M49" s="496" t="s">
        <v>386</v>
      </c>
      <c r="N49" s="496" t="s">
        <v>386</v>
      </c>
      <c r="O49" s="496" t="s">
        <v>386</v>
      </c>
      <c r="P49" s="496" t="s">
        <v>386</v>
      </c>
      <c r="Q49" s="496" t="s">
        <v>386</v>
      </c>
      <c r="R49" s="496" t="s">
        <v>386</v>
      </c>
      <c r="S49" s="496" t="s">
        <v>386</v>
      </c>
      <c r="T49" s="496" t="s">
        <v>386</v>
      </c>
    </row>
    <row r="50" spans="1:20" x14ac:dyDescent="0.25">
      <c r="A50" s="496" t="s">
        <v>237</v>
      </c>
      <c r="B50" s="496" t="s">
        <v>238</v>
      </c>
      <c r="C50" s="496" t="s">
        <v>112</v>
      </c>
      <c r="D50" s="660">
        <v>0</v>
      </c>
      <c r="E50" s="660">
        <v>8385</v>
      </c>
      <c r="F50" s="660">
        <v>8385</v>
      </c>
      <c r="G50" s="660">
        <v>10528</v>
      </c>
      <c r="H50" s="660">
        <v>9180</v>
      </c>
      <c r="I50" s="660">
        <v>10472</v>
      </c>
      <c r="J50" s="660">
        <v>10123</v>
      </c>
      <c r="K50" s="660">
        <v>9831</v>
      </c>
      <c r="L50" s="660">
        <v>10607</v>
      </c>
      <c r="M50" s="496" t="s">
        <v>386</v>
      </c>
      <c r="N50" s="496" t="s">
        <v>386</v>
      </c>
      <c r="O50" s="496" t="s">
        <v>386</v>
      </c>
      <c r="P50" s="496" t="s">
        <v>386</v>
      </c>
      <c r="Q50" s="496" t="s">
        <v>386</v>
      </c>
      <c r="R50" s="496" t="s">
        <v>386</v>
      </c>
      <c r="S50" s="496" t="s">
        <v>386</v>
      </c>
      <c r="T50" s="496" t="s">
        <v>386</v>
      </c>
    </row>
    <row r="51" spans="1:20" x14ac:dyDescent="0.25">
      <c r="A51" s="496" t="s">
        <v>239</v>
      </c>
      <c r="B51" s="496" t="s">
        <v>240</v>
      </c>
      <c r="C51" s="496" t="s">
        <v>112</v>
      </c>
      <c r="D51" s="660">
        <v>15552</v>
      </c>
      <c r="E51" s="660">
        <v>12771</v>
      </c>
      <c r="F51" s="660">
        <v>12771</v>
      </c>
      <c r="G51" s="660">
        <v>16036</v>
      </c>
      <c r="H51" s="660">
        <v>13983</v>
      </c>
      <c r="I51" s="660">
        <v>15951</v>
      </c>
      <c r="J51" s="660">
        <v>15419</v>
      </c>
      <c r="K51" s="660">
        <v>14973</v>
      </c>
      <c r="L51" s="660">
        <v>16155</v>
      </c>
      <c r="M51" s="496">
        <v>0.82</v>
      </c>
      <c r="N51" s="496">
        <v>0.82</v>
      </c>
      <c r="O51" s="496">
        <v>1.03</v>
      </c>
      <c r="P51" s="496">
        <v>0.9</v>
      </c>
      <c r="Q51" s="496">
        <v>1.03</v>
      </c>
      <c r="R51" s="496">
        <v>0.99</v>
      </c>
      <c r="S51" s="496">
        <v>0.96</v>
      </c>
      <c r="T51" s="496">
        <v>1.04</v>
      </c>
    </row>
    <row r="52" spans="1:20" x14ac:dyDescent="0.25">
      <c r="A52" s="496" t="s">
        <v>241</v>
      </c>
      <c r="B52" s="496" t="s">
        <v>242</v>
      </c>
      <c r="C52" s="496" t="s">
        <v>112</v>
      </c>
      <c r="D52" s="660">
        <v>13259</v>
      </c>
      <c r="E52" s="660">
        <v>12357</v>
      </c>
      <c r="F52" s="660">
        <v>12357</v>
      </c>
      <c r="G52" s="660">
        <v>15516</v>
      </c>
      <c r="H52" s="660">
        <v>13530</v>
      </c>
      <c r="I52" s="660">
        <v>15434</v>
      </c>
      <c r="J52" s="660">
        <v>14919</v>
      </c>
      <c r="K52" s="660">
        <v>14488</v>
      </c>
      <c r="L52" s="660">
        <v>15632</v>
      </c>
      <c r="M52" s="496">
        <v>0.93</v>
      </c>
      <c r="N52" s="496">
        <v>0.93</v>
      </c>
      <c r="O52" s="496">
        <v>1.17</v>
      </c>
      <c r="P52" s="496">
        <v>1.02</v>
      </c>
      <c r="Q52" s="496">
        <v>1.1599999999999999</v>
      </c>
      <c r="R52" s="496">
        <v>1.1299999999999999</v>
      </c>
      <c r="S52" s="496">
        <v>1.0900000000000001</v>
      </c>
      <c r="T52" s="496">
        <v>1.18</v>
      </c>
    </row>
    <row r="53" spans="1:20" x14ac:dyDescent="0.25">
      <c r="A53" s="496" t="s">
        <v>243</v>
      </c>
      <c r="B53" s="496" t="s">
        <v>244</v>
      </c>
      <c r="C53" s="496" t="s">
        <v>112</v>
      </c>
      <c r="D53" s="660">
        <v>11306</v>
      </c>
      <c r="E53" s="660">
        <v>12169</v>
      </c>
      <c r="F53" s="660">
        <v>12169</v>
      </c>
      <c r="G53" s="660">
        <v>15280</v>
      </c>
      <c r="H53" s="660">
        <v>13324</v>
      </c>
      <c r="I53" s="660">
        <v>15199</v>
      </c>
      <c r="J53" s="660">
        <v>14692</v>
      </c>
      <c r="K53" s="660">
        <v>14268</v>
      </c>
      <c r="L53" s="660">
        <v>15394</v>
      </c>
      <c r="M53" s="496">
        <v>1.08</v>
      </c>
      <c r="N53" s="496">
        <v>1.08</v>
      </c>
      <c r="O53" s="496">
        <v>1.35</v>
      </c>
      <c r="P53" s="496">
        <v>1.18</v>
      </c>
      <c r="Q53" s="496">
        <v>1.34</v>
      </c>
      <c r="R53" s="496">
        <v>1.3</v>
      </c>
      <c r="S53" s="496">
        <v>1.26</v>
      </c>
      <c r="T53" s="496">
        <v>1.36</v>
      </c>
    </row>
    <row r="54" spans="1:20" x14ac:dyDescent="0.25">
      <c r="A54" s="496" t="s">
        <v>245</v>
      </c>
      <c r="B54" s="496" t="s">
        <v>246</v>
      </c>
      <c r="C54" s="496" t="s">
        <v>112</v>
      </c>
      <c r="D54" s="660">
        <v>11306</v>
      </c>
      <c r="E54" s="660">
        <v>12047</v>
      </c>
      <c r="F54" s="660">
        <v>12047</v>
      </c>
      <c r="G54" s="660">
        <v>15126</v>
      </c>
      <c r="H54" s="660">
        <v>13190</v>
      </c>
      <c r="I54" s="660">
        <v>15047</v>
      </c>
      <c r="J54" s="660">
        <v>14544</v>
      </c>
      <c r="K54" s="660">
        <v>14124</v>
      </c>
      <c r="L54" s="660">
        <v>15239</v>
      </c>
      <c r="M54" s="496">
        <v>1.07</v>
      </c>
      <c r="N54" s="496">
        <v>1.07</v>
      </c>
      <c r="O54" s="496">
        <v>1.34</v>
      </c>
      <c r="P54" s="496">
        <v>1.17</v>
      </c>
      <c r="Q54" s="496">
        <v>1.33</v>
      </c>
      <c r="R54" s="496">
        <v>1.29</v>
      </c>
      <c r="S54" s="496">
        <v>1.25</v>
      </c>
      <c r="T54" s="496">
        <v>1.35</v>
      </c>
    </row>
    <row r="55" spans="1:20" x14ac:dyDescent="0.25">
      <c r="A55" s="496" t="s">
        <v>247</v>
      </c>
      <c r="B55" s="496" t="s">
        <v>248</v>
      </c>
      <c r="C55" s="496" t="s">
        <v>112</v>
      </c>
      <c r="D55" s="660">
        <v>10299</v>
      </c>
      <c r="E55" s="660">
        <v>11919</v>
      </c>
      <c r="F55" s="660">
        <v>11919</v>
      </c>
      <c r="G55" s="660">
        <v>14965</v>
      </c>
      <c r="H55" s="660">
        <v>13050</v>
      </c>
      <c r="I55" s="660">
        <v>14886</v>
      </c>
      <c r="J55" s="660">
        <v>14389</v>
      </c>
      <c r="K55" s="660">
        <v>13974</v>
      </c>
      <c r="L55" s="660">
        <v>15077</v>
      </c>
      <c r="M55" s="496">
        <v>1.1599999999999999</v>
      </c>
      <c r="N55" s="496">
        <v>1.1599999999999999</v>
      </c>
      <c r="O55" s="496">
        <v>1.45</v>
      </c>
      <c r="P55" s="496">
        <v>1.27</v>
      </c>
      <c r="Q55" s="496">
        <v>1.45</v>
      </c>
      <c r="R55" s="496">
        <v>1.4</v>
      </c>
      <c r="S55" s="496">
        <v>1.36</v>
      </c>
      <c r="T55" s="496">
        <v>1.46</v>
      </c>
    </row>
    <row r="56" spans="1:20" x14ac:dyDescent="0.25">
      <c r="A56" s="496" t="s">
        <v>249</v>
      </c>
      <c r="B56" s="496" t="s">
        <v>250</v>
      </c>
      <c r="C56" s="496" t="s">
        <v>112</v>
      </c>
      <c r="D56" s="660">
        <v>9640</v>
      </c>
      <c r="E56" s="660">
        <v>11799</v>
      </c>
      <c r="F56" s="660">
        <v>11799</v>
      </c>
      <c r="G56" s="660">
        <v>14815</v>
      </c>
      <c r="H56" s="660">
        <v>12918</v>
      </c>
      <c r="I56" s="660">
        <v>14737</v>
      </c>
      <c r="J56" s="660">
        <v>14245</v>
      </c>
      <c r="K56" s="660">
        <v>13834</v>
      </c>
      <c r="L56" s="660">
        <v>14926</v>
      </c>
      <c r="M56" s="496">
        <v>1.22</v>
      </c>
      <c r="N56" s="496">
        <v>1.22</v>
      </c>
      <c r="O56" s="496">
        <v>1.54</v>
      </c>
      <c r="P56" s="496">
        <v>1.34</v>
      </c>
      <c r="Q56" s="496">
        <v>1.53</v>
      </c>
      <c r="R56" s="496">
        <v>1.48</v>
      </c>
      <c r="S56" s="496">
        <v>1.44</v>
      </c>
      <c r="T56" s="496">
        <v>1.55</v>
      </c>
    </row>
    <row r="57" spans="1:20" x14ac:dyDescent="0.25">
      <c r="A57" s="496" t="s">
        <v>251</v>
      </c>
      <c r="B57" s="496" t="s">
        <v>252</v>
      </c>
      <c r="C57" s="496" t="s">
        <v>112</v>
      </c>
      <c r="D57" s="660">
        <v>9157</v>
      </c>
      <c r="E57" s="660">
        <v>11710</v>
      </c>
      <c r="F57" s="660">
        <v>11710</v>
      </c>
      <c r="G57" s="660">
        <v>14704</v>
      </c>
      <c r="H57" s="660">
        <v>12821</v>
      </c>
      <c r="I57" s="660">
        <v>14626</v>
      </c>
      <c r="J57" s="660">
        <v>14138</v>
      </c>
      <c r="K57" s="660">
        <v>13730</v>
      </c>
      <c r="L57" s="660">
        <v>14813</v>
      </c>
      <c r="M57" s="496">
        <v>1.28</v>
      </c>
      <c r="N57" s="496">
        <v>1.28</v>
      </c>
      <c r="O57" s="496">
        <v>1.61</v>
      </c>
      <c r="P57" s="496">
        <v>1.4</v>
      </c>
      <c r="Q57" s="496">
        <v>1.6</v>
      </c>
      <c r="R57" s="496">
        <v>1.54</v>
      </c>
      <c r="S57" s="496">
        <v>1.5</v>
      </c>
      <c r="T57" s="496">
        <v>1.62</v>
      </c>
    </row>
    <row r="58" spans="1:20" x14ac:dyDescent="0.25">
      <c r="A58" s="496" t="s">
        <v>253</v>
      </c>
      <c r="B58" s="496" t="s">
        <v>254</v>
      </c>
      <c r="C58" s="496" t="s">
        <v>112</v>
      </c>
      <c r="D58" s="660">
        <v>8782</v>
      </c>
      <c r="E58" s="660">
        <v>11640</v>
      </c>
      <c r="F58" s="660">
        <v>11640</v>
      </c>
      <c r="G58" s="660">
        <v>14616</v>
      </c>
      <c r="H58" s="660">
        <v>12745</v>
      </c>
      <c r="I58" s="660">
        <v>14538</v>
      </c>
      <c r="J58" s="660">
        <v>14053</v>
      </c>
      <c r="K58" s="660">
        <v>13647</v>
      </c>
      <c r="L58" s="660">
        <v>14725</v>
      </c>
      <c r="M58" s="496">
        <v>1.33</v>
      </c>
      <c r="N58" s="496">
        <v>1.33</v>
      </c>
      <c r="O58" s="496">
        <v>1.66</v>
      </c>
      <c r="P58" s="496">
        <v>1.45</v>
      </c>
      <c r="Q58" s="496">
        <v>1.66</v>
      </c>
      <c r="R58" s="496">
        <v>1.6</v>
      </c>
      <c r="S58" s="496">
        <v>1.55</v>
      </c>
      <c r="T58" s="496">
        <v>1.68</v>
      </c>
    </row>
    <row r="59" spans="1:20" x14ac:dyDescent="0.25">
      <c r="A59" s="496" t="s">
        <v>255</v>
      </c>
      <c r="B59" s="496" t="s">
        <v>256</v>
      </c>
      <c r="C59" s="496" t="s">
        <v>112</v>
      </c>
      <c r="D59" s="660">
        <v>8476</v>
      </c>
      <c r="E59" s="660">
        <v>11582</v>
      </c>
      <c r="F59" s="660">
        <v>11582</v>
      </c>
      <c r="G59" s="660">
        <v>14543</v>
      </c>
      <c r="H59" s="660">
        <v>12681</v>
      </c>
      <c r="I59" s="660">
        <v>14466</v>
      </c>
      <c r="J59" s="660">
        <v>13983</v>
      </c>
      <c r="K59" s="660">
        <v>13579</v>
      </c>
      <c r="L59" s="660">
        <v>14651</v>
      </c>
      <c r="M59" s="496">
        <v>1.37</v>
      </c>
      <c r="N59" s="496">
        <v>1.37</v>
      </c>
      <c r="O59" s="496">
        <v>1.72</v>
      </c>
      <c r="P59" s="496">
        <v>1.5</v>
      </c>
      <c r="Q59" s="496">
        <v>1.71</v>
      </c>
      <c r="R59" s="496">
        <v>1.65</v>
      </c>
      <c r="S59" s="496">
        <v>1.6</v>
      </c>
      <c r="T59" s="496">
        <v>1.73</v>
      </c>
    </row>
    <row r="60" spans="1:20" x14ac:dyDescent="0.25">
      <c r="A60" s="496" t="s">
        <v>257</v>
      </c>
      <c r="B60" s="496" t="s">
        <v>258</v>
      </c>
      <c r="C60" s="496" t="s">
        <v>112</v>
      </c>
      <c r="D60" s="660">
        <v>8218</v>
      </c>
      <c r="E60" s="660">
        <v>11510</v>
      </c>
      <c r="F60" s="660">
        <v>11510</v>
      </c>
      <c r="G60" s="660">
        <v>14452</v>
      </c>
      <c r="H60" s="660">
        <v>12602</v>
      </c>
      <c r="I60" s="660">
        <v>14376</v>
      </c>
      <c r="J60" s="660">
        <v>13896</v>
      </c>
      <c r="K60" s="660">
        <v>13495</v>
      </c>
      <c r="L60" s="660">
        <v>14560</v>
      </c>
      <c r="M60" s="496">
        <v>1.4</v>
      </c>
      <c r="N60" s="496">
        <v>1.4</v>
      </c>
      <c r="O60" s="496">
        <v>1.76</v>
      </c>
      <c r="P60" s="496">
        <v>1.53</v>
      </c>
      <c r="Q60" s="496">
        <v>1.75</v>
      </c>
      <c r="R60" s="496">
        <v>1.69</v>
      </c>
      <c r="S60" s="496">
        <v>1.64</v>
      </c>
      <c r="T60" s="496">
        <v>1.77</v>
      </c>
    </row>
    <row r="61" spans="1:20" x14ac:dyDescent="0.25">
      <c r="A61" s="496" t="s">
        <v>259</v>
      </c>
      <c r="B61" s="496" t="s">
        <v>260</v>
      </c>
      <c r="C61" s="496" t="s">
        <v>112</v>
      </c>
      <c r="D61" s="660">
        <v>0</v>
      </c>
      <c r="E61" s="660">
        <v>18693</v>
      </c>
      <c r="F61" s="660">
        <v>18693</v>
      </c>
      <c r="G61" s="660">
        <v>23471</v>
      </c>
      <c r="H61" s="660">
        <v>20467</v>
      </c>
      <c r="I61" s="660">
        <v>23347</v>
      </c>
      <c r="J61" s="660">
        <v>22568</v>
      </c>
      <c r="K61" s="660">
        <v>21916</v>
      </c>
      <c r="L61" s="660">
        <v>23646</v>
      </c>
      <c r="M61" s="496" t="s">
        <v>386</v>
      </c>
      <c r="N61" s="496" t="s">
        <v>386</v>
      </c>
      <c r="O61" s="496" t="s">
        <v>386</v>
      </c>
      <c r="P61" s="496" t="s">
        <v>386</v>
      </c>
      <c r="Q61" s="496" t="s">
        <v>386</v>
      </c>
      <c r="R61" s="496" t="s">
        <v>386</v>
      </c>
      <c r="S61" s="496" t="s">
        <v>386</v>
      </c>
      <c r="T61" s="496" t="s">
        <v>386</v>
      </c>
    </row>
    <row r="62" spans="1:20" x14ac:dyDescent="0.25">
      <c r="A62" s="496" t="s">
        <v>261</v>
      </c>
      <c r="B62" s="496" t="s">
        <v>262</v>
      </c>
      <c r="C62" s="496" t="s">
        <v>112</v>
      </c>
      <c r="D62" s="660">
        <v>0</v>
      </c>
      <c r="E62" s="660">
        <v>9179</v>
      </c>
      <c r="F62" s="660">
        <v>9179</v>
      </c>
      <c r="G62" s="660">
        <v>11525</v>
      </c>
      <c r="H62" s="660">
        <v>10050</v>
      </c>
      <c r="I62" s="660">
        <v>11465</v>
      </c>
      <c r="J62" s="660">
        <v>11082</v>
      </c>
      <c r="K62" s="660">
        <v>10762</v>
      </c>
      <c r="L62" s="660">
        <v>11611</v>
      </c>
      <c r="M62" s="496" t="s">
        <v>386</v>
      </c>
      <c r="N62" s="496" t="s">
        <v>386</v>
      </c>
      <c r="O62" s="496" t="s">
        <v>386</v>
      </c>
      <c r="P62" s="496" t="s">
        <v>386</v>
      </c>
      <c r="Q62" s="496" t="s">
        <v>386</v>
      </c>
      <c r="R62" s="496" t="s">
        <v>386</v>
      </c>
      <c r="S62" s="496" t="s">
        <v>386</v>
      </c>
      <c r="T62" s="496" t="s">
        <v>386</v>
      </c>
    </row>
    <row r="63" spans="1:20" x14ac:dyDescent="0.25">
      <c r="A63" s="496" t="s">
        <v>263</v>
      </c>
      <c r="B63" s="496" t="s">
        <v>264</v>
      </c>
      <c r="C63" s="496" t="s">
        <v>112</v>
      </c>
      <c r="D63" s="660">
        <v>0</v>
      </c>
      <c r="E63" s="660">
        <v>12989</v>
      </c>
      <c r="F63" s="660">
        <v>12989</v>
      </c>
      <c r="G63" s="660">
        <v>16310</v>
      </c>
      <c r="H63" s="660">
        <v>14222</v>
      </c>
      <c r="I63" s="660">
        <v>16224</v>
      </c>
      <c r="J63" s="660">
        <v>15682</v>
      </c>
      <c r="K63" s="660">
        <v>15229</v>
      </c>
      <c r="L63" s="660">
        <v>16431</v>
      </c>
      <c r="M63" s="496" t="s">
        <v>386</v>
      </c>
      <c r="N63" s="496" t="s">
        <v>386</v>
      </c>
      <c r="O63" s="496" t="s">
        <v>386</v>
      </c>
      <c r="P63" s="496" t="s">
        <v>386</v>
      </c>
      <c r="Q63" s="496" t="s">
        <v>386</v>
      </c>
      <c r="R63" s="496" t="s">
        <v>386</v>
      </c>
      <c r="S63" s="496" t="s">
        <v>386</v>
      </c>
      <c r="T63" s="496" t="s">
        <v>386</v>
      </c>
    </row>
    <row r="64" spans="1:20" x14ac:dyDescent="0.25">
      <c r="A64" s="496" t="s">
        <v>265</v>
      </c>
      <c r="B64" s="496" t="s">
        <v>266</v>
      </c>
      <c r="C64" s="496" t="s">
        <v>112</v>
      </c>
      <c r="D64" s="660">
        <v>35911</v>
      </c>
      <c r="E64" s="660">
        <v>11700</v>
      </c>
      <c r="F64" s="660">
        <v>11700</v>
      </c>
      <c r="G64" s="660">
        <v>14690</v>
      </c>
      <c r="H64" s="660">
        <v>12810</v>
      </c>
      <c r="I64" s="660">
        <v>14613</v>
      </c>
      <c r="J64" s="660">
        <v>14125</v>
      </c>
      <c r="K64" s="660">
        <v>13717</v>
      </c>
      <c r="L64" s="660">
        <v>14800</v>
      </c>
      <c r="M64" s="496">
        <v>0.33</v>
      </c>
      <c r="N64" s="496">
        <v>0.33</v>
      </c>
      <c r="O64" s="496">
        <v>0.41</v>
      </c>
      <c r="P64" s="496">
        <v>0.36</v>
      </c>
      <c r="Q64" s="496">
        <v>0.41</v>
      </c>
      <c r="R64" s="496">
        <v>0.39</v>
      </c>
      <c r="S64" s="496">
        <v>0.38</v>
      </c>
      <c r="T64" s="496">
        <v>0.41</v>
      </c>
    </row>
    <row r="65" spans="1:20" x14ac:dyDescent="0.25">
      <c r="A65" s="496" t="s">
        <v>267</v>
      </c>
      <c r="B65" s="496" t="s">
        <v>268</v>
      </c>
      <c r="C65" s="496" t="s">
        <v>112</v>
      </c>
      <c r="D65" s="660">
        <v>0</v>
      </c>
      <c r="E65" s="660">
        <v>26082</v>
      </c>
      <c r="F65" s="660">
        <v>26082</v>
      </c>
      <c r="G65" s="660">
        <v>32750</v>
      </c>
      <c r="H65" s="660">
        <v>28557</v>
      </c>
      <c r="I65" s="660">
        <v>32577</v>
      </c>
      <c r="J65" s="660">
        <v>31489</v>
      </c>
      <c r="K65" s="660">
        <v>30580</v>
      </c>
      <c r="L65" s="660">
        <v>32994</v>
      </c>
      <c r="M65" s="496" t="s">
        <v>386</v>
      </c>
      <c r="N65" s="496" t="s">
        <v>386</v>
      </c>
      <c r="O65" s="496" t="s">
        <v>386</v>
      </c>
      <c r="P65" s="496" t="s">
        <v>386</v>
      </c>
      <c r="Q65" s="496" t="s">
        <v>386</v>
      </c>
      <c r="R65" s="496" t="s">
        <v>386</v>
      </c>
      <c r="S65" s="496" t="s">
        <v>386</v>
      </c>
      <c r="T65" s="496" t="s">
        <v>386</v>
      </c>
    </row>
    <row r="66" spans="1:20" x14ac:dyDescent="0.25">
      <c r="A66" s="496" t="s">
        <v>269</v>
      </c>
      <c r="B66" s="496" t="s">
        <v>270</v>
      </c>
      <c r="C66" s="496" t="s">
        <v>112</v>
      </c>
      <c r="D66" s="660">
        <v>0</v>
      </c>
      <c r="E66" s="660">
        <v>3769</v>
      </c>
      <c r="F66" s="660">
        <v>3769</v>
      </c>
      <c r="G66" s="660">
        <v>4732</v>
      </c>
      <c r="H66" s="660">
        <v>4126</v>
      </c>
      <c r="I66" s="660">
        <v>4707</v>
      </c>
      <c r="J66" s="660">
        <v>4550</v>
      </c>
      <c r="K66" s="660">
        <v>4419</v>
      </c>
      <c r="L66" s="660">
        <v>4767</v>
      </c>
      <c r="M66" s="496" t="s">
        <v>386</v>
      </c>
      <c r="N66" s="496" t="s">
        <v>386</v>
      </c>
      <c r="O66" s="496" t="s">
        <v>386</v>
      </c>
      <c r="P66" s="496" t="s">
        <v>386</v>
      </c>
      <c r="Q66" s="496" t="s">
        <v>386</v>
      </c>
      <c r="R66" s="496" t="s">
        <v>386</v>
      </c>
      <c r="S66" s="496" t="s">
        <v>386</v>
      </c>
      <c r="T66" s="496" t="s">
        <v>386</v>
      </c>
    </row>
    <row r="67" spans="1:20" x14ac:dyDescent="0.25">
      <c r="A67" s="496" t="s">
        <v>271</v>
      </c>
      <c r="B67" s="496" t="s">
        <v>272</v>
      </c>
      <c r="C67" s="496" t="s">
        <v>112</v>
      </c>
      <c r="D67" s="660">
        <v>0</v>
      </c>
      <c r="E67" s="660">
        <v>39233</v>
      </c>
      <c r="F67" s="660">
        <v>39233</v>
      </c>
      <c r="G67" s="660">
        <v>49262</v>
      </c>
      <c r="H67" s="660">
        <v>42956</v>
      </c>
      <c r="I67" s="660">
        <v>49002</v>
      </c>
      <c r="J67" s="660">
        <v>47366</v>
      </c>
      <c r="K67" s="660">
        <v>45999</v>
      </c>
      <c r="L67" s="660">
        <v>49630</v>
      </c>
      <c r="M67" s="496" t="s">
        <v>386</v>
      </c>
      <c r="N67" s="496" t="s">
        <v>386</v>
      </c>
      <c r="O67" s="496" t="s">
        <v>386</v>
      </c>
      <c r="P67" s="496" t="s">
        <v>386</v>
      </c>
      <c r="Q67" s="496" t="s">
        <v>386</v>
      </c>
      <c r="R67" s="496" t="s">
        <v>386</v>
      </c>
      <c r="S67" s="496" t="s">
        <v>386</v>
      </c>
      <c r="T67" s="496" t="s">
        <v>386</v>
      </c>
    </row>
    <row r="68" spans="1:20" x14ac:dyDescent="0.25">
      <c r="A68" s="496" t="s">
        <v>273</v>
      </c>
      <c r="B68" s="496" t="s">
        <v>274</v>
      </c>
      <c r="C68" s="496" t="s">
        <v>112</v>
      </c>
      <c r="D68" s="660">
        <v>11350</v>
      </c>
      <c r="E68" s="660">
        <v>12781</v>
      </c>
      <c r="F68" s="660">
        <v>12781</v>
      </c>
      <c r="G68" s="660">
        <v>16049</v>
      </c>
      <c r="H68" s="660">
        <v>13994</v>
      </c>
      <c r="I68" s="660">
        <v>15964</v>
      </c>
      <c r="J68" s="660">
        <v>15431</v>
      </c>
      <c r="K68" s="660">
        <v>14985</v>
      </c>
      <c r="L68" s="660">
        <v>16168</v>
      </c>
      <c r="M68" s="496">
        <v>1.1299999999999999</v>
      </c>
      <c r="N68" s="496">
        <v>1.1299999999999999</v>
      </c>
      <c r="O68" s="496">
        <v>1.41</v>
      </c>
      <c r="P68" s="496">
        <v>1.23</v>
      </c>
      <c r="Q68" s="496">
        <v>1.41</v>
      </c>
      <c r="R68" s="496">
        <v>1.36</v>
      </c>
      <c r="S68" s="496">
        <v>1.32</v>
      </c>
      <c r="T68" s="496">
        <v>1.42</v>
      </c>
    </row>
    <row r="69" spans="1:20" x14ac:dyDescent="0.25">
      <c r="A69" s="496" t="s">
        <v>275</v>
      </c>
      <c r="B69" s="496" t="s">
        <v>276</v>
      </c>
      <c r="C69" s="496" t="s">
        <v>112</v>
      </c>
      <c r="D69" s="660">
        <v>8060</v>
      </c>
      <c r="E69" s="660">
        <v>13001</v>
      </c>
      <c r="F69" s="660">
        <v>13001</v>
      </c>
      <c r="G69" s="660">
        <v>16324</v>
      </c>
      <c r="H69" s="660">
        <v>14234</v>
      </c>
      <c r="I69" s="660">
        <v>16238</v>
      </c>
      <c r="J69" s="660">
        <v>15696</v>
      </c>
      <c r="K69" s="660">
        <v>15243</v>
      </c>
      <c r="L69" s="660">
        <v>16446</v>
      </c>
      <c r="M69" s="496">
        <v>1.61</v>
      </c>
      <c r="N69" s="496">
        <v>1.61</v>
      </c>
      <c r="O69" s="496">
        <v>2.0299999999999998</v>
      </c>
      <c r="P69" s="496">
        <v>1.77</v>
      </c>
      <c r="Q69" s="496">
        <v>2.0099999999999998</v>
      </c>
      <c r="R69" s="496">
        <v>1.95</v>
      </c>
      <c r="S69" s="496">
        <v>1.89</v>
      </c>
      <c r="T69" s="496">
        <v>2.04</v>
      </c>
    </row>
    <row r="70" spans="1:20" x14ac:dyDescent="0.25">
      <c r="A70" s="496" t="s">
        <v>277</v>
      </c>
      <c r="B70" s="496" t="s">
        <v>278</v>
      </c>
      <c r="C70" s="496" t="s">
        <v>112</v>
      </c>
      <c r="D70" s="660">
        <v>12682</v>
      </c>
      <c r="E70" s="660">
        <v>14363</v>
      </c>
      <c r="F70" s="660">
        <v>14363</v>
      </c>
      <c r="G70" s="660">
        <v>18035</v>
      </c>
      <c r="H70" s="660">
        <v>15726</v>
      </c>
      <c r="I70" s="660">
        <v>17940</v>
      </c>
      <c r="J70" s="660">
        <v>17341</v>
      </c>
      <c r="K70" s="660">
        <v>16840</v>
      </c>
      <c r="L70" s="660">
        <v>18169</v>
      </c>
      <c r="M70" s="496">
        <v>1.1299999999999999</v>
      </c>
      <c r="N70" s="496">
        <v>1.1299999999999999</v>
      </c>
      <c r="O70" s="496">
        <v>1.42</v>
      </c>
      <c r="P70" s="496">
        <v>1.24</v>
      </c>
      <c r="Q70" s="496">
        <v>1.41</v>
      </c>
      <c r="R70" s="496">
        <v>1.37</v>
      </c>
      <c r="S70" s="496">
        <v>1.33</v>
      </c>
      <c r="T70" s="496">
        <v>1.43</v>
      </c>
    </row>
    <row r="71" spans="1:20" x14ac:dyDescent="0.25">
      <c r="A71" s="496" t="s">
        <v>279</v>
      </c>
      <c r="B71" s="496" t="s">
        <v>280</v>
      </c>
      <c r="C71" s="496" t="s">
        <v>112</v>
      </c>
      <c r="D71" s="660">
        <v>0</v>
      </c>
      <c r="E71" s="660">
        <v>7399</v>
      </c>
      <c r="F71" s="660">
        <v>7399</v>
      </c>
      <c r="G71" s="660">
        <v>9291</v>
      </c>
      <c r="H71" s="660">
        <v>8101</v>
      </c>
      <c r="I71" s="660">
        <v>9242</v>
      </c>
      <c r="J71" s="660">
        <v>8933</v>
      </c>
      <c r="K71" s="660">
        <v>8675</v>
      </c>
      <c r="L71" s="660">
        <v>9360</v>
      </c>
      <c r="M71" s="496" t="s">
        <v>386</v>
      </c>
      <c r="N71" s="496" t="s">
        <v>386</v>
      </c>
      <c r="O71" s="496" t="s">
        <v>386</v>
      </c>
      <c r="P71" s="496" t="s">
        <v>386</v>
      </c>
      <c r="Q71" s="496" t="s">
        <v>386</v>
      </c>
      <c r="R71" s="496" t="s">
        <v>386</v>
      </c>
      <c r="S71" s="496" t="s">
        <v>386</v>
      </c>
      <c r="T71" s="496" t="s">
        <v>386</v>
      </c>
    </row>
    <row r="72" spans="1:20" x14ac:dyDescent="0.25">
      <c r="A72" s="496" t="s">
        <v>281</v>
      </c>
      <c r="B72" s="496" t="s">
        <v>282</v>
      </c>
      <c r="C72" s="496" t="s">
        <v>112</v>
      </c>
      <c r="D72" s="660">
        <v>20593</v>
      </c>
      <c r="E72" s="660">
        <v>20784</v>
      </c>
      <c r="F72" s="660">
        <v>20784</v>
      </c>
      <c r="G72" s="660">
        <v>26096</v>
      </c>
      <c r="H72" s="660">
        <v>22756</v>
      </c>
      <c r="I72" s="660">
        <v>25959</v>
      </c>
      <c r="J72" s="660">
        <v>25092</v>
      </c>
      <c r="K72" s="660">
        <v>24367</v>
      </c>
      <c r="L72" s="660">
        <v>26291</v>
      </c>
      <c r="M72" s="496">
        <v>1.01</v>
      </c>
      <c r="N72" s="496">
        <v>1.01</v>
      </c>
      <c r="O72" s="496">
        <v>1.27</v>
      </c>
      <c r="P72" s="496">
        <v>1.1100000000000001</v>
      </c>
      <c r="Q72" s="496">
        <v>1.26</v>
      </c>
      <c r="R72" s="496">
        <v>1.22</v>
      </c>
      <c r="S72" s="496">
        <v>1.18</v>
      </c>
      <c r="T72" s="496">
        <v>1.28</v>
      </c>
    </row>
    <row r="73" spans="1:20" x14ac:dyDescent="0.25">
      <c r="A73" s="496" t="s">
        <v>283</v>
      </c>
      <c r="B73" s="496" t="s">
        <v>284</v>
      </c>
      <c r="C73" s="496" t="s">
        <v>112</v>
      </c>
      <c r="D73" s="660">
        <v>14866</v>
      </c>
      <c r="E73" s="660">
        <v>3747</v>
      </c>
      <c r="F73" s="660">
        <v>3747</v>
      </c>
      <c r="G73" s="660">
        <v>4705</v>
      </c>
      <c r="H73" s="660">
        <v>4102</v>
      </c>
      <c r="I73" s="660">
        <v>4680</v>
      </c>
      <c r="J73" s="660">
        <v>4523</v>
      </c>
      <c r="K73" s="660">
        <v>4393</v>
      </c>
      <c r="L73" s="660">
        <v>4740</v>
      </c>
      <c r="M73" s="496">
        <v>0.25</v>
      </c>
      <c r="N73" s="496">
        <v>0.25</v>
      </c>
      <c r="O73" s="496">
        <v>0.32</v>
      </c>
      <c r="P73" s="496">
        <v>0.28000000000000003</v>
      </c>
      <c r="Q73" s="496">
        <v>0.31</v>
      </c>
      <c r="R73" s="496">
        <v>0.3</v>
      </c>
      <c r="S73" s="496">
        <v>0.3</v>
      </c>
      <c r="T73" s="496">
        <v>0.32</v>
      </c>
    </row>
    <row r="74" spans="1:20" x14ac:dyDescent="0.25">
      <c r="A74" s="496" t="s">
        <v>285</v>
      </c>
      <c r="B74" s="496" t="s">
        <v>286</v>
      </c>
      <c r="C74" s="496" t="s">
        <v>112</v>
      </c>
      <c r="D74" s="660">
        <v>17723</v>
      </c>
      <c r="E74" s="660">
        <v>27916</v>
      </c>
      <c r="F74" s="660">
        <v>27916</v>
      </c>
      <c r="G74" s="660">
        <v>35053</v>
      </c>
      <c r="H74" s="660">
        <v>30565</v>
      </c>
      <c r="I74" s="660">
        <v>34868</v>
      </c>
      <c r="J74" s="660">
        <v>33703</v>
      </c>
      <c r="K74" s="660">
        <v>32730</v>
      </c>
      <c r="L74" s="660">
        <v>35314</v>
      </c>
      <c r="M74" s="496">
        <v>1.58</v>
      </c>
      <c r="N74" s="496">
        <v>1.58</v>
      </c>
      <c r="O74" s="496">
        <v>1.98</v>
      </c>
      <c r="P74" s="496">
        <v>1.72</v>
      </c>
      <c r="Q74" s="496">
        <v>1.97</v>
      </c>
      <c r="R74" s="496">
        <v>1.9</v>
      </c>
      <c r="S74" s="496">
        <v>1.85</v>
      </c>
      <c r="T74" s="496">
        <v>1.99</v>
      </c>
    </row>
    <row r="75" spans="1:20" x14ac:dyDescent="0.25">
      <c r="A75" s="496" t="s">
        <v>287</v>
      </c>
      <c r="B75" s="496" t="s">
        <v>387</v>
      </c>
      <c r="C75" s="496" t="s">
        <v>112</v>
      </c>
      <c r="D75" s="660">
        <v>0</v>
      </c>
      <c r="E75" s="660">
        <v>15475</v>
      </c>
      <c r="F75" s="660">
        <v>15475</v>
      </c>
      <c r="G75" s="660">
        <v>19431</v>
      </c>
      <c r="H75" s="660">
        <v>16943</v>
      </c>
      <c r="I75" s="660">
        <v>19328</v>
      </c>
      <c r="J75" s="660">
        <v>18683</v>
      </c>
      <c r="K75" s="660">
        <v>18143</v>
      </c>
      <c r="L75" s="660">
        <v>19576</v>
      </c>
      <c r="M75" s="496" t="s">
        <v>386</v>
      </c>
      <c r="N75" s="496" t="s">
        <v>386</v>
      </c>
      <c r="O75" s="496" t="s">
        <v>386</v>
      </c>
      <c r="P75" s="496" t="s">
        <v>386</v>
      </c>
      <c r="Q75" s="496" t="s">
        <v>386</v>
      </c>
      <c r="R75" s="496" t="s">
        <v>386</v>
      </c>
      <c r="S75" s="496" t="s">
        <v>386</v>
      </c>
      <c r="T75" s="496" t="s">
        <v>386</v>
      </c>
    </row>
    <row r="76" spans="1:20" x14ac:dyDescent="0.25">
      <c r="A76" s="496" t="s">
        <v>287</v>
      </c>
      <c r="B76" s="496" t="s">
        <v>288</v>
      </c>
      <c r="C76" s="496" t="s">
        <v>112</v>
      </c>
      <c r="D76" s="660">
        <v>18800</v>
      </c>
      <c r="E76" s="660">
        <v>15021</v>
      </c>
      <c r="F76" s="660">
        <v>15021</v>
      </c>
      <c r="G76" s="660">
        <v>18861</v>
      </c>
      <c r="H76" s="660">
        <v>16446</v>
      </c>
      <c r="I76" s="660">
        <v>18761</v>
      </c>
      <c r="J76" s="660">
        <v>18135</v>
      </c>
      <c r="K76" s="660">
        <v>17611</v>
      </c>
      <c r="L76" s="660">
        <v>19001</v>
      </c>
      <c r="M76" s="496">
        <v>0.8</v>
      </c>
      <c r="N76" s="496">
        <v>0.8</v>
      </c>
      <c r="O76" s="496">
        <v>1</v>
      </c>
      <c r="P76" s="496">
        <v>0.87</v>
      </c>
      <c r="Q76" s="496">
        <v>1</v>
      </c>
      <c r="R76" s="496">
        <v>0.96</v>
      </c>
      <c r="S76" s="496">
        <v>0.94</v>
      </c>
      <c r="T76" s="496">
        <v>1.01</v>
      </c>
    </row>
    <row r="77" spans="1:20" x14ac:dyDescent="0.25">
      <c r="A77" s="496" t="s">
        <v>289</v>
      </c>
      <c r="B77" s="496" t="s">
        <v>290</v>
      </c>
      <c r="C77" s="496" t="s">
        <v>112</v>
      </c>
      <c r="D77" s="660">
        <v>14048</v>
      </c>
      <c r="E77" s="660">
        <v>8017</v>
      </c>
      <c r="F77" s="660">
        <v>8017</v>
      </c>
      <c r="G77" s="660">
        <v>10067</v>
      </c>
      <c r="H77" s="660">
        <v>8778</v>
      </c>
      <c r="I77" s="660">
        <v>10014</v>
      </c>
      <c r="J77" s="660">
        <v>9680</v>
      </c>
      <c r="K77" s="660">
        <v>9400</v>
      </c>
      <c r="L77" s="660">
        <v>10142</v>
      </c>
      <c r="M77" s="496">
        <v>0.56999999999999995</v>
      </c>
      <c r="N77" s="496">
        <v>0.56999999999999995</v>
      </c>
      <c r="O77" s="496">
        <v>0.72</v>
      </c>
      <c r="P77" s="496">
        <v>0.62</v>
      </c>
      <c r="Q77" s="496">
        <v>0.71</v>
      </c>
      <c r="R77" s="496">
        <v>0.69</v>
      </c>
      <c r="S77" s="496">
        <v>0.67</v>
      </c>
      <c r="T77" s="496">
        <v>0.72</v>
      </c>
    </row>
    <row r="78" spans="1:20" x14ac:dyDescent="0.25">
      <c r="A78" s="496" t="s">
        <v>291</v>
      </c>
      <c r="B78" s="496" t="s">
        <v>242</v>
      </c>
      <c r="C78" s="496" t="s">
        <v>112</v>
      </c>
      <c r="D78" s="660">
        <v>13384</v>
      </c>
      <c r="E78" s="660">
        <v>5980</v>
      </c>
      <c r="F78" s="660">
        <v>5980</v>
      </c>
      <c r="G78" s="660">
        <v>7509</v>
      </c>
      <c r="H78" s="660">
        <v>6547</v>
      </c>
      <c r="I78" s="660">
        <v>7469</v>
      </c>
      <c r="J78" s="660">
        <v>7220</v>
      </c>
      <c r="K78" s="660">
        <v>7011</v>
      </c>
      <c r="L78" s="660">
        <v>7565</v>
      </c>
      <c r="M78" s="496">
        <v>0.45</v>
      </c>
      <c r="N78" s="496">
        <v>0.45</v>
      </c>
      <c r="O78" s="496">
        <v>0.56000000000000005</v>
      </c>
      <c r="P78" s="496">
        <v>0.49</v>
      </c>
      <c r="Q78" s="496">
        <v>0.56000000000000005</v>
      </c>
      <c r="R78" s="496">
        <v>0.54</v>
      </c>
      <c r="S78" s="496">
        <v>0.52</v>
      </c>
      <c r="T78" s="496">
        <v>0.56999999999999995</v>
      </c>
    </row>
    <row r="79" spans="1:20" x14ac:dyDescent="0.25">
      <c r="A79" s="496" t="s">
        <v>292</v>
      </c>
      <c r="B79" s="496" t="s">
        <v>293</v>
      </c>
      <c r="C79" s="496" t="s">
        <v>112</v>
      </c>
      <c r="D79" s="660">
        <v>20241</v>
      </c>
      <c r="E79" s="660">
        <v>21646</v>
      </c>
      <c r="F79" s="660">
        <v>21646</v>
      </c>
      <c r="G79" s="660">
        <v>27180</v>
      </c>
      <c r="H79" s="660">
        <v>23700</v>
      </c>
      <c r="I79" s="660">
        <v>27036</v>
      </c>
      <c r="J79" s="660">
        <v>26134</v>
      </c>
      <c r="K79" s="660">
        <v>25379</v>
      </c>
      <c r="L79" s="660">
        <v>27382</v>
      </c>
      <c r="M79" s="496">
        <v>1.07</v>
      </c>
      <c r="N79" s="496">
        <v>1.07</v>
      </c>
      <c r="O79" s="496">
        <v>1.34</v>
      </c>
      <c r="P79" s="496">
        <v>1.17</v>
      </c>
      <c r="Q79" s="496">
        <v>1.34</v>
      </c>
      <c r="R79" s="496">
        <v>1.29</v>
      </c>
      <c r="S79" s="496">
        <v>1.25</v>
      </c>
      <c r="T79" s="496">
        <v>1.35</v>
      </c>
    </row>
    <row r="80" spans="1:20" x14ac:dyDescent="0.25">
      <c r="A80" s="496" t="s">
        <v>294</v>
      </c>
      <c r="B80" s="496" t="s">
        <v>248</v>
      </c>
      <c r="C80" s="496" t="s">
        <v>112</v>
      </c>
      <c r="D80" s="660">
        <v>18775</v>
      </c>
      <c r="E80" s="660">
        <v>18382</v>
      </c>
      <c r="F80" s="660">
        <v>18382</v>
      </c>
      <c r="G80" s="660">
        <v>23081</v>
      </c>
      <c r="H80" s="660">
        <v>20126</v>
      </c>
      <c r="I80" s="660">
        <v>22959</v>
      </c>
      <c r="J80" s="660">
        <v>22193</v>
      </c>
      <c r="K80" s="660">
        <v>21552</v>
      </c>
      <c r="L80" s="660">
        <v>23253</v>
      </c>
      <c r="M80" s="496">
        <v>0.98</v>
      </c>
      <c r="N80" s="496">
        <v>0.98</v>
      </c>
      <c r="O80" s="496">
        <v>1.23</v>
      </c>
      <c r="P80" s="496">
        <v>1.07</v>
      </c>
      <c r="Q80" s="496">
        <v>1.22</v>
      </c>
      <c r="R80" s="496">
        <v>1.18</v>
      </c>
      <c r="S80" s="496">
        <v>1.1499999999999999</v>
      </c>
      <c r="T80" s="496">
        <v>1.24</v>
      </c>
    </row>
    <row r="81" spans="1:20" x14ac:dyDescent="0.25">
      <c r="A81" s="496" t="s">
        <v>295</v>
      </c>
      <c r="B81" s="496" t="s">
        <v>250</v>
      </c>
      <c r="C81" s="496" t="s">
        <v>112</v>
      </c>
      <c r="D81" s="660">
        <v>25847</v>
      </c>
      <c r="E81" s="660">
        <v>16506</v>
      </c>
      <c r="F81" s="660">
        <v>16506</v>
      </c>
      <c r="G81" s="660">
        <v>20725</v>
      </c>
      <c r="H81" s="660">
        <v>18072</v>
      </c>
      <c r="I81" s="660">
        <v>20615</v>
      </c>
      <c r="J81" s="660">
        <v>19927</v>
      </c>
      <c r="K81" s="660">
        <v>19352</v>
      </c>
      <c r="L81" s="660">
        <v>20879</v>
      </c>
      <c r="M81" s="496">
        <v>0.64</v>
      </c>
      <c r="N81" s="496">
        <v>0.64</v>
      </c>
      <c r="O81" s="496">
        <v>0.8</v>
      </c>
      <c r="P81" s="496">
        <v>0.7</v>
      </c>
      <c r="Q81" s="496">
        <v>0.8</v>
      </c>
      <c r="R81" s="496">
        <v>0.77</v>
      </c>
      <c r="S81" s="496">
        <v>0.75</v>
      </c>
      <c r="T81" s="496">
        <v>0.81</v>
      </c>
    </row>
    <row r="82" spans="1:20" x14ac:dyDescent="0.25">
      <c r="A82" s="496" t="s">
        <v>296</v>
      </c>
      <c r="B82" s="496" t="s">
        <v>252</v>
      </c>
      <c r="C82" s="496" t="s">
        <v>112</v>
      </c>
      <c r="D82" s="660">
        <v>24653</v>
      </c>
      <c r="E82" s="660">
        <v>15230</v>
      </c>
      <c r="F82" s="660">
        <v>15230</v>
      </c>
      <c r="G82" s="660">
        <v>19123</v>
      </c>
      <c r="H82" s="660">
        <v>16675</v>
      </c>
      <c r="I82" s="660">
        <v>19022</v>
      </c>
      <c r="J82" s="660">
        <v>18387</v>
      </c>
      <c r="K82" s="660">
        <v>17856</v>
      </c>
      <c r="L82" s="660">
        <v>19266</v>
      </c>
      <c r="M82" s="496">
        <v>0.62</v>
      </c>
      <c r="N82" s="496">
        <v>0.62</v>
      </c>
      <c r="O82" s="496">
        <v>0.78</v>
      </c>
      <c r="P82" s="496">
        <v>0.68</v>
      </c>
      <c r="Q82" s="496">
        <v>0.77</v>
      </c>
      <c r="R82" s="496">
        <v>0.75</v>
      </c>
      <c r="S82" s="496">
        <v>0.72</v>
      </c>
      <c r="T82" s="496">
        <v>0.78</v>
      </c>
    </row>
    <row r="83" spans="1:20" x14ac:dyDescent="0.25">
      <c r="A83" s="496" t="s">
        <v>297</v>
      </c>
      <c r="B83" s="496" t="s">
        <v>254</v>
      </c>
      <c r="C83" s="496" t="s">
        <v>112</v>
      </c>
      <c r="D83" s="660">
        <v>23479</v>
      </c>
      <c r="E83" s="660">
        <v>14283</v>
      </c>
      <c r="F83" s="660">
        <v>14283</v>
      </c>
      <c r="G83" s="660">
        <v>17934</v>
      </c>
      <c r="H83" s="660">
        <v>15638</v>
      </c>
      <c r="I83" s="660">
        <v>17839</v>
      </c>
      <c r="J83" s="660">
        <v>17244</v>
      </c>
      <c r="K83" s="660">
        <v>16746</v>
      </c>
      <c r="L83" s="660">
        <v>18068</v>
      </c>
      <c r="M83" s="496">
        <v>0.61</v>
      </c>
      <c r="N83" s="496">
        <v>0.61</v>
      </c>
      <c r="O83" s="496">
        <v>0.76</v>
      </c>
      <c r="P83" s="496">
        <v>0.67</v>
      </c>
      <c r="Q83" s="496">
        <v>0.76</v>
      </c>
      <c r="R83" s="496">
        <v>0.73</v>
      </c>
      <c r="S83" s="496">
        <v>0.71</v>
      </c>
      <c r="T83" s="496">
        <v>0.77</v>
      </c>
    </row>
    <row r="84" spans="1:20" x14ac:dyDescent="0.25">
      <c r="A84" s="496" t="s">
        <v>298</v>
      </c>
      <c r="B84" s="496" t="s">
        <v>299</v>
      </c>
      <c r="C84" s="496" t="s">
        <v>112</v>
      </c>
      <c r="D84" s="660">
        <v>21864</v>
      </c>
      <c r="E84" s="660">
        <v>13222</v>
      </c>
      <c r="F84" s="660">
        <v>13222</v>
      </c>
      <c r="G84" s="660">
        <v>16602</v>
      </c>
      <c r="H84" s="660">
        <v>14477</v>
      </c>
      <c r="I84" s="660">
        <v>16514</v>
      </c>
      <c r="J84" s="660">
        <v>15963</v>
      </c>
      <c r="K84" s="660">
        <v>15502</v>
      </c>
      <c r="L84" s="660">
        <v>16726</v>
      </c>
      <c r="M84" s="496">
        <v>0.6</v>
      </c>
      <c r="N84" s="496">
        <v>0.6</v>
      </c>
      <c r="O84" s="496">
        <v>0.76</v>
      </c>
      <c r="P84" s="496">
        <v>0.66</v>
      </c>
      <c r="Q84" s="496">
        <v>0.76</v>
      </c>
      <c r="R84" s="496">
        <v>0.73</v>
      </c>
      <c r="S84" s="496">
        <v>0.71</v>
      </c>
      <c r="T84" s="496">
        <v>0.76</v>
      </c>
    </row>
    <row r="85" spans="1:20" x14ac:dyDescent="0.25">
      <c r="A85" s="496" t="s">
        <v>300</v>
      </c>
      <c r="B85" s="496" t="s">
        <v>301</v>
      </c>
      <c r="C85" s="496" t="s">
        <v>112</v>
      </c>
      <c r="D85" s="660">
        <v>20514</v>
      </c>
      <c r="E85" s="660">
        <v>12200</v>
      </c>
      <c r="F85" s="660">
        <v>12200</v>
      </c>
      <c r="G85" s="660">
        <v>15319</v>
      </c>
      <c r="H85" s="660">
        <v>13358</v>
      </c>
      <c r="I85" s="660">
        <v>15238</v>
      </c>
      <c r="J85" s="660">
        <v>14730</v>
      </c>
      <c r="K85" s="660">
        <v>14304</v>
      </c>
      <c r="L85" s="660">
        <v>15433</v>
      </c>
      <c r="M85" s="496">
        <v>0.59</v>
      </c>
      <c r="N85" s="496">
        <v>0.59</v>
      </c>
      <c r="O85" s="496">
        <v>0.75</v>
      </c>
      <c r="P85" s="496">
        <v>0.65</v>
      </c>
      <c r="Q85" s="496">
        <v>0.74</v>
      </c>
      <c r="R85" s="496">
        <v>0.72</v>
      </c>
      <c r="S85" s="496">
        <v>0.7</v>
      </c>
      <c r="T85" s="496">
        <v>0.75</v>
      </c>
    </row>
    <row r="86" spans="1:20" x14ac:dyDescent="0.25">
      <c r="A86" s="496" t="s">
        <v>302</v>
      </c>
      <c r="B86" s="496" t="s">
        <v>303</v>
      </c>
      <c r="C86" s="496" t="s">
        <v>112</v>
      </c>
      <c r="D86" s="660">
        <v>19521</v>
      </c>
      <c r="E86" s="660">
        <v>11442</v>
      </c>
      <c r="F86" s="660">
        <v>11442</v>
      </c>
      <c r="G86" s="660">
        <v>14366</v>
      </c>
      <c r="H86" s="660">
        <v>12527</v>
      </c>
      <c r="I86" s="660">
        <v>14291</v>
      </c>
      <c r="J86" s="660">
        <v>13813</v>
      </c>
      <c r="K86" s="660">
        <v>13415</v>
      </c>
      <c r="L86" s="660">
        <v>14474</v>
      </c>
      <c r="M86" s="496">
        <v>0.59</v>
      </c>
      <c r="N86" s="496">
        <v>0.59</v>
      </c>
      <c r="O86" s="496">
        <v>0.74</v>
      </c>
      <c r="P86" s="496">
        <v>0.64</v>
      </c>
      <c r="Q86" s="496">
        <v>0.73</v>
      </c>
      <c r="R86" s="496">
        <v>0.71</v>
      </c>
      <c r="S86" s="496">
        <v>0.69</v>
      </c>
      <c r="T86" s="496">
        <v>0.74</v>
      </c>
    </row>
    <row r="87" spans="1:20" x14ac:dyDescent="0.25">
      <c r="A87" s="496" t="s">
        <v>304</v>
      </c>
      <c r="B87" s="496" t="s">
        <v>305</v>
      </c>
      <c r="C87" s="496" t="s">
        <v>112</v>
      </c>
      <c r="D87" s="660">
        <v>19249</v>
      </c>
      <c r="E87" s="660">
        <v>10846</v>
      </c>
      <c r="F87" s="660">
        <v>10846</v>
      </c>
      <c r="G87" s="660">
        <v>13619</v>
      </c>
      <c r="H87" s="660">
        <v>11875</v>
      </c>
      <c r="I87" s="660">
        <v>13547</v>
      </c>
      <c r="J87" s="660">
        <v>13094</v>
      </c>
      <c r="K87" s="660">
        <v>12716</v>
      </c>
      <c r="L87" s="660">
        <v>13720</v>
      </c>
      <c r="M87" s="496">
        <v>0.56000000000000005</v>
      </c>
      <c r="N87" s="496">
        <v>0.56000000000000005</v>
      </c>
      <c r="O87" s="496">
        <v>0.71</v>
      </c>
      <c r="P87" s="496">
        <v>0.62</v>
      </c>
      <c r="Q87" s="496">
        <v>0.7</v>
      </c>
      <c r="R87" s="496">
        <v>0.68</v>
      </c>
      <c r="S87" s="496">
        <v>0.66</v>
      </c>
      <c r="T87" s="496">
        <v>0.71</v>
      </c>
    </row>
    <row r="88" spans="1:20" x14ac:dyDescent="0.25">
      <c r="A88" s="496" t="s">
        <v>306</v>
      </c>
      <c r="B88" s="496" t="s">
        <v>307</v>
      </c>
      <c r="C88" s="496" t="s">
        <v>112</v>
      </c>
      <c r="D88" s="660">
        <v>0</v>
      </c>
      <c r="E88" s="660">
        <v>10900</v>
      </c>
      <c r="F88" s="660">
        <v>10900</v>
      </c>
      <c r="G88" s="660">
        <v>13686</v>
      </c>
      <c r="H88" s="660">
        <v>11934</v>
      </c>
      <c r="I88" s="660">
        <v>13614</v>
      </c>
      <c r="J88" s="660">
        <v>13160</v>
      </c>
      <c r="K88" s="660">
        <v>12780</v>
      </c>
      <c r="L88" s="660">
        <v>13789</v>
      </c>
      <c r="M88" s="496" t="s">
        <v>386</v>
      </c>
      <c r="N88" s="496" t="s">
        <v>386</v>
      </c>
      <c r="O88" s="496" t="s">
        <v>386</v>
      </c>
      <c r="P88" s="496" t="s">
        <v>386</v>
      </c>
      <c r="Q88" s="496" t="s">
        <v>386</v>
      </c>
      <c r="R88" s="496" t="s">
        <v>386</v>
      </c>
      <c r="S88" s="496" t="s">
        <v>386</v>
      </c>
      <c r="T88" s="496" t="s">
        <v>386</v>
      </c>
    </row>
    <row r="89" spans="1:20" x14ac:dyDescent="0.25">
      <c r="A89" s="496" t="s">
        <v>308</v>
      </c>
      <c r="B89" s="496" t="s">
        <v>309</v>
      </c>
      <c r="C89" s="496" t="s">
        <v>112</v>
      </c>
      <c r="D89" s="660">
        <v>24317</v>
      </c>
      <c r="E89" s="660">
        <v>11412</v>
      </c>
      <c r="F89" s="660">
        <v>11412</v>
      </c>
      <c r="G89" s="660">
        <v>14330</v>
      </c>
      <c r="H89" s="660">
        <v>12495</v>
      </c>
      <c r="I89" s="660">
        <v>14254</v>
      </c>
      <c r="J89" s="660">
        <v>13778</v>
      </c>
      <c r="K89" s="660">
        <v>13380</v>
      </c>
      <c r="L89" s="660">
        <v>14437</v>
      </c>
      <c r="M89" s="496">
        <v>0.47</v>
      </c>
      <c r="N89" s="496">
        <v>0.47</v>
      </c>
      <c r="O89" s="496">
        <v>0.59</v>
      </c>
      <c r="P89" s="496">
        <v>0.51</v>
      </c>
      <c r="Q89" s="496">
        <v>0.59</v>
      </c>
      <c r="R89" s="496">
        <v>0.56999999999999995</v>
      </c>
      <c r="S89" s="496">
        <v>0.55000000000000004</v>
      </c>
      <c r="T89" s="496">
        <v>0.59</v>
      </c>
    </row>
    <row r="90" spans="1:20" x14ac:dyDescent="0.25">
      <c r="A90" s="496" t="s">
        <v>310</v>
      </c>
      <c r="B90" s="496" t="s">
        <v>311</v>
      </c>
      <c r="C90" s="496" t="s">
        <v>112</v>
      </c>
      <c r="D90" s="660">
        <v>15535</v>
      </c>
      <c r="E90" s="660">
        <v>22686</v>
      </c>
      <c r="F90" s="660">
        <v>22686</v>
      </c>
      <c r="G90" s="660">
        <v>28485</v>
      </c>
      <c r="H90" s="660">
        <v>24838</v>
      </c>
      <c r="I90" s="660">
        <v>28334</v>
      </c>
      <c r="J90" s="660">
        <v>27388</v>
      </c>
      <c r="K90" s="660">
        <v>26598</v>
      </c>
      <c r="L90" s="660">
        <v>28697</v>
      </c>
      <c r="M90" s="496">
        <v>1.46</v>
      </c>
      <c r="N90" s="496">
        <v>1.46</v>
      </c>
      <c r="O90" s="496">
        <v>1.83</v>
      </c>
      <c r="P90" s="496">
        <v>1.6</v>
      </c>
      <c r="Q90" s="496">
        <v>1.82</v>
      </c>
      <c r="R90" s="496">
        <v>1.76</v>
      </c>
      <c r="S90" s="496">
        <v>1.71</v>
      </c>
      <c r="T90" s="496">
        <v>1.85</v>
      </c>
    </row>
    <row r="91" spans="1:20" x14ac:dyDescent="0.25">
      <c r="A91" s="496" t="s">
        <v>312</v>
      </c>
      <c r="B91" s="496" t="s">
        <v>313</v>
      </c>
      <c r="C91" s="496" t="s">
        <v>112</v>
      </c>
      <c r="D91" s="660">
        <v>24027</v>
      </c>
      <c r="E91" s="660">
        <v>11691</v>
      </c>
      <c r="F91" s="660">
        <v>11691</v>
      </c>
      <c r="G91" s="660">
        <v>14680</v>
      </c>
      <c r="H91" s="660">
        <v>12801</v>
      </c>
      <c r="I91" s="660">
        <v>14602</v>
      </c>
      <c r="J91" s="660">
        <v>14115</v>
      </c>
      <c r="K91" s="660">
        <v>13707</v>
      </c>
      <c r="L91" s="660">
        <v>14789</v>
      </c>
      <c r="M91" s="496">
        <v>0.49</v>
      </c>
      <c r="N91" s="496">
        <v>0.49</v>
      </c>
      <c r="O91" s="496">
        <v>0.61</v>
      </c>
      <c r="P91" s="496">
        <v>0.53</v>
      </c>
      <c r="Q91" s="496">
        <v>0.61</v>
      </c>
      <c r="R91" s="496">
        <v>0.59</v>
      </c>
      <c r="S91" s="496">
        <v>0.56999999999999995</v>
      </c>
      <c r="T91" s="496">
        <v>0.62</v>
      </c>
    </row>
    <row r="92" spans="1:20" x14ac:dyDescent="0.25">
      <c r="A92" s="496" t="s">
        <v>314</v>
      </c>
      <c r="B92" s="496" t="s">
        <v>315</v>
      </c>
      <c r="C92" s="496" t="s">
        <v>112</v>
      </c>
      <c r="D92" s="660">
        <v>19750</v>
      </c>
      <c r="E92" s="660">
        <v>9687</v>
      </c>
      <c r="F92" s="660">
        <v>9687</v>
      </c>
      <c r="G92" s="660">
        <v>12163</v>
      </c>
      <c r="H92" s="660">
        <v>10606</v>
      </c>
      <c r="I92" s="660">
        <v>12099</v>
      </c>
      <c r="J92" s="660">
        <v>11695</v>
      </c>
      <c r="K92" s="660">
        <v>11357</v>
      </c>
      <c r="L92" s="660">
        <v>12254</v>
      </c>
      <c r="M92" s="496">
        <v>0.49</v>
      </c>
      <c r="N92" s="496">
        <v>0.49</v>
      </c>
      <c r="O92" s="496">
        <v>0.62</v>
      </c>
      <c r="P92" s="496">
        <v>0.54</v>
      </c>
      <c r="Q92" s="496">
        <v>0.61</v>
      </c>
      <c r="R92" s="496">
        <v>0.59</v>
      </c>
      <c r="S92" s="496">
        <v>0.57999999999999996</v>
      </c>
      <c r="T92" s="496">
        <v>0.62</v>
      </c>
    </row>
    <row r="93" spans="1:20" x14ac:dyDescent="0.25">
      <c r="A93" s="496" t="s">
        <v>316</v>
      </c>
      <c r="B93" s="496" t="s">
        <v>317</v>
      </c>
      <c r="C93" s="496" t="s">
        <v>112</v>
      </c>
      <c r="D93" s="660">
        <v>52869</v>
      </c>
      <c r="E93" s="660">
        <v>73023</v>
      </c>
      <c r="F93" s="660">
        <v>73023</v>
      </c>
      <c r="G93" s="660">
        <v>91690</v>
      </c>
      <c r="H93" s="660">
        <v>79952</v>
      </c>
      <c r="I93" s="660">
        <v>91206</v>
      </c>
      <c r="J93" s="660">
        <v>88161</v>
      </c>
      <c r="K93" s="660">
        <v>85616</v>
      </c>
      <c r="L93" s="660">
        <v>92374</v>
      </c>
      <c r="M93" s="496">
        <v>1.38</v>
      </c>
      <c r="N93" s="496">
        <v>1.38</v>
      </c>
      <c r="O93" s="496">
        <v>1.73</v>
      </c>
      <c r="P93" s="496">
        <v>1.51</v>
      </c>
      <c r="Q93" s="496">
        <v>1.73</v>
      </c>
      <c r="R93" s="496">
        <v>1.67</v>
      </c>
      <c r="S93" s="496">
        <v>1.62</v>
      </c>
      <c r="T93" s="496">
        <v>1.75</v>
      </c>
    </row>
    <row r="94" spans="1:20" x14ac:dyDescent="0.25">
      <c r="A94" s="496" t="s">
        <v>318</v>
      </c>
      <c r="B94" s="496" t="s">
        <v>319</v>
      </c>
      <c r="C94" s="496" t="s">
        <v>112</v>
      </c>
      <c r="D94" s="660">
        <v>60577</v>
      </c>
      <c r="E94" s="660">
        <v>59796</v>
      </c>
      <c r="F94" s="660">
        <v>59796</v>
      </c>
      <c r="G94" s="660">
        <v>75081</v>
      </c>
      <c r="H94" s="660">
        <v>65469</v>
      </c>
      <c r="I94" s="660">
        <v>74685</v>
      </c>
      <c r="J94" s="660">
        <v>72192</v>
      </c>
      <c r="K94" s="660">
        <v>70107</v>
      </c>
      <c r="L94" s="660">
        <v>75641</v>
      </c>
      <c r="M94" s="496">
        <v>0.99</v>
      </c>
      <c r="N94" s="496">
        <v>0.99</v>
      </c>
      <c r="O94" s="496">
        <v>1.24</v>
      </c>
      <c r="P94" s="496">
        <v>1.08</v>
      </c>
      <c r="Q94" s="496">
        <v>1.23</v>
      </c>
      <c r="R94" s="496">
        <v>1.19</v>
      </c>
      <c r="S94" s="496">
        <v>1.1599999999999999</v>
      </c>
      <c r="T94" s="496">
        <v>1.25</v>
      </c>
    </row>
    <row r="95" spans="1:20" x14ac:dyDescent="0.25">
      <c r="A95" s="496" t="s">
        <v>320</v>
      </c>
      <c r="B95" s="496" t="s">
        <v>321</v>
      </c>
      <c r="C95" s="496" t="s">
        <v>112</v>
      </c>
      <c r="D95" s="660">
        <v>0</v>
      </c>
      <c r="E95" s="660">
        <v>17135</v>
      </c>
      <c r="F95" s="660">
        <v>17135</v>
      </c>
      <c r="G95" s="660">
        <v>21515</v>
      </c>
      <c r="H95" s="660">
        <v>18761</v>
      </c>
      <c r="I95" s="660">
        <v>21402</v>
      </c>
      <c r="J95" s="660">
        <v>20687</v>
      </c>
      <c r="K95" s="660">
        <v>20090</v>
      </c>
      <c r="L95" s="660">
        <v>21676</v>
      </c>
      <c r="M95" s="496" t="s">
        <v>386</v>
      </c>
      <c r="N95" s="496" t="s">
        <v>386</v>
      </c>
      <c r="O95" s="496" t="s">
        <v>386</v>
      </c>
      <c r="P95" s="496" t="s">
        <v>386</v>
      </c>
      <c r="Q95" s="496" t="s">
        <v>386</v>
      </c>
      <c r="R95" s="496" t="s">
        <v>386</v>
      </c>
      <c r="S95" s="496" t="s">
        <v>386</v>
      </c>
      <c r="T95" s="496" t="s">
        <v>386</v>
      </c>
    </row>
    <row r="96" spans="1:20" x14ac:dyDescent="0.25">
      <c r="A96" s="496" t="s">
        <v>322</v>
      </c>
      <c r="B96" s="496" t="s">
        <v>323</v>
      </c>
      <c r="C96" s="496" t="s">
        <v>112</v>
      </c>
      <c r="D96" s="660">
        <v>0</v>
      </c>
      <c r="E96" s="660">
        <v>11786</v>
      </c>
      <c r="F96" s="660">
        <v>11786</v>
      </c>
      <c r="G96" s="660">
        <v>14798</v>
      </c>
      <c r="H96" s="660">
        <v>12904</v>
      </c>
      <c r="I96" s="660">
        <v>14720</v>
      </c>
      <c r="J96" s="660">
        <v>14229</v>
      </c>
      <c r="K96" s="660">
        <v>13818</v>
      </c>
      <c r="L96" s="660">
        <v>14909</v>
      </c>
      <c r="M96" s="496" t="s">
        <v>386</v>
      </c>
      <c r="N96" s="496" t="s">
        <v>386</v>
      </c>
      <c r="O96" s="496" t="s">
        <v>386</v>
      </c>
      <c r="P96" s="496" t="s">
        <v>386</v>
      </c>
      <c r="Q96" s="496" t="s">
        <v>386</v>
      </c>
      <c r="R96" s="496" t="s">
        <v>386</v>
      </c>
      <c r="S96" s="496" t="s">
        <v>386</v>
      </c>
      <c r="T96" s="496" t="s">
        <v>386</v>
      </c>
    </row>
    <row r="97" spans="1:20" x14ac:dyDescent="0.25">
      <c r="A97" s="496" t="s">
        <v>324</v>
      </c>
      <c r="B97" s="496" t="s">
        <v>325</v>
      </c>
      <c r="C97" s="496" t="s">
        <v>112</v>
      </c>
      <c r="D97" s="660">
        <v>22273</v>
      </c>
      <c r="E97" s="660">
        <v>12601</v>
      </c>
      <c r="F97" s="660">
        <v>12601</v>
      </c>
      <c r="G97" s="660">
        <v>15823</v>
      </c>
      <c r="H97" s="660">
        <v>13797</v>
      </c>
      <c r="I97" s="660">
        <v>15739</v>
      </c>
      <c r="J97" s="660">
        <v>15214</v>
      </c>
      <c r="K97" s="660">
        <v>14774</v>
      </c>
      <c r="L97" s="660">
        <v>15941</v>
      </c>
      <c r="M97" s="496">
        <v>0.56999999999999995</v>
      </c>
      <c r="N97" s="496">
        <v>0.56999999999999995</v>
      </c>
      <c r="O97" s="496">
        <v>0.71</v>
      </c>
      <c r="P97" s="496">
        <v>0.62</v>
      </c>
      <c r="Q97" s="496">
        <v>0.71</v>
      </c>
      <c r="R97" s="496">
        <v>0.68</v>
      </c>
      <c r="S97" s="496">
        <v>0.66</v>
      </c>
      <c r="T97" s="496">
        <v>0.72</v>
      </c>
    </row>
    <row r="98" spans="1:20" x14ac:dyDescent="0.25">
      <c r="A98" s="496" t="s">
        <v>326</v>
      </c>
      <c r="B98" s="496" t="s">
        <v>327</v>
      </c>
      <c r="C98" s="496" t="s">
        <v>112</v>
      </c>
      <c r="D98" s="660">
        <v>0</v>
      </c>
      <c r="E98" s="660">
        <v>16828</v>
      </c>
      <c r="F98" s="660">
        <v>16828</v>
      </c>
      <c r="G98" s="660">
        <v>21129</v>
      </c>
      <c r="H98" s="660">
        <v>18424</v>
      </c>
      <c r="I98" s="660">
        <v>21018</v>
      </c>
      <c r="J98" s="660">
        <v>20316</v>
      </c>
      <c r="K98" s="660">
        <v>19729</v>
      </c>
      <c r="L98" s="660">
        <v>21287</v>
      </c>
      <c r="M98" s="496" t="s">
        <v>386</v>
      </c>
      <c r="N98" s="496" t="s">
        <v>386</v>
      </c>
      <c r="O98" s="496" t="s">
        <v>386</v>
      </c>
      <c r="P98" s="496" t="s">
        <v>386</v>
      </c>
      <c r="Q98" s="496" t="s">
        <v>386</v>
      </c>
      <c r="R98" s="496" t="s">
        <v>386</v>
      </c>
      <c r="S98" s="496" t="s">
        <v>386</v>
      </c>
      <c r="T98" s="496" t="s">
        <v>386</v>
      </c>
    </row>
    <row r="99" spans="1:20" x14ac:dyDescent="0.25">
      <c r="A99" s="496" t="s">
        <v>328</v>
      </c>
      <c r="B99" s="496" t="s">
        <v>329</v>
      </c>
      <c r="C99" s="496" t="s">
        <v>112</v>
      </c>
      <c r="D99" s="660">
        <v>0</v>
      </c>
      <c r="E99" s="660">
        <v>58866</v>
      </c>
      <c r="F99" s="660">
        <v>58866</v>
      </c>
      <c r="G99" s="660">
        <v>73914</v>
      </c>
      <c r="H99" s="660">
        <v>64452</v>
      </c>
      <c r="I99" s="660">
        <v>73524</v>
      </c>
      <c r="J99" s="660">
        <v>71069</v>
      </c>
      <c r="K99" s="660">
        <v>69017</v>
      </c>
      <c r="L99" s="660">
        <v>74465</v>
      </c>
      <c r="M99" s="496" t="s">
        <v>386</v>
      </c>
      <c r="N99" s="496" t="s">
        <v>386</v>
      </c>
      <c r="O99" s="496" t="s">
        <v>386</v>
      </c>
      <c r="P99" s="496" t="s">
        <v>386</v>
      </c>
      <c r="Q99" s="496" t="s">
        <v>386</v>
      </c>
      <c r="R99" s="496" t="s">
        <v>386</v>
      </c>
      <c r="S99" s="496" t="s">
        <v>386</v>
      </c>
      <c r="T99" s="496" t="s">
        <v>386</v>
      </c>
    </row>
    <row r="100" spans="1:20" x14ac:dyDescent="0.25">
      <c r="A100" s="496" t="s">
        <v>330</v>
      </c>
      <c r="B100" s="496" t="s">
        <v>331</v>
      </c>
      <c r="C100" s="496" t="s">
        <v>112</v>
      </c>
      <c r="D100" s="660">
        <v>0</v>
      </c>
      <c r="E100" s="660">
        <v>8199</v>
      </c>
      <c r="F100" s="660">
        <v>8199</v>
      </c>
      <c r="G100" s="660">
        <v>10294</v>
      </c>
      <c r="H100" s="660">
        <v>8977</v>
      </c>
      <c r="I100" s="660">
        <v>10240</v>
      </c>
      <c r="J100" s="660">
        <v>9898</v>
      </c>
      <c r="K100" s="660">
        <v>9612</v>
      </c>
      <c r="L100" s="660">
        <v>10371</v>
      </c>
      <c r="M100" s="496" t="s">
        <v>386</v>
      </c>
      <c r="N100" s="496" t="s">
        <v>386</v>
      </c>
      <c r="O100" s="496" t="s">
        <v>386</v>
      </c>
      <c r="P100" s="496" t="s">
        <v>386</v>
      </c>
      <c r="Q100" s="496" t="s">
        <v>386</v>
      </c>
      <c r="R100" s="496" t="s">
        <v>386</v>
      </c>
      <c r="S100" s="496" t="s">
        <v>386</v>
      </c>
      <c r="T100" s="496" t="s">
        <v>386</v>
      </c>
    </row>
    <row r="101" spans="1:20" x14ac:dyDescent="0.25">
      <c r="A101" s="496" t="s">
        <v>332</v>
      </c>
      <c r="B101" s="496" t="s">
        <v>333</v>
      </c>
      <c r="C101" s="496" t="s">
        <v>112</v>
      </c>
      <c r="D101" s="660">
        <v>9283</v>
      </c>
      <c r="E101" s="660">
        <v>9379</v>
      </c>
      <c r="F101" s="660">
        <v>9379</v>
      </c>
      <c r="G101" s="660">
        <v>11777</v>
      </c>
      <c r="H101" s="660">
        <v>10269</v>
      </c>
      <c r="I101" s="660">
        <v>11715</v>
      </c>
      <c r="J101" s="660">
        <v>11324</v>
      </c>
      <c r="K101" s="660">
        <v>10997</v>
      </c>
      <c r="L101" s="660">
        <v>11865</v>
      </c>
      <c r="M101" s="496">
        <v>1.01</v>
      </c>
      <c r="N101" s="496">
        <v>1.01</v>
      </c>
      <c r="O101" s="496">
        <v>1.27</v>
      </c>
      <c r="P101" s="496">
        <v>1.1100000000000001</v>
      </c>
      <c r="Q101" s="496">
        <v>1.26</v>
      </c>
      <c r="R101" s="496">
        <v>1.22</v>
      </c>
      <c r="S101" s="496">
        <v>1.18</v>
      </c>
      <c r="T101" s="496">
        <v>1.28</v>
      </c>
    </row>
    <row r="102" spans="1:20" x14ac:dyDescent="0.25">
      <c r="A102" s="496" t="s">
        <v>334</v>
      </c>
      <c r="B102" s="496" t="s">
        <v>335</v>
      </c>
      <c r="C102" s="496" t="s">
        <v>112</v>
      </c>
      <c r="D102" s="660">
        <v>0</v>
      </c>
      <c r="E102" s="660">
        <v>27219</v>
      </c>
      <c r="F102" s="660">
        <v>27219</v>
      </c>
      <c r="G102" s="660">
        <v>34178</v>
      </c>
      <c r="H102" s="660">
        <v>29802</v>
      </c>
      <c r="I102" s="660">
        <v>33997</v>
      </c>
      <c r="J102" s="660">
        <v>32862</v>
      </c>
      <c r="K102" s="660">
        <v>31913</v>
      </c>
      <c r="L102" s="660">
        <v>34432</v>
      </c>
      <c r="M102" s="496" t="s">
        <v>386</v>
      </c>
      <c r="N102" s="496" t="s">
        <v>386</v>
      </c>
      <c r="O102" s="496" t="s">
        <v>386</v>
      </c>
      <c r="P102" s="496" t="s">
        <v>386</v>
      </c>
      <c r="Q102" s="496" t="s">
        <v>386</v>
      </c>
      <c r="R102" s="496" t="s">
        <v>386</v>
      </c>
      <c r="S102" s="496" t="s">
        <v>386</v>
      </c>
      <c r="T102" s="496" t="s">
        <v>386</v>
      </c>
    </row>
    <row r="103" spans="1:20" x14ac:dyDescent="0.25">
      <c r="A103" s="496" t="s">
        <v>336</v>
      </c>
      <c r="B103" s="496" t="s">
        <v>337</v>
      </c>
      <c r="C103" s="496" t="s">
        <v>112</v>
      </c>
      <c r="D103" s="660">
        <v>0</v>
      </c>
      <c r="E103" s="660">
        <v>23182</v>
      </c>
      <c r="F103" s="660">
        <v>23182</v>
      </c>
      <c r="G103" s="660">
        <v>29108</v>
      </c>
      <c r="H103" s="660">
        <v>25381</v>
      </c>
      <c r="I103" s="660">
        <v>28954</v>
      </c>
      <c r="J103" s="660">
        <v>27987</v>
      </c>
      <c r="K103" s="660">
        <v>27179</v>
      </c>
      <c r="L103" s="660">
        <v>29325</v>
      </c>
      <c r="M103" s="496" t="s">
        <v>386</v>
      </c>
      <c r="N103" s="496" t="s">
        <v>386</v>
      </c>
      <c r="O103" s="496" t="s">
        <v>386</v>
      </c>
      <c r="P103" s="496" t="s">
        <v>386</v>
      </c>
      <c r="Q103" s="496" t="s">
        <v>386</v>
      </c>
      <c r="R103" s="496" t="s">
        <v>386</v>
      </c>
      <c r="S103" s="496" t="s">
        <v>386</v>
      </c>
      <c r="T103" s="496" t="s">
        <v>386</v>
      </c>
    </row>
    <row r="104" spans="1:20" x14ac:dyDescent="0.25">
      <c r="A104" s="496" t="s">
        <v>338</v>
      </c>
      <c r="B104" s="496" t="s">
        <v>339</v>
      </c>
      <c r="C104" s="496" t="s">
        <v>112</v>
      </c>
      <c r="D104" s="660">
        <v>11137</v>
      </c>
      <c r="E104" s="660">
        <v>8629</v>
      </c>
      <c r="F104" s="660">
        <v>8629</v>
      </c>
      <c r="G104" s="660">
        <v>10835</v>
      </c>
      <c r="H104" s="660">
        <v>9448</v>
      </c>
      <c r="I104" s="660">
        <v>10778</v>
      </c>
      <c r="J104" s="660">
        <v>10418</v>
      </c>
      <c r="K104" s="660">
        <v>10117</v>
      </c>
      <c r="L104" s="660">
        <v>10916</v>
      </c>
      <c r="M104" s="496">
        <v>0.77</v>
      </c>
      <c r="N104" s="496">
        <v>0.77</v>
      </c>
      <c r="O104" s="496">
        <v>0.97</v>
      </c>
      <c r="P104" s="496">
        <v>0.85</v>
      </c>
      <c r="Q104" s="496">
        <v>0.97</v>
      </c>
      <c r="R104" s="496">
        <v>0.94</v>
      </c>
      <c r="S104" s="496">
        <v>0.91</v>
      </c>
      <c r="T104" s="496">
        <v>0.98</v>
      </c>
    </row>
    <row r="105" spans="1:20" x14ac:dyDescent="0.25">
      <c r="A105" s="496" t="s">
        <v>340</v>
      </c>
      <c r="B105" s="496" t="s">
        <v>341</v>
      </c>
      <c r="C105" s="496" t="s">
        <v>112</v>
      </c>
      <c r="D105" s="660">
        <v>11984</v>
      </c>
      <c r="E105" s="660">
        <v>10457</v>
      </c>
      <c r="F105" s="660">
        <v>10457</v>
      </c>
      <c r="G105" s="660">
        <v>13130</v>
      </c>
      <c r="H105" s="660">
        <v>11449</v>
      </c>
      <c r="I105" s="660">
        <v>13061</v>
      </c>
      <c r="J105" s="660">
        <v>12625</v>
      </c>
      <c r="K105" s="660">
        <v>12260</v>
      </c>
      <c r="L105" s="660">
        <v>13228</v>
      </c>
      <c r="M105" s="496">
        <v>0.87</v>
      </c>
      <c r="N105" s="496">
        <v>0.87</v>
      </c>
      <c r="O105" s="496">
        <v>1.1000000000000001</v>
      </c>
      <c r="P105" s="496">
        <v>0.96</v>
      </c>
      <c r="Q105" s="496">
        <v>1.0900000000000001</v>
      </c>
      <c r="R105" s="496">
        <v>1.05</v>
      </c>
      <c r="S105" s="496">
        <v>1.02</v>
      </c>
      <c r="T105" s="496">
        <v>1.1000000000000001</v>
      </c>
    </row>
    <row r="106" spans="1:20" x14ac:dyDescent="0.25">
      <c r="A106" s="496" t="s">
        <v>342</v>
      </c>
      <c r="B106" s="496" t="s">
        <v>343</v>
      </c>
      <c r="C106" s="496" t="s">
        <v>112</v>
      </c>
      <c r="D106" s="660">
        <v>0</v>
      </c>
      <c r="E106" s="660">
        <v>103590</v>
      </c>
      <c r="F106" s="660">
        <v>103590</v>
      </c>
      <c r="G106" s="660">
        <v>130070</v>
      </c>
      <c r="H106" s="660">
        <v>113419</v>
      </c>
      <c r="I106" s="660">
        <v>129384</v>
      </c>
      <c r="J106" s="660">
        <v>125064</v>
      </c>
      <c r="K106" s="660">
        <v>121453</v>
      </c>
      <c r="L106" s="660">
        <v>131040</v>
      </c>
      <c r="M106" s="496" t="s">
        <v>386</v>
      </c>
      <c r="N106" s="496" t="s">
        <v>386</v>
      </c>
      <c r="O106" s="496" t="s">
        <v>386</v>
      </c>
      <c r="P106" s="496" t="s">
        <v>386</v>
      </c>
      <c r="Q106" s="496" t="s">
        <v>386</v>
      </c>
      <c r="R106" s="496" t="s">
        <v>386</v>
      </c>
      <c r="S106" s="496" t="s">
        <v>386</v>
      </c>
      <c r="T106" s="496" t="s">
        <v>386</v>
      </c>
    </row>
    <row r="107" spans="1:20" x14ac:dyDescent="0.25">
      <c r="A107" s="496" t="s">
        <v>344</v>
      </c>
      <c r="B107" s="496" t="s">
        <v>345</v>
      </c>
      <c r="C107" s="496" t="s">
        <v>112</v>
      </c>
      <c r="D107" s="660">
        <v>1657</v>
      </c>
      <c r="E107" s="660">
        <v>2583</v>
      </c>
      <c r="F107" s="660">
        <v>2583</v>
      </c>
      <c r="G107" s="660">
        <v>3243</v>
      </c>
      <c r="H107" s="660">
        <v>2828</v>
      </c>
      <c r="I107" s="660">
        <v>3226</v>
      </c>
      <c r="J107" s="660">
        <v>3118</v>
      </c>
      <c r="K107" s="660">
        <v>3028</v>
      </c>
      <c r="L107" s="660">
        <v>3267</v>
      </c>
      <c r="M107" s="496">
        <v>1.56</v>
      </c>
      <c r="N107" s="496">
        <v>1.56</v>
      </c>
      <c r="O107" s="496">
        <v>1.96</v>
      </c>
      <c r="P107" s="496">
        <v>1.71</v>
      </c>
      <c r="Q107" s="496">
        <v>1.95</v>
      </c>
      <c r="R107" s="496">
        <v>1.88</v>
      </c>
      <c r="S107" s="496">
        <v>1.83</v>
      </c>
      <c r="T107" s="496">
        <v>1.97</v>
      </c>
    </row>
    <row r="108" spans="1:20" x14ac:dyDescent="0.25">
      <c r="A108" s="496" t="s">
        <v>346</v>
      </c>
      <c r="B108" s="496" t="s">
        <v>347</v>
      </c>
      <c r="C108" s="496" t="s">
        <v>112</v>
      </c>
      <c r="D108" s="660">
        <v>0</v>
      </c>
      <c r="E108" s="660">
        <v>34120</v>
      </c>
      <c r="F108" s="660">
        <v>34120</v>
      </c>
      <c r="G108" s="660">
        <v>42842</v>
      </c>
      <c r="H108" s="660">
        <v>37358</v>
      </c>
      <c r="I108" s="660">
        <v>42616</v>
      </c>
      <c r="J108" s="660">
        <v>41194</v>
      </c>
      <c r="K108" s="660">
        <v>40004</v>
      </c>
      <c r="L108" s="660">
        <v>43162</v>
      </c>
      <c r="M108" s="496" t="s">
        <v>386</v>
      </c>
      <c r="N108" s="496" t="s">
        <v>386</v>
      </c>
      <c r="O108" s="496" t="s">
        <v>386</v>
      </c>
      <c r="P108" s="496" t="s">
        <v>386</v>
      </c>
      <c r="Q108" s="496" t="s">
        <v>386</v>
      </c>
      <c r="R108" s="496" t="s">
        <v>386</v>
      </c>
      <c r="S108" s="496" t="s">
        <v>386</v>
      </c>
      <c r="T108" s="496" t="s">
        <v>386</v>
      </c>
    </row>
    <row r="109" spans="1:20" x14ac:dyDescent="0.25">
      <c r="A109" s="496" t="s">
        <v>348</v>
      </c>
      <c r="B109" s="496" t="s">
        <v>349</v>
      </c>
      <c r="C109" s="496" t="s">
        <v>112</v>
      </c>
      <c r="D109" s="660">
        <v>16014</v>
      </c>
      <c r="E109" s="660">
        <v>1162</v>
      </c>
      <c r="F109" s="660">
        <v>1162</v>
      </c>
      <c r="G109" s="660">
        <v>1459</v>
      </c>
      <c r="H109" s="660">
        <v>1272</v>
      </c>
      <c r="I109" s="660">
        <v>1451</v>
      </c>
      <c r="J109" s="660">
        <v>1403</v>
      </c>
      <c r="K109" s="660">
        <v>1362</v>
      </c>
      <c r="L109" s="660">
        <v>1470</v>
      </c>
      <c r="M109" s="496">
        <v>7.0000000000000007E-2</v>
      </c>
      <c r="N109" s="496">
        <v>7.0000000000000007E-2</v>
      </c>
      <c r="O109" s="496">
        <v>0.09</v>
      </c>
      <c r="P109" s="496">
        <v>0.08</v>
      </c>
      <c r="Q109" s="496">
        <v>0.09</v>
      </c>
      <c r="R109" s="496">
        <v>0.09</v>
      </c>
      <c r="S109" s="496">
        <v>0.09</v>
      </c>
      <c r="T109" s="496">
        <v>0.09</v>
      </c>
    </row>
    <row r="110" spans="1:20" x14ac:dyDescent="0.25">
      <c r="A110" s="496" t="s">
        <v>350</v>
      </c>
      <c r="B110" s="496" t="s">
        <v>351</v>
      </c>
      <c r="C110" s="496" t="s">
        <v>112</v>
      </c>
      <c r="D110" s="660">
        <v>25227</v>
      </c>
      <c r="E110" s="660">
        <v>9582</v>
      </c>
      <c r="F110" s="660">
        <v>9582</v>
      </c>
      <c r="G110" s="660">
        <v>12032</v>
      </c>
      <c r="H110" s="660">
        <v>10492</v>
      </c>
      <c r="I110" s="660">
        <v>11969</v>
      </c>
      <c r="J110" s="660">
        <v>11569</v>
      </c>
      <c r="K110" s="660">
        <v>11235</v>
      </c>
      <c r="L110" s="660">
        <v>12122</v>
      </c>
      <c r="M110" s="496">
        <v>0.38</v>
      </c>
      <c r="N110" s="496">
        <v>0.38</v>
      </c>
      <c r="O110" s="496">
        <v>0.48</v>
      </c>
      <c r="P110" s="496">
        <v>0.42</v>
      </c>
      <c r="Q110" s="496">
        <v>0.47</v>
      </c>
      <c r="R110" s="496">
        <v>0.46</v>
      </c>
      <c r="S110" s="496">
        <v>0.45</v>
      </c>
      <c r="T110" s="496">
        <v>0.48</v>
      </c>
    </row>
    <row r="111" spans="1:20" x14ac:dyDescent="0.25">
      <c r="A111" s="496" t="s">
        <v>352</v>
      </c>
      <c r="B111" s="496" t="s">
        <v>353</v>
      </c>
      <c r="C111" s="496" t="s">
        <v>112</v>
      </c>
      <c r="D111" s="660">
        <v>68047</v>
      </c>
      <c r="E111" s="660">
        <v>28186</v>
      </c>
      <c r="F111" s="660">
        <v>28186</v>
      </c>
      <c r="G111" s="660">
        <v>35392</v>
      </c>
      <c r="H111" s="660">
        <v>30861</v>
      </c>
      <c r="I111" s="660">
        <v>35205</v>
      </c>
      <c r="J111" s="660">
        <v>34030</v>
      </c>
      <c r="K111" s="660">
        <v>33047</v>
      </c>
      <c r="L111" s="660">
        <v>35656</v>
      </c>
      <c r="M111" s="496">
        <v>0.41</v>
      </c>
      <c r="N111" s="496">
        <v>0.41</v>
      </c>
      <c r="O111" s="496">
        <v>0.52</v>
      </c>
      <c r="P111" s="496">
        <v>0.45</v>
      </c>
      <c r="Q111" s="496">
        <v>0.52</v>
      </c>
      <c r="R111" s="496">
        <v>0.5</v>
      </c>
      <c r="S111" s="496">
        <v>0.49</v>
      </c>
      <c r="T111" s="496">
        <v>0.52</v>
      </c>
    </row>
    <row r="112" spans="1:20" x14ac:dyDescent="0.25">
      <c r="A112" s="496" t="s">
        <v>352</v>
      </c>
      <c r="B112" s="496" t="s">
        <v>355</v>
      </c>
      <c r="C112" s="496" t="s">
        <v>356</v>
      </c>
      <c r="D112" s="660">
        <v>2163</v>
      </c>
      <c r="E112" s="660">
        <v>874</v>
      </c>
      <c r="F112" s="660">
        <v>874</v>
      </c>
      <c r="G112" s="660">
        <v>1098</v>
      </c>
      <c r="H112" s="660">
        <v>957</v>
      </c>
      <c r="I112" s="660">
        <v>1092</v>
      </c>
      <c r="J112" s="660">
        <v>1055</v>
      </c>
      <c r="K112" s="660">
        <v>1025</v>
      </c>
      <c r="L112" s="660">
        <v>1106</v>
      </c>
      <c r="M112" s="496">
        <v>0.4</v>
      </c>
      <c r="N112" s="496">
        <v>0.4</v>
      </c>
      <c r="O112" s="496">
        <v>0.51</v>
      </c>
      <c r="P112" s="496">
        <v>0.44</v>
      </c>
      <c r="Q112" s="496">
        <v>0.5</v>
      </c>
      <c r="R112" s="496">
        <v>0.49</v>
      </c>
      <c r="S112" s="496">
        <v>0.47</v>
      </c>
      <c r="T112" s="496">
        <v>0.51</v>
      </c>
    </row>
    <row r="113" spans="1:20" x14ac:dyDescent="0.25">
      <c r="A113" s="496" t="s">
        <v>357</v>
      </c>
      <c r="B113" s="496" t="s">
        <v>358</v>
      </c>
      <c r="C113" s="496" t="s">
        <v>112</v>
      </c>
      <c r="D113" s="660">
        <v>51865</v>
      </c>
      <c r="E113" s="660">
        <v>10746</v>
      </c>
      <c r="F113" s="660">
        <v>10746</v>
      </c>
      <c r="G113" s="660">
        <v>13493</v>
      </c>
      <c r="H113" s="660">
        <v>11766</v>
      </c>
      <c r="I113" s="660">
        <v>13422</v>
      </c>
      <c r="J113" s="660">
        <v>12974</v>
      </c>
      <c r="K113" s="660">
        <v>12600</v>
      </c>
      <c r="L113" s="660">
        <v>13594</v>
      </c>
      <c r="M113" s="496">
        <v>0.21</v>
      </c>
      <c r="N113" s="496">
        <v>0.21</v>
      </c>
      <c r="O113" s="496">
        <v>0.26</v>
      </c>
      <c r="P113" s="496">
        <v>0.23</v>
      </c>
      <c r="Q113" s="496">
        <v>0.26</v>
      </c>
      <c r="R113" s="496">
        <v>0.25</v>
      </c>
      <c r="S113" s="496">
        <v>0.24</v>
      </c>
      <c r="T113" s="496">
        <v>0.26</v>
      </c>
    </row>
    <row r="114" spans="1:20" x14ac:dyDescent="0.25">
      <c r="A114" s="496" t="s">
        <v>357</v>
      </c>
      <c r="B114" s="496" t="s">
        <v>358</v>
      </c>
      <c r="C114" s="496" t="s">
        <v>356</v>
      </c>
      <c r="D114" s="660">
        <v>1581</v>
      </c>
      <c r="E114" s="660">
        <v>419</v>
      </c>
      <c r="F114" s="660">
        <v>419</v>
      </c>
      <c r="G114" s="660">
        <v>526</v>
      </c>
      <c r="H114" s="660">
        <v>458</v>
      </c>
      <c r="I114" s="660">
        <v>523</v>
      </c>
      <c r="J114" s="660">
        <v>505</v>
      </c>
      <c r="K114" s="660">
        <v>491</v>
      </c>
      <c r="L114" s="660">
        <v>530</v>
      </c>
      <c r="M114" s="496">
        <v>0.26</v>
      </c>
      <c r="N114" s="496">
        <v>0.26</v>
      </c>
      <c r="O114" s="496">
        <v>0.33</v>
      </c>
      <c r="P114" s="496">
        <v>0.28999999999999998</v>
      </c>
      <c r="Q114" s="496">
        <v>0.33</v>
      </c>
      <c r="R114" s="496">
        <v>0.32</v>
      </c>
      <c r="S114" s="496">
        <v>0.31</v>
      </c>
      <c r="T114" s="496">
        <v>0.33</v>
      </c>
    </row>
    <row r="115" spans="1:20" x14ac:dyDescent="0.25">
      <c r="A115" s="496" t="s">
        <v>360</v>
      </c>
      <c r="B115" s="496" t="s">
        <v>361</v>
      </c>
      <c r="C115" s="496" t="s">
        <v>112</v>
      </c>
      <c r="D115" s="660">
        <v>73276</v>
      </c>
      <c r="E115" s="660">
        <v>31410</v>
      </c>
      <c r="F115" s="660">
        <v>31410</v>
      </c>
      <c r="G115" s="660">
        <v>39439</v>
      </c>
      <c r="H115" s="660">
        <v>34390</v>
      </c>
      <c r="I115" s="660">
        <v>39231</v>
      </c>
      <c r="J115" s="660">
        <v>37921</v>
      </c>
      <c r="K115" s="660">
        <v>36826</v>
      </c>
      <c r="L115" s="660">
        <v>39733</v>
      </c>
      <c r="M115" s="496">
        <v>0.43</v>
      </c>
      <c r="N115" s="496">
        <v>0.43</v>
      </c>
      <c r="O115" s="496">
        <v>0.54</v>
      </c>
      <c r="P115" s="496">
        <v>0.47</v>
      </c>
      <c r="Q115" s="496">
        <v>0.54</v>
      </c>
      <c r="R115" s="496">
        <v>0.52</v>
      </c>
      <c r="S115" s="496">
        <v>0.5</v>
      </c>
      <c r="T115" s="496">
        <v>0.54</v>
      </c>
    </row>
    <row r="116" spans="1:20" x14ac:dyDescent="0.25">
      <c r="A116" s="496" t="s">
        <v>362</v>
      </c>
      <c r="B116" s="496" t="s">
        <v>363</v>
      </c>
      <c r="C116" s="496" t="s">
        <v>112</v>
      </c>
      <c r="D116" s="660">
        <v>50773</v>
      </c>
      <c r="E116" s="660">
        <v>42724</v>
      </c>
      <c r="F116" s="660">
        <v>42724</v>
      </c>
      <c r="G116" s="660">
        <v>53646</v>
      </c>
      <c r="H116" s="660">
        <v>46778</v>
      </c>
      <c r="I116" s="660">
        <v>53363</v>
      </c>
      <c r="J116" s="660">
        <v>51581</v>
      </c>
      <c r="K116" s="660">
        <v>50091</v>
      </c>
      <c r="L116" s="660">
        <v>54046</v>
      </c>
      <c r="M116" s="496">
        <v>0.84</v>
      </c>
      <c r="N116" s="496">
        <v>0.84</v>
      </c>
      <c r="O116" s="496">
        <v>1.06</v>
      </c>
      <c r="P116" s="496">
        <v>0.92</v>
      </c>
      <c r="Q116" s="496">
        <v>1.05</v>
      </c>
      <c r="R116" s="496">
        <v>1.02</v>
      </c>
      <c r="S116" s="496">
        <v>0.99</v>
      </c>
      <c r="T116" s="496">
        <v>1.06</v>
      </c>
    </row>
    <row r="117" spans="1:20" x14ac:dyDescent="0.25">
      <c r="A117" s="496" t="s">
        <v>364</v>
      </c>
      <c r="B117" s="496" t="s">
        <v>365</v>
      </c>
      <c r="C117" s="496" t="s">
        <v>112</v>
      </c>
      <c r="D117" s="660">
        <v>58641</v>
      </c>
      <c r="E117" s="660">
        <v>74424</v>
      </c>
      <c r="F117" s="660">
        <v>74424</v>
      </c>
      <c r="G117" s="660">
        <v>93449</v>
      </c>
      <c r="H117" s="660">
        <v>81486</v>
      </c>
      <c r="I117" s="660">
        <v>92956</v>
      </c>
      <c r="J117" s="660">
        <v>89852</v>
      </c>
      <c r="K117" s="660">
        <v>87258</v>
      </c>
      <c r="L117" s="660">
        <v>94146</v>
      </c>
      <c r="M117" s="496">
        <v>1.27</v>
      </c>
      <c r="N117" s="496">
        <v>1.27</v>
      </c>
      <c r="O117" s="496">
        <v>1.59</v>
      </c>
      <c r="P117" s="496">
        <v>1.39</v>
      </c>
      <c r="Q117" s="496">
        <v>1.59</v>
      </c>
      <c r="R117" s="496">
        <v>1.53</v>
      </c>
      <c r="S117" s="496">
        <v>1.49</v>
      </c>
      <c r="T117" s="496">
        <v>1.61</v>
      </c>
    </row>
    <row r="118" spans="1:20" x14ac:dyDescent="0.25">
      <c r="A118" s="496" t="s">
        <v>366</v>
      </c>
      <c r="B118" s="496" t="s">
        <v>367</v>
      </c>
      <c r="C118" s="496" t="s">
        <v>368</v>
      </c>
      <c r="D118" s="660">
        <v>12075</v>
      </c>
      <c r="E118" s="660">
        <v>15605</v>
      </c>
      <c r="F118" s="660">
        <v>15605</v>
      </c>
      <c r="G118" s="660">
        <v>19594</v>
      </c>
      <c r="H118" s="660">
        <v>17085</v>
      </c>
      <c r="I118" s="660">
        <v>19490</v>
      </c>
      <c r="J118" s="660">
        <v>18839</v>
      </c>
      <c r="K118" s="660">
        <v>18295</v>
      </c>
      <c r="L118" s="660">
        <v>19740</v>
      </c>
      <c r="M118" s="496">
        <v>1.29</v>
      </c>
      <c r="N118" s="496">
        <v>1.29</v>
      </c>
      <c r="O118" s="496">
        <v>1.62</v>
      </c>
      <c r="P118" s="496">
        <v>1.41</v>
      </c>
      <c r="Q118" s="496">
        <v>1.61</v>
      </c>
      <c r="R118" s="496">
        <v>1.56</v>
      </c>
      <c r="S118" s="496">
        <v>1.52</v>
      </c>
      <c r="T118" s="496">
        <v>1.63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40" style="30" customWidth="1"/>
    <col min="4" max="6" width="11.5703125" style="60" customWidth="1"/>
    <col min="7" max="7" width="11.5703125" style="13" customWidth="1"/>
    <col min="8" max="8" width="11.5703125" style="10" customWidth="1"/>
    <col min="9" max="9" width="11.5703125" style="11" customWidth="1"/>
    <col min="10" max="10" width="11.5703125" style="60" customWidth="1"/>
    <col min="11" max="14" width="11.5703125" style="12" customWidth="1"/>
    <col min="15" max="15" width="11.5703125" style="368" customWidth="1"/>
    <col min="16" max="16" width="11.5703125" style="12" customWidth="1"/>
    <col min="17" max="17" width="11.5703125" style="11" customWidth="1"/>
    <col min="18" max="18" width="11.5703125" style="13" customWidth="1"/>
    <col min="19" max="19" width="11.5703125" style="374" customWidth="1"/>
    <col min="20" max="20" width="11.5703125" style="14" customWidth="1"/>
    <col min="21" max="21" width="11.5703125" style="11" customWidth="1"/>
    <col min="22" max="22" width="11.5703125" style="10" customWidth="1"/>
    <col min="23" max="24" width="11.5703125" style="11" customWidth="1"/>
    <col min="25" max="25" width="11.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52" t="s">
        <v>60</v>
      </c>
      <c r="P2" s="953"/>
      <c r="Q2" s="953"/>
      <c r="R2" s="953"/>
      <c r="S2" s="954"/>
    </row>
    <row r="3" spans="1:36" ht="17.100000000000001" customHeight="1" thickBot="1" x14ac:dyDescent="0.3">
      <c r="A3" s="10"/>
      <c r="B3" s="964"/>
      <c r="C3" s="965"/>
      <c r="E3" s="388" t="s">
        <v>61</v>
      </c>
      <c r="F3" s="363" t="s">
        <v>62</v>
      </c>
      <c r="G3" s="364" t="s">
        <v>63</v>
      </c>
      <c r="H3" s="363" t="s">
        <v>64</v>
      </c>
      <c r="I3" s="364" t="s">
        <v>65</v>
      </c>
      <c r="J3" s="389" t="s">
        <v>66</v>
      </c>
      <c r="K3" s="60"/>
      <c r="L3" s="394" t="s">
        <v>70</v>
      </c>
      <c r="M3" s="392">
        <f>ITECountywide!B4</f>
        <v>1.67</v>
      </c>
      <c r="O3" s="470"/>
      <c r="P3" s="363"/>
      <c r="Q3" s="475" t="s">
        <v>62</v>
      </c>
      <c r="R3" s="476" t="s">
        <v>63</v>
      </c>
      <c r="S3" s="477" t="s">
        <v>68</v>
      </c>
      <c r="T3" s="10"/>
      <c r="U3" s="10"/>
    </row>
    <row r="4" spans="1:36" ht="17.100000000000001" customHeight="1" thickBot="1" x14ac:dyDescent="0.3">
      <c r="A4" s="10"/>
      <c r="B4" s="959" t="s">
        <v>55</v>
      </c>
      <c r="C4" s="961">
        <v>1</v>
      </c>
      <c r="E4" s="396" t="s">
        <v>69</v>
      </c>
      <c r="F4" s="383">
        <f>'2045_24hr_all_productions'!$Q$39</f>
        <v>0.72495177066528282</v>
      </c>
      <c r="G4" s="383">
        <f>'2045_24hr_all_productions'!$S$39</f>
        <v>7.9468405555116819E-2</v>
      </c>
      <c r="H4" s="384">
        <f>'2045_24hr_all_productions'!$T$39</f>
        <v>0.14022044472523382</v>
      </c>
      <c r="I4" s="383">
        <f>'2045_24hr_all_productions'!$R$39</f>
        <v>5.5359379054366588E-2</v>
      </c>
      <c r="J4" s="397">
        <f>+H4+I4</f>
        <v>0.1955798237796004</v>
      </c>
      <c r="K4" s="60"/>
      <c r="L4" s="395" t="s">
        <v>73</v>
      </c>
      <c r="M4" s="393">
        <f>ITECountywide!B4</f>
        <v>1.67</v>
      </c>
      <c r="O4" s="473" t="s">
        <v>388</v>
      </c>
      <c r="P4" s="603"/>
      <c r="Q4" s="604">
        <f>+RoadCapCost!L15</f>
        <v>261.71052631578948</v>
      </c>
      <c r="R4" s="604">
        <f>+TransitCapCost!AB13</f>
        <v>405.42115030277023</v>
      </c>
      <c r="S4" s="474">
        <f>+WalkBikeCapCost!$V$7</f>
        <v>37.9060089869281</v>
      </c>
      <c r="T4" s="11"/>
    </row>
    <row r="5" spans="1:36" ht="17.100000000000001" customHeight="1" thickBot="1" x14ac:dyDescent="0.3">
      <c r="B5" s="960"/>
      <c r="C5" s="958"/>
      <c r="E5" s="396" t="s">
        <v>72</v>
      </c>
      <c r="F5" s="383">
        <f>'2045_24hr_all_attractions'!$Q$35</f>
        <v>0.64373267284932234</v>
      </c>
      <c r="G5" s="383">
        <f>'2045_24hr_all_attractions'!$S$35</f>
        <v>0.10362046562246396</v>
      </c>
      <c r="H5" s="384">
        <f>'2045_24hr_all_attractions'!$T$35</f>
        <v>0.176430853234636</v>
      </c>
      <c r="I5" s="383">
        <f>'2045_24hr_all_attractions'!$R$35</f>
        <v>7.6216008293577636E-2</v>
      </c>
      <c r="J5" s="397">
        <f>+H5+I5</f>
        <v>0.25264686152821364</v>
      </c>
      <c r="K5" s="60"/>
      <c r="S5" s="379"/>
      <c r="T5" s="11"/>
    </row>
    <row r="6" spans="1:36" ht="17.100000000000001" customHeight="1" x14ac:dyDescent="0.25">
      <c r="B6" s="955" t="s">
        <v>56</v>
      </c>
      <c r="C6" s="957" t="s">
        <v>58</v>
      </c>
      <c r="E6" s="396" t="s">
        <v>74</v>
      </c>
      <c r="F6" s="385">
        <f>'2045_24hr_all_productions'!$M$39</f>
        <v>8.069603635288443</v>
      </c>
      <c r="G6" s="385">
        <f>'2045_24hr_all_productions'!$O$35</f>
        <v>6.1592704513558783</v>
      </c>
      <c r="H6" s="385">
        <f>'2045_24hr_all_productions'!$P$39</f>
        <v>0.83815592565773589</v>
      </c>
      <c r="I6" s="385">
        <f>'2045_24hr_all_productions'!$N$39</f>
        <v>4.0323313633584679</v>
      </c>
      <c r="J6" s="398">
        <f>+((H4/J4)*H6)+(I4/J4*I6)</f>
        <v>1.7422756114443934</v>
      </c>
      <c r="K6" s="60"/>
      <c r="O6" s="60"/>
      <c r="P6" s="11"/>
      <c r="S6" s="379"/>
    </row>
    <row r="7" spans="1:36" ht="17.100000000000001" customHeight="1" thickBot="1" x14ac:dyDescent="0.3">
      <c r="B7" s="956"/>
      <c r="C7" s="958"/>
      <c r="E7" s="399" t="s">
        <v>75</v>
      </c>
      <c r="F7" s="400">
        <f>'2045_24hr_all_attractions'!$M$35</f>
        <v>7.4131598277332049</v>
      </c>
      <c r="G7" s="400">
        <f>'2045_24hr_all_attractions'!$O$35</f>
        <v>6.0539163403426963</v>
      </c>
      <c r="H7" s="400">
        <f>'2045_24hr_all_attractions'!$P$35</f>
        <v>0.8430772912179948</v>
      </c>
      <c r="I7" s="400">
        <f>'2045_24hr_all_attractions'!$N$35</f>
        <v>3.5791106324049857</v>
      </c>
      <c r="J7" s="401">
        <f>+((H5/J5)*H7)+(I5/J5*I7)</f>
        <v>1.6684567895503961</v>
      </c>
      <c r="K7" s="60"/>
      <c r="O7" s="60"/>
      <c r="P7" s="11"/>
      <c r="R7" s="11"/>
    </row>
    <row r="8" spans="1:36" ht="17.100000000000001" customHeight="1" thickBot="1" x14ac:dyDescent="0.3">
      <c r="F8" s="22"/>
      <c r="H8" s="381"/>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68</v>
      </c>
      <c r="X9" s="946"/>
      <c r="Y9" s="948"/>
    </row>
    <row r="10" spans="1:36" s="9" customFormat="1" ht="32.1" customHeight="1" x14ac:dyDescent="0.3">
      <c r="B10" s="737" t="s">
        <v>78</v>
      </c>
      <c r="C10" s="605" t="s">
        <v>79</v>
      </c>
      <c r="D10" s="370" t="s">
        <v>80</v>
      </c>
      <c r="E10" s="370" t="s">
        <v>82</v>
      </c>
      <c r="F10" s="370" t="s">
        <v>83</v>
      </c>
      <c r="G10" s="606" t="s">
        <v>84</v>
      </c>
      <c r="H10" s="478" t="s">
        <v>85</v>
      </c>
      <c r="I10" s="607" t="s">
        <v>86</v>
      </c>
      <c r="J10" s="370" t="s">
        <v>87</v>
      </c>
      <c r="K10" s="608" t="s">
        <v>88</v>
      </c>
      <c r="L10" s="406" t="s">
        <v>390</v>
      </c>
      <c r="M10" s="406" t="s">
        <v>391</v>
      </c>
      <c r="N10" s="609" t="s">
        <v>91</v>
      </c>
      <c r="O10" s="480" t="s">
        <v>92</v>
      </c>
      <c r="P10" s="610" t="s">
        <v>93</v>
      </c>
      <c r="Q10" s="370" t="s">
        <v>94</v>
      </c>
      <c r="R10" s="611" t="s">
        <v>95</v>
      </c>
      <c r="S10" s="468" t="s">
        <v>96</v>
      </c>
      <c r="T10" s="607" t="s">
        <v>93</v>
      </c>
      <c r="U10" s="611" t="s">
        <v>97</v>
      </c>
      <c r="V10" s="468" t="s">
        <v>96</v>
      </c>
      <c r="W10" s="612" t="s">
        <v>93</v>
      </c>
      <c r="X10" s="613" t="s">
        <v>98</v>
      </c>
      <c r="Y10" s="738" t="s">
        <v>96</v>
      </c>
    </row>
    <row r="11" spans="1:36" ht="32.1" customHeight="1" x14ac:dyDescent="0.25">
      <c r="A11" s="11" t="s">
        <v>392</v>
      </c>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32.1" customHeight="1" x14ac:dyDescent="0.25">
      <c r="B12" s="741">
        <v>30</v>
      </c>
      <c r="C12" s="367" t="str">
        <f>+CurrentFee_RIF!C5</f>
        <v>Truck Terminal</v>
      </c>
      <c r="D12" s="366" t="s">
        <v>112</v>
      </c>
      <c r="E12" s="365">
        <f>ITE_LUC_Rates!G3</f>
        <v>9.85</v>
      </c>
      <c r="F12" s="366" t="s">
        <v>73</v>
      </c>
      <c r="G12" s="373">
        <f>ITE_LUC_Rates!Q3</f>
        <v>10080.200000000001</v>
      </c>
      <c r="H12" s="486">
        <f>+S12+V12+Y12</f>
        <v>9088.9980417987063</v>
      </c>
      <c r="I12" s="487">
        <f>ITECountywide!$B$9*E12</f>
        <v>17.853918169193626</v>
      </c>
      <c r="J12" s="488">
        <f>IF(F12="Prod",$M$3,$M$4)</f>
        <v>1.67</v>
      </c>
      <c r="K12" s="372">
        <f>IF(F12="Prod",$F$4,$F$5)</f>
        <v>0.64373267284932234</v>
      </c>
      <c r="L12" s="488">
        <f>Passby_Length_Adj!H7</f>
        <v>1</v>
      </c>
      <c r="M12" s="488">
        <f>Passby_Length_Adj!J7</f>
        <v>1</v>
      </c>
      <c r="N12" s="372">
        <v>0.5</v>
      </c>
      <c r="O12" s="481">
        <f>L12*M12*N12</f>
        <v>0.5</v>
      </c>
      <c r="P12" s="489">
        <f>IF($F12="Prod",$I12*$O12*$F$4*$F$6,$I12*O12*$F$5*$F$7)</f>
        <v>42.600280656494228</v>
      </c>
      <c r="Q12" s="490">
        <f>+P12/J12</f>
        <v>25.50915009370912</v>
      </c>
      <c r="R12" s="491">
        <f>+$Q$4</f>
        <v>261.71052631578948</v>
      </c>
      <c r="S12" s="492">
        <f>+Q12*R12</f>
        <v>6676.0130968930844</v>
      </c>
      <c r="T12" s="489">
        <f>IF($F12="Prod",$I12*$O12*$G$4*$G$6,$I12*$O12*$G$5*$G$7)</f>
        <v>5.5999674006134637</v>
      </c>
      <c r="U12" s="493">
        <f>+$R$4</f>
        <v>405.42115030277023</v>
      </c>
      <c r="V12" s="492">
        <f>+T12*U12</f>
        <v>2270.3452252147245</v>
      </c>
      <c r="W12" s="489">
        <f>IF($F12="Prod",$I12*$O12*$J$4*$J$6,$I12*$O12*$J$5*$J$7)</f>
        <v>3.7629843790753164</v>
      </c>
      <c r="X12" s="493">
        <f>+$S$4</f>
        <v>37.9060089869281</v>
      </c>
      <c r="Y12" s="742">
        <f>+W12*X12</f>
        <v>142.639719690899</v>
      </c>
      <c r="Z12" s="381"/>
      <c r="AB12" s="11"/>
      <c r="AD12" s="58"/>
      <c r="AI12" s="58"/>
    </row>
    <row r="13" spans="1:36" ht="32.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8"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86">
        <f t="shared" ref="H14:H76" si="0">+S14+V14+Y14</f>
        <v>4576.7949530275728</v>
      </c>
      <c r="I14" s="487">
        <f>ITECountywide!$B$9*E14</f>
        <v>8.9903994029645062</v>
      </c>
      <c r="J14" s="488">
        <f t="shared" ref="J14:J20" si="1">IF(F14="Prod",$M$3,$M$4)</f>
        <v>1.67</v>
      </c>
      <c r="K14" s="372">
        <f t="shared" ref="K14:K20" si="2">IF(F14="Prod",$F$4,$F$5)</f>
        <v>0.64373267284932234</v>
      </c>
      <c r="L14" s="488">
        <f>Passby_Length_Adj!H9</f>
        <v>1</v>
      </c>
      <c r="M14" s="488">
        <f>Passby_Length_Adj!J9</f>
        <v>1</v>
      </c>
      <c r="N14" s="372">
        <v>0.5</v>
      </c>
      <c r="O14" s="481">
        <f t="shared" ref="O14:O20" si="3">L14*M14*N14</f>
        <v>0.5</v>
      </c>
      <c r="P14" s="489">
        <f t="shared" ref="P14:P20" si="4">IF($F14="Prod",$I14*$O14*$F$4*$F$6,$I14*O14*$F$5*$F$7)</f>
        <v>21.451511883879327</v>
      </c>
      <c r="Q14" s="490">
        <f t="shared" ref="Q14:Q79" si="5">+P14/J14</f>
        <v>12.845216696933729</v>
      </c>
      <c r="R14" s="491">
        <f t="shared" ref="R14:R20" si="6">+$Q$4</f>
        <v>261.71052631578948</v>
      </c>
      <c r="S14" s="492">
        <f>+Q14*R14</f>
        <v>3361.7284223948932</v>
      </c>
      <c r="T14" s="489">
        <f t="shared" ref="T14:T20" si="7">IF($F14="Prod",$I14*$O14*$G$4*$G$6,$I14*$O14*$G$5*$G$7)</f>
        <v>2.8198820616287086</v>
      </c>
      <c r="U14" s="493">
        <f t="shared" ref="U14:U20" si="8">+$R$4</f>
        <v>405.42115030277023</v>
      </c>
      <c r="V14" s="492">
        <f t="shared" ref="V14:V20" si="9">+T14*U14</f>
        <v>1143.2398291436582</v>
      </c>
      <c r="W14" s="489">
        <f t="shared" ref="W14:W20" si="10">IF($F14="Prod",$I14*$O14*$J$4*$J$6,$I14*$O14*$J$5*$J$7)</f>
        <v>1.8948632000216821</v>
      </c>
      <c r="X14" s="493">
        <f t="shared" ref="X14:X20" si="11">+$S$4</f>
        <v>37.9060089869281</v>
      </c>
      <c r="Y14" s="742">
        <f t="shared" ref="Y14:Y20" si="12">+W14*X14</f>
        <v>71.826701489021218</v>
      </c>
      <c r="Z14" s="381"/>
      <c r="AA14" s="59"/>
      <c r="AB14" s="11">
        <f>V14/S14</f>
        <v>0.34007501067835066</v>
      </c>
    </row>
    <row r="15" spans="1:36" ht="18"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86">
        <f t="shared" si="0"/>
        <v>3109.6368934884913</v>
      </c>
      <c r="I15" s="487">
        <f>ITECountywide!$B$9*E15</f>
        <v>6.1083963685464484</v>
      </c>
      <c r="J15" s="488">
        <f t="shared" si="1"/>
        <v>1.67</v>
      </c>
      <c r="K15" s="372">
        <f t="shared" si="2"/>
        <v>0.64373267284932234</v>
      </c>
      <c r="L15" s="488">
        <f>Passby_Length_Adj!H10</f>
        <v>1</v>
      </c>
      <c r="M15" s="488">
        <f>Passby_Length_Adj!J10</f>
        <v>1</v>
      </c>
      <c r="N15" s="372">
        <v>0.5</v>
      </c>
      <c r="O15" s="481">
        <f t="shared" si="3"/>
        <v>0.5</v>
      </c>
      <c r="P15" s="489">
        <f t="shared" si="4"/>
        <v>14.574918356587364</v>
      </c>
      <c r="Q15" s="490">
        <f t="shared" si="5"/>
        <v>8.7274960219086015</v>
      </c>
      <c r="R15" s="491">
        <f t="shared" si="6"/>
        <v>261.71052631578948</v>
      </c>
      <c r="S15" s="492">
        <f t="shared" ref="S15:S20" si="13">+Q15*R15</f>
        <v>2284.0775773126588</v>
      </c>
      <c r="T15" s="489">
        <f t="shared" si="7"/>
        <v>1.9159279330017633</v>
      </c>
      <c r="U15" s="493">
        <f t="shared" si="8"/>
        <v>405.42115030277023</v>
      </c>
      <c r="V15" s="492">
        <f t="shared" si="9"/>
        <v>776.75770649478375</v>
      </c>
      <c r="W15" s="489">
        <f t="shared" si="10"/>
        <v>1.287437295176022</v>
      </c>
      <c r="X15" s="493">
        <f t="shared" si="11"/>
        <v>37.9060089869281</v>
      </c>
      <c r="Y15" s="742">
        <f t="shared" si="12"/>
        <v>48.801609681048696</v>
      </c>
      <c r="Z15" s="381"/>
      <c r="AB15" s="11">
        <f>V15/S15</f>
        <v>0.34007501067835066</v>
      </c>
    </row>
    <row r="16" spans="1:36" ht="18"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86">
        <f t="shared" si="0"/>
        <v>3626.371807539992</v>
      </c>
      <c r="I16" s="487">
        <f>ITECountywide!$B$9*E16</f>
        <v>7.1234414624295379</v>
      </c>
      <c r="J16" s="488">
        <f t="shared" si="1"/>
        <v>1.67</v>
      </c>
      <c r="K16" s="372">
        <f t="shared" si="2"/>
        <v>0.64373267284932234</v>
      </c>
      <c r="L16" s="488">
        <f>Passby_Length_Adj!H11</f>
        <v>1</v>
      </c>
      <c r="M16" s="488">
        <f>Passby_Length_Adj!J11</f>
        <v>1</v>
      </c>
      <c r="N16" s="372">
        <v>0.5</v>
      </c>
      <c r="O16" s="481">
        <f t="shared" si="3"/>
        <v>0.5</v>
      </c>
      <c r="P16" s="489">
        <f t="shared" si="4"/>
        <v>16.996863246702773</v>
      </c>
      <c r="Q16" s="490">
        <f t="shared" si="5"/>
        <v>10.177762423175313</v>
      </c>
      <c r="R16" s="491">
        <f t="shared" si="6"/>
        <v>261.71052631578948</v>
      </c>
      <c r="S16" s="492">
        <f t="shared" si="13"/>
        <v>2663.6275604862763</v>
      </c>
      <c r="T16" s="489">
        <f t="shared" si="7"/>
        <v>2.2343017141533918</v>
      </c>
      <c r="U16" s="493">
        <f t="shared" si="8"/>
        <v>405.42115030277023</v>
      </c>
      <c r="V16" s="492">
        <f t="shared" si="9"/>
        <v>905.83317107551943</v>
      </c>
      <c r="W16" s="489">
        <f t="shared" si="10"/>
        <v>1.5013734629204054</v>
      </c>
      <c r="X16" s="493">
        <f t="shared" si="11"/>
        <v>37.9060089869281</v>
      </c>
      <c r="Y16" s="742">
        <f t="shared" si="12"/>
        <v>56.911075978196251</v>
      </c>
      <c r="Z16" s="381"/>
      <c r="AB16" s="11">
        <f>V16/S16</f>
        <v>0.34007501067835061</v>
      </c>
      <c r="AD16" s="59"/>
    </row>
    <row r="17" spans="2:28" ht="18" customHeight="1" x14ac:dyDescent="0.25">
      <c r="B17" s="741">
        <f>ITE_LUC_Rates!A8</f>
        <v>150</v>
      </c>
      <c r="C17" s="367" t="str">
        <f>ITE_LUC_Rates!B8</f>
        <v>Warehousing</v>
      </c>
      <c r="D17" s="366" t="str">
        <f>ITE_LUC_Rates!C8</f>
        <v>1000 GSF</v>
      </c>
      <c r="E17" s="365">
        <f>ITE_LUC_Rates!G8</f>
        <v>1.74</v>
      </c>
      <c r="F17" s="366" t="s">
        <v>73</v>
      </c>
      <c r="G17" s="373">
        <f>ITE_LUC_Rates!Q8</f>
        <v>5002.3</v>
      </c>
      <c r="H17" s="486">
        <f t="shared" si="0"/>
        <v>1605.5691972314467</v>
      </c>
      <c r="I17" s="487">
        <f>ITECountywide!$B$9*E17</f>
        <v>3.1538901131367418</v>
      </c>
      <c r="J17" s="488">
        <f t="shared" si="1"/>
        <v>1.67</v>
      </c>
      <c r="K17" s="372">
        <f t="shared" si="2"/>
        <v>0.64373267284932234</v>
      </c>
      <c r="L17" s="488">
        <f>Passby_Length_Adj!H12</f>
        <v>1</v>
      </c>
      <c r="M17" s="488">
        <f>Passby_Length_Adj!J12</f>
        <v>1</v>
      </c>
      <c r="N17" s="372">
        <v>0.5</v>
      </c>
      <c r="O17" s="481">
        <f t="shared" si="3"/>
        <v>0.5</v>
      </c>
      <c r="P17" s="489">
        <f t="shared" si="4"/>
        <v>7.5253287657157308</v>
      </c>
      <c r="Q17" s="490">
        <f t="shared" si="5"/>
        <v>4.5061848896501386</v>
      </c>
      <c r="R17" s="491">
        <f t="shared" si="6"/>
        <v>261.71052631578948</v>
      </c>
      <c r="S17" s="492">
        <f t="shared" si="13"/>
        <v>1179.3160191465954</v>
      </c>
      <c r="T17" s="489">
        <f t="shared" si="7"/>
        <v>0.98923282000684531</v>
      </c>
      <c r="U17" s="493">
        <f t="shared" si="8"/>
        <v>405.42115030277023</v>
      </c>
      <c r="V17" s="492">
        <f t="shared" si="9"/>
        <v>401.0559078044285</v>
      </c>
      <c r="W17" s="489">
        <f t="shared" si="10"/>
        <v>0.66473023549147714</v>
      </c>
      <c r="X17" s="493">
        <f t="shared" si="11"/>
        <v>37.9060089869281</v>
      </c>
      <c r="Y17" s="742">
        <f t="shared" si="12"/>
        <v>25.197270280422764</v>
      </c>
      <c r="Z17" s="381"/>
      <c r="AB17" s="11">
        <f>V17/S17</f>
        <v>0.34007501067835072</v>
      </c>
    </row>
    <row r="18" spans="2:28" ht="18"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86">
        <f t="shared" si="0"/>
        <v>1393.3387861031524</v>
      </c>
      <c r="I18" s="487">
        <f>ITECountywide!$B$9*E18</f>
        <v>2.736996592434759</v>
      </c>
      <c r="J18" s="495">
        <f t="shared" si="1"/>
        <v>1.67</v>
      </c>
      <c r="K18" s="372">
        <f t="shared" si="2"/>
        <v>0.64373267284932234</v>
      </c>
      <c r="L18" s="488">
        <f>Passby_Length_Adj!H13</f>
        <v>1</v>
      </c>
      <c r="M18" s="488">
        <f>Passby_Length_Adj!J13</f>
        <v>1</v>
      </c>
      <c r="N18" s="372">
        <v>0.5</v>
      </c>
      <c r="O18" s="481">
        <f t="shared" si="3"/>
        <v>0.5</v>
      </c>
      <c r="P18" s="489">
        <f t="shared" si="4"/>
        <v>6.5306014001326176</v>
      </c>
      <c r="Q18" s="490">
        <f>+P18/J18</f>
        <v>3.910539760558454</v>
      </c>
      <c r="R18" s="491">
        <f t="shared" si="6"/>
        <v>261.71052631578948</v>
      </c>
      <c r="S18" s="492">
        <f t="shared" si="13"/>
        <v>1023.4294189145744</v>
      </c>
      <c r="T18" s="489">
        <f t="shared" si="7"/>
        <v>0.85847215989099801</v>
      </c>
      <c r="U18" s="493">
        <f t="shared" si="8"/>
        <v>405.42115030277023</v>
      </c>
      <c r="V18" s="492">
        <f t="shared" si="9"/>
        <v>348.04277056591212</v>
      </c>
      <c r="W18" s="489">
        <f t="shared" si="10"/>
        <v>0.5768635951678911</v>
      </c>
      <c r="X18" s="493">
        <f t="shared" si="11"/>
        <v>37.9060089869281</v>
      </c>
      <c r="Y18" s="742">
        <f t="shared" si="12"/>
        <v>21.866596622665732</v>
      </c>
      <c r="Z18" s="381"/>
      <c r="AB18" s="11">
        <f>V18/S18</f>
        <v>0.34007501067835066</v>
      </c>
    </row>
    <row r="19" spans="2:28" ht="18"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86">
        <f t="shared" si="0"/>
        <v>913.51350876961624</v>
      </c>
      <c r="I19" s="487">
        <f>ITECountywide!$B$9*E19</f>
        <v>1.7944547195433187</v>
      </c>
      <c r="J19" s="488">
        <f t="shared" si="1"/>
        <v>1.67</v>
      </c>
      <c r="K19" s="372">
        <f t="shared" si="2"/>
        <v>0.64373267284932234</v>
      </c>
      <c r="L19" s="488">
        <f>Passby_Length_Adj!H14</f>
        <v>1</v>
      </c>
      <c r="M19" s="488">
        <f>Passby_Length_Adj!J14</f>
        <v>1</v>
      </c>
      <c r="N19" s="372">
        <v>0.5</v>
      </c>
      <c r="O19" s="481">
        <f t="shared" si="3"/>
        <v>0.5</v>
      </c>
      <c r="P19" s="489">
        <f t="shared" si="4"/>
        <v>4.2816525735968813</v>
      </c>
      <c r="Q19" s="490">
        <f t="shared" si="5"/>
        <v>2.5638638165250787</v>
      </c>
      <c r="R19" s="491">
        <f t="shared" si="6"/>
        <v>261.71052631578948</v>
      </c>
      <c r="S19" s="492">
        <f t="shared" si="13"/>
        <v>670.99014882478707</v>
      </c>
      <c r="T19" s="489">
        <f t="shared" si="7"/>
        <v>0.56283936310734295</v>
      </c>
      <c r="U19" s="493">
        <f t="shared" si="8"/>
        <v>405.42115030277023</v>
      </c>
      <c r="V19" s="492">
        <f t="shared" si="9"/>
        <v>228.18698202665755</v>
      </c>
      <c r="W19" s="489">
        <f t="shared" si="10"/>
        <v>0.37820858226239223</v>
      </c>
      <c r="X19" s="493">
        <f t="shared" si="11"/>
        <v>37.9060089869281</v>
      </c>
      <c r="Y19" s="742">
        <f t="shared" si="12"/>
        <v>14.336377918171575</v>
      </c>
      <c r="Z19" s="381"/>
      <c r="AB19" s="11"/>
    </row>
    <row r="20" spans="2:28" ht="18" customHeight="1" x14ac:dyDescent="0.25">
      <c r="B20" s="741">
        <f>ITE_LUC_Rates!A11</f>
        <v>170</v>
      </c>
      <c r="C20" s="367" t="str">
        <f>ITE_LUC_Rates!B11</f>
        <v>Utility</v>
      </c>
      <c r="D20" s="366" t="str">
        <f>ITE_LUC_Rates!C11</f>
        <v>1000 GSF</v>
      </c>
      <c r="E20" s="365">
        <f>ITE_LUC_Rates!G11</f>
        <v>13.24</v>
      </c>
      <c r="F20" s="366" t="s">
        <v>73</v>
      </c>
      <c r="G20" s="373">
        <f>ITE_LUC_Rates!Q11</f>
        <v>0</v>
      </c>
      <c r="H20" s="486">
        <f t="shared" si="0"/>
        <v>12217.089753646182</v>
      </c>
      <c r="I20" s="487">
        <f>ITECountywide!$B$9*E20</f>
        <v>23.998566148235899</v>
      </c>
      <c r="J20" s="488">
        <f t="shared" si="1"/>
        <v>1.67</v>
      </c>
      <c r="K20" s="372">
        <f t="shared" si="2"/>
        <v>0.64373267284932234</v>
      </c>
      <c r="L20" s="488">
        <f>Passby_Length_Adj!H15</f>
        <v>1</v>
      </c>
      <c r="M20" s="488">
        <f>Passby_Length_Adj!J15</f>
        <v>1</v>
      </c>
      <c r="N20" s="372">
        <v>0.5</v>
      </c>
      <c r="O20" s="481">
        <f t="shared" si="3"/>
        <v>0.5</v>
      </c>
      <c r="P20" s="489">
        <f t="shared" si="4"/>
        <v>57.261697044871426</v>
      </c>
      <c r="Q20" s="490">
        <f t="shared" si="5"/>
        <v>34.288441344234386</v>
      </c>
      <c r="R20" s="491">
        <f t="shared" si="6"/>
        <v>261.71052631578948</v>
      </c>
      <c r="S20" s="492">
        <f t="shared" si="13"/>
        <v>8973.6460307476573</v>
      </c>
      <c r="T20" s="489">
        <f t="shared" si="7"/>
        <v>7.5272658257992138</v>
      </c>
      <c r="U20" s="493">
        <f t="shared" si="8"/>
        <v>405.42115030277023</v>
      </c>
      <c r="V20" s="492">
        <f t="shared" si="9"/>
        <v>3051.712769730249</v>
      </c>
      <c r="W20" s="489">
        <f t="shared" si="10"/>
        <v>5.0580622516707807</v>
      </c>
      <c r="X20" s="493">
        <f t="shared" si="11"/>
        <v>37.9060089869281</v>
      </c>
      <c r="Y20" s="742">
        <f t="shared" si="12"/>
        <v>191.7309531682744</v>
      </c>
      <c r="Z20" s="381"/>
      <c r="AB20" s="11"/>
    </row>
    <row r="21" spans="2:28"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c r="AB21" s="11"/>
    </row>
    <row r="22" spans="2:28"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86">
        <f t="shared" si="0"/>
        <v>9651.6577189196796</v>
      </c>
      <c r="I22" s="487">
        <f>ITECountywide!$B$9*E22</f>
        <v>17.110760154029219</v>
      </c>
      <c r="J22" s="488">
        <f t="shared" ref="J22:J35" si="14">IF(F22="Prod",$M$3,$M$4)</f>
        <v>1.67</v>
      </c>
      <c r="K22" s="372">
        <f t="shared" ref="K22:K35" si="15">IF(F22="Prod",$F$4,$F$5)</f>
        <v>0.72495177066528282</v>
      </c>
      <c r="L22" s="488">
        <f>Passby_Length_Adj!H17</f>
        <v>1</v>
      </c>
      <c r="M22" s="488">
        <f>Passby_Length_Adj!J17</f>
        <v>1</v>
      </c>
      <c r="N22" s="372">
        <v>0.5</v>
      </c>
      <c r="O22" s="481">
        <f t="shared" ref="O22:O35" si="16">L22*M22*N22</f>
        <v>0.5</v>
      </c>
      <c r="P22" s="489">
        <f t="shared" ref="P22:P35" si="17">IF($F22="Prod",$I22*$O22*$F$4*$F$6,$I22*O22*$F$5*$F$7)</f>
        <v>50.049601791607707</v>
      </c>
      <c r="Q22" s="490">
        <f t="shared" si="5"/>
        <v>29.969821432100424</v>
      </c>
      <c r="R22" s="491">
        <f t="shared" ref="R22:R35" si="18">+$Q$4</f>
        <v>261.71052631578948</v>
      </c>
      <c r="S22" s="492">
        <f t="shared" ref="S22:S35" si="19">+Q22*R22</f>
        <v>7843.4177405852297</v>
      </c>
      <c r="T22" s="489">
        <f t="shared" ref="T22:T35" si="20">IF($F22="Prod",$I22*$O22*$G$4*$G$6,$I22*$O22*$G$5*$G$7)</f>
        <v>4.1875796607192877</v>
      </c>
      <c r="U22" s="493">
        <f t="shared" ref="U22:U35" si="21">+$R$4</f>
        <v>405.42115030277023</v>
      </c>
      <c r="V22" s="492">
        <f t="shared" ref="V22:V35" si="22">+T22*U22</f>
        <v>1697.7333630332978</v>
      </c>
      <c r="W22" s="489">
        <f t="shared" ref="W22:W35" si="23">IF($F22="Prod",$I22*$O22*$J$4*$J$6,$I22*$O22*$J$5*$J$7)</f>
        <v>2.9152796154103298</v>
      </c>
      <c r="X22" s="493">
        <f t="shared" ref="X22:X35" si="24">+$S$4</f>
        <v>37.9060089869281</v>
      </c>
      <c r="Y22" s="742">
        <f t="shared" ref="Y22:Y35" si="25">+W22*X22</f>
        <v>110.50661530115225</v>
      </c>
      <c r="Z22" s="494"/>
      <c r="AA22" s="139"/>
      <c r="AB22" s="11">
        <f>V22/S22</f>
        <v>0.21645326300147094</v>
      </c>
    </row>
    <row r="23" spans="2:28"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86">
        <f t="shared" si="0"/>
        <v>7484.1244176368718</v>
      </c>
      <c r="I23" s="487">
        <f>ITECountywide!$B$9*E23</f>
        <v>13.268089441471812</v>
      </c>
      <c r="J23" s="488">
        <f t="shared" si="14"/>
        <v>1.67</v>
      </c>
      <c r="K23" s="372">
        <f t="shared" si="15"/>
        <v>0.72495177066528282</v>
      </c>
      <c r="L23" s="488">
        <f>Passby_Length_Adj!H18</f>
        <v>1</v>
      </c>
      <c r="M23" s="488">
        <f>Passby_Length_Adj!J18</f>
        <v>1</v>
      </c>
      <c r="N23" s="372">
        <v>0.5</v>
      </c>
      <c r="O23" s="481">
        <f t="shared" si="16"/>
        <v>0.5</v>
      </c>
      <c r="P23" s="489">
        <f t="shared" si="17"/>
        <v>38.809648846882254</v>
      </c>
      <c r="Q23" s="490">
        <f t="shared" si="5"/>
        <v>23.239310686755843</v>
      </c>
      <c r="R23" s="491">
        <f t="shared" si="18"/>
        <v>261.71052631578948</v>
      </c>
      <c r="S23" s="492">
        <f t="shared" si="19"/>
        <v>6081.9722310470224</v>
      </c>
      <c r="T23" s="489">
        <f t="shared" si="20"/>
        <v>3.2471486352187702</v>
      </c>
      <c r="U23" s="493">
        <f t="shared" si="21"/>
        <v>405.42115030277023</v>
      </c>
      <c r="V23" s="492">
        <f t="shared" si="22"/>
        <v>1316.4627348944643</v>
      </c>
      <c r="W23" s="489">
        <f t="shared" si="23"/>
        <v>2.2605769899156374</v>
      </c>
      <c r="X23" s="493">
        <f t="shared" si="24"/>
        <v>37.9060089869281</v>
      </c>
      <c r="Y23" s="742">
        <f t="shared" si="25"/>
        <v>85.689451695385017</v>
      </c>
      <c r="Z23" s="381"/>
      <c r="AB23" s="11"/>
    </row>
    <row r="24" spans="2:28"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86">
        <f t="shared" si="0"/>
        <v>5561.9722448011717</v>
      </c>
      <c r="I24" s="487">
        <f>ITECountywide!$B$9*E24</f>
        <v>9.8604380548642965</v>
      </c>
      <c r="J24" s="488">
        <f t="shared" si="14"/>
        <v>1.67</v>
      </c>
      <c r="K24" s="372">
        <f t="shared" si="15"/>
        <v>0.72495177066528282</v>
      </c>
      <c r="L24" s="488">
        <f>Passby_Length_Adj!H19</f>
        <v>1</v>
      </c>
      <c r="M24" s="488">
        <f>Passby_Length_Adj!J19</f>
        <v>1</v>
      </c>
      <c r="N24" s="372">
        <v>0.5</v>
      </c>
      <c r="O24" s="481">
        <f t="shared" si="16"/>
        <v>0.5</v>
      </c>
      <c r="P24" s="489">
        <f t="shared" si="17"/>
        <v>28.842143405333253</v>
      </c>
      <c r="Q24" s="490">
        <f t="shared" si="5"/>
        <v>17.27074455409177</v>
      </c>
      <c r="R24" s="491">
        <f t="shared" si="18"/>
        <v>261.71052631578948</v>
      </c>
      <c r="S24" s="492">
        <f t="shared" si="19"/>
        <v>4519.9356471169122</v>
      </c>
      <c r="T24" s="489">
        <f t="shared" si="20"/>
        <v>2.413181499397556</v>
      </c>
      <c r="U24" s="493">
        <f t="shared" si="21"/>
        <v>405.42115030277023</v>
      </c>
      <c r="V24" s="492">
        <f t="shared" si="22"/>
        <v>978.354819375121</v>
      </c>
      <c r="W24" s="489">
        <f t="shared" si="23"/>
        <v>1.6799916427788342</v>
      </c>
      <c r="X24" s="493">
        <f t="shared" si="24"/>
        <v>37.9060089869281</v>
      </c>
      <c r="Y24" s="742">
        <f t="shared" si="25"/>
        <v>63.681778309138593</v>
      </c>
      <c r="Z24" s="381"/>
      <c r="AB24" s="11"/>
    </row>
    <row r="25" spans="2:28"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86">
        <f t="shared" si="0"/>
        <v>4549.7750899568409</v>
      </c>
      <c r="I25" s="487">
        <f>ITECountywide!$B$9*E25</f>
        <v>8.0659833353209791</v>
      </c>
      <c r="J25" s="488">
        <f t="shared" si="14"/>
        <v>1.67</v>
      </c>
      <c r="K25" s="372">
        <f t="shared" si="15"/>
        <v>0.72495177066528282</v>
      </c>
      <c r="L25" s="488">
        <f>Passby_Length_Adj!H20</f>
        <v>1</v>
      </c>
      <c r="M25" s="488">
        <f>Passby_Length_Adj!J20</f>
        <v>1</v>
      </c>
      <c r="N25" s="372">
        <v>0.5</v>
      </c>
      <c r="O25" s="481">
        <f t="shared" si="16"/>
        <v>0.5</v>
      </c>
      <c r="P25" s="489">
        <f t="shared" si="17"/>
        <v>23.59329745473033</v>
      </c>
      <c r="Q25" s="490">
        <f t="shared" si="5"/>
        <v>14.127723026784629</v>
      </c>
      <c r="R25" s="491">
        <f t="shared" si="18"/>
        <v>261.71052631578948</v>
      </c>
      <c r="S25" s="492">
        <f t="shared" si="19"/>
        <v>3697.3738289835037</v>
      </c>
      <c r="T25" s="489">
        <f t="shared" si="20"/>
        <v>1.9740179544704273</v>
      </c>
      <c r="U25" s="493">
        <f t="shared" si="21"/>
        <v>405.42115030277023</v>
      </c>
      <c r="V25" s="492">
        <f t="shared" si="22"/>
        <v>800.30862981972211</v>
      </c>
      <c r="W25" s="489">
        <f t="shared" si="23"/>
        <v>1.3742578695525391</v>
      </c>
      <c r="X25" s="493">
        <f t="shared" si="24"/>
        <v>37.9060089869281</v>
      </c>
      <c r="Y25" s="742">
        <f t="shared" si="25"/>
        <v>52.092631153615216</v>
      </c>
      <c r="Z25" s="381"/>
      <c r="AB25" s="11"/>
    </row>
    <row r="26" spans="2:28"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86">
        <f t="shared" si="0"/>
        <v>5991.3892195836161</v>
      </c>
      <c r="I26" s="487">
        <f>ITECountywide!$B$9*E26</f>
        <v>10.621721875276615</v>
      </c>
      <c r="J26" s="488">
        <f t="shared" si="14"/>
        <v>1.67</v>
      </c>
      <c r="K26" s="372">
        <f t="shared" si="15"/>
        <v>0.72495177066528282</v>
      </c>
      <c r="L26" s="488">
        <f>Passby_Length_Adj!H22</f>
        <v>1</v>
      </c>
      <c r="M26" s="488">
        <f>Passby_Length_Adj!J22</f>
        <v>1</v>
      </c>
      <c r="N26" s="372">
        <v>0.5</v>
      </c>
      <c r="O26" s="481">
        <f t="shared" si="16"/>
        <v>0.5</v>
      </c>
      <c r="P26" s="489">
        <f t="shared" si="17"/>
        <v>31.068926535892075</v>
      </c>
      <c r="Q26" s="490">
        <f>+P26/J26</f>
        <v>18.604147626282682</v>
      </c>
      <c r="R26" s="491">
        <f t="shared" si="18"/>
        <v>261.71052631578948</v>
      </c>
      <c r="S26" s="492">
        <f t="shared" si="19"/>
        <v>4868.901266931086</v>
      </c>
      <c r="T26" s="489">
        <f t="shared" si="20"/>
        <v>2.5994933063363379</v>
      </c>
      <c r="U26" s="493">
        <f t="shared" si="21"/>
        <v>405.42115030277023</v>
      </c>
      <c r="V26" s="492">
        <f t="shared" si="22"/>
        <v>1053.8895664592296</v>
      </c>
      <c r="W26" s="489">
        <f t="shared" si="23"/>
        <v>1.8096968799051416</v>
      </c>
      <c r="X26" s="493">
        <f t="shared" si="24"/>
        <v>37.9060089869281</v>
      </c>
      <c r="Y26" s="742">
        <f t="shared" si="25"/>
        <v>68.598386193300044</v>
      </c>
      <c r="Z26" s="381"/>
      <c r="AB26" s="11"/>
    </row>
    <row r="27" spans="2:28"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86">
        <f t="shared" si="0"/>
        <v>3517.1295077419172</v>
      </c>
      <c r="I27" s="487">
        <f>ITECountywide!$B$9*E27</f>
        <v>6.2352770052818345</v>
      </c>
      <c r="J27" s="488">
        <f t="shared" si="14"/>
        <v>1.67</v>
      </c>
      <c r="K27" s="372">
        <f t="shared" si="15"/>
        <v>0.72495177066528282</v>
      </c>
      <c r="L27" s="488">
        <f>Passby_Length_Adj!H22</f>
        <v>1</v>
      </c>
      <c r="M27" s="488">
        <f>Passby_Length_Adj!J22</f>
        <v>1</v>
      </c>
      <c r="N27" s="372">
        <v>0.5</v>
      </c>
      <c r="O27" s="481">
        <f t="shared" si="16"/>
        <v>0.5</v>
      </c>
      <c r="P27" s="489">
        <f t="shared" si="17"/>
        <v>18.23841421219603</v>
      </c>
      <c r="Q27" s="490">
        <f t="shared" si="5"/>
        <v>10.921206115087443</v>
      </c>
      <c r="R27" s="491">
        <f t="shared" si="18"/>
        <v>261.71052631578948</v>
      </c>
      <c r="S27" s="492">
        <f t="shared" si="19"/>
        <v>2858.1946003827534</v>
      </c>
      <c r="T27" s="489">
        <f t="shared" si="20"/>
        <v>1.5259824187366895</v>
      </c>
      <c r="U27" s="493">
        <f t="shared" si="21"/>
        <v>405.42115030277023</v>
      </c>
      <c r="V27" s="492">
        <f t="shared" si="22"/>
        <v>618.66554754603226</v>
      </c>
      <c r="W27" s="489">
        <f t="shared" si="23"/>
        <v>1.0623476564630863</v>
      </c>
      <c r="X27" s="493">
        <f t="shared" si="24"/>
        <v>37.9060089869281</v>
      </c>
      <c r="Y27" s="742">
        <f t="shared" si="25"/>
        <v>40.269359813131757</v>
      </c>
      <c r="Z27" s="381"/>
      <c r="AB27" s="11"/>
    </row>
    <row r="28" spans="2:28"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86">
        <f t="shared" si="0"/>
        <v>5112.1068426481361</v>
      </c>
      <c r="I28" s="487">
        <f>ITECountywide!$B$9*E28</f>
        <v>9.0629026239561554</v>
      </c>
      <c r="J28" s="488">
        <f t="shared" si="14"/>
        <v>1.67</v>
      </c>
      <c r="K28" s="372">
        <f t="shared" si="15"/>
        <v>0.72495177066528282</v>
      </c>
      <c r="L28" s="488">
        <f>Passby_Length_Adj!H23</f>
        <v>1</v>
      </c>
      <c r="M28" s="488">
        <f>Passby_Length_Adj!J23</f>
        <v>1</v>
      </c>
      <c r="N28" s="372">
        <v>0.5</v>
      </c>
      <c r="O28" s="481">
        <f t="shared" si="16"/>
        <v>0.5</v>
      </c>
      <c r="P28" s="489">
        <f t="shared" si="17"/>
        <v>26.509322982843067</v>
      </c>
      <c r="Q28" s="490">
        <f t="shared" si="5"/>
        <v>15.873846097510819</v>
      </c>
      <c r="R28" s="491">
        <f t="shared" si="18"/>
        <v>261.71052631578948</v>
      </c>
      <c r="S28" s="492">
        <f t="shared" si="19"/>
        <v>4154.3526168353974</v>
      </c>
      <c r="T28" s="489">
        <f t="shared" si="20"/>
        <v>2.2179977016521653</v>
      </c>
      <c r="U28" s="493">
        <f t="shared" si="21"/>
        <v>405.42115030277023</v>
      </c>
      <c r="V28" s="492">
        <f t="shared" si="22"/>
        <v>899.22317957272139</v>
      </c>
      <c r="W28" s="489">
        <f t="shared" si="23"/>
        <v>1.5441099657893698</v>
      </c>
      <c r="X28" s="493">
        <f t="shared" si="24"/>
        <v>37.9060089869281</v>
      </c>
      <c r="Y28" s="742">
        <f t="shared" si="25"/>
        <v>58.531046240017091</v>
      </c>
      <c r="Z28" s="381"/>
      <c r="AB28" s="11"/>
    </row>
    <row r="29" spans="2:28"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86">
        <f t="shared" si="0"/>
        <v>4365.7392436215077</v>
      </c>
      <c r="I29" s="487">
        <f>ITECountywide!$B$9*E29</f>
        <v>7.739718840858556</v>
      </c>
      <c r="J29" s="488">
        <f t="shared" si="14"/>
        <v>1.67</v>
      </c>
      <c r="K29" s="372">
        <f t="shared" si="15"/>
        <v>0.72495177066528282</v>
      </c>
      <c r="L29" s="488">
        <f>Passby_Length_Adj!H24</f>
        <v>1</v>
      </c>
      <c r="M29" s="488">
        <f>Passby_Length_Adj!J24</f>
        <v>1</v>
      </c>
      <c r="N29" s="372">
        <v>0.5</v>
      </c>
      <c r="O29" s="481">
        <f t="shared" si="16"/>
        <v>0.5</v>
      </c>
      <c r="P29" s="489">
        <f t="shared" si="17"/>
        <v>22.638961827347977</v>
      </c>
      <c r="Q29" s="490">
        <f t="shared" si="5"/>
        <v>13.556264567274239</v>
      </c>
      <c r="R29" s="491">
        <f t="shared" si="18"/>
        <v>261.71052631578948</v>
      </c>
      <c r="S29" s="492">
        <f t="shared" si="19"/>
        <v>3547.8171347774291</v>
      </c>
      <c r="T29" s="489">
        <f t="shared" si="20"/>
        <v>1.8941700372109489</v>
      </c>
      <c r="U29" s="493">
        <f t="shared" si="21"/>
        <v>405.42115030277023</v>
      </c>
      <c r="V29" s="492">
        <f t="shared" si="22"/>
        <v>767.93659535510403</v>
      </c>
      <c r="W29" s="489">
        <f t="shared" si="23"/>
        <v>1.3186699107841218</v>
      </c>
      <c r="X29" s="493">
        <f t="shared" si="24"/>
        <v>37.9060089869281</v>
      </c>
      <c r="Y29" s="742">
        <f t="shared" si="25"/>
        <v>49.985513488974597</v>
      </c>
      <c r="Z29" s="381"/>
      <c r="AB29" s="11"/>
    </row>
    <row r="30" spans="2:28"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86">
        <f t="shared" si="0"/>
        <v>3782.9590635596205</v>
      </c>
      <c r="I30" s="487">
        <f>ITECountywide!$B$9*E30</f>
        <v>6.7065479417275551</v>
      </c>
      <c r="J30" s="488">
        <f t="shared" si="14"/>
        <v>1.67</v>
      </c>
      <c r="K30" s="372">
        <f t="shared" si="15"/>
        <v>0.72495177066528282</v>
      </c>
      <c r="L30" s="488">
        <f>Passby_Length_Adj!H25</f>
        <v>1</v>
      </c>
      <c r="M30" s="488">
        <f>Passby_Length_Adj!J25</f>
        <v>1</v>
      </c>
      <c r="N30" s="372">
        <v>0.5</v>
      </c>
      <c r="O30" s="481">
        <f t="shared" si="16"/>
        <v>0.5</v>
      </c>
      <c r="P30" s="489">
        <f t="shared" si="17"/>
        <v>19.616899007303868</v>
      </c>
      <c r="Q30" s="490">
        <f t="shared" si="5"/>
        <v>11.746646112158006</v>
      </c>
      <c r="R30" s="491">
        <f t="shared" si="18"/>
        <v>261.71052631578948</v>
      </c>
      <c r="S30" s="492">
        <f t="shared" si="19"/>
        <v>3074.220936458194</v>
      </c>
      <c r="T30" s="489">
        <f t="shared" si="20"/>
        <v>1.6413182992226023</v>
      </c>
      <c r="U30" s="493">
        <f t="shared" si="21"/>
        <v>405.42115030277023</v>
      </c>
      <c r="V30" s="492">
        <f t="shared" si="22"/>
        <v>665.42515288381389</v>
      </c>
      <c r="W30" s="489">
        <f t="shared" si="23"/>
        <v>1.1426413746841337</v>
      </c>
      <c r="X30" s="493">
        <f t="shared" si="24"/>
        <v>37.9060089869281</v>
      </c>
      <c r="Y30" s="742">
        <f t="shared" si="25"/>
        <v>43.312974217612648</v>
      </c>
      <c r="Z30" s="381"/>
      <c r="AB30" s="11"/>
    </row>
    <row r="31" spans="2:28"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86">
        <f t="shared" si="0"/>
        <v>687.99777931931317</v>
      </c>
      <c r="I31" s="487">
        <f>ITECountywide!$B$9*E31</f>
        <v>3.6614126600782866</v>
      </c>
      <c r="J31" s="488">
        <f t="shared" si="14"/>
        <v>1.67</v>
      </c>
      <c r="K31" s="372">
        <f t="shared" si="15"/>
        <v>0.72495177066528282</v>
      </c>
      <c r="L31" s="488">
        <f>Passby_Length_Adj!H26</f>
        <v>0.46525679758308158</v>
      </c>
      <c r="M31" s="488">
        <f>Passby_Length_Adj!J26</f>
        <v>0.71599999999999997</v>
      </c>
      <c r="N31" s="372">
        <v>0.5</v>
      </c>
      <c r="O31" s="481">
        <f t="shared" si="16"/>
        <v>0.16656193353474319</v>
      </c>
      <c r="P31" s="489">
        <f t="shared" si="17"/>
        <v>3.5676788269172328</v>
      </c>
      <c r="Q31" s="490">
        <f t="shared" si="5"/>
        <v>2.1363346268965469</v>
      </c>
      <c r="R31" s="491">
        <f t="shared" si="18"/>
        <v>261.71052631578948</v>
      </c>
      <c r="S31" s="492">
        <f t="shared" si="19"/>
        <v>559.10125959174104</v>
      </c>
      <c r="T31" s="489">
        <f t="shared" si="20"/>
        <v>0.29850266049634333</v>
      </c>
      <c r="U31" s="493">
        <f t="shared" si="21"/>
        <v>405.42115030277023</v>
      </c>
      <c r="V31" s="492">
        <f t="shared" si="22"/>
        <v>121.0192919868648</v>
      </c>
      <c r="W31" s="489">
        <f t="shared" si="23"/>
        <v>0.20780947272565203</v>
      </c>
      <c r="X31" s="493">
        <f t="shared" si="24"/>
        <v>37.9060089869281</v>
      </c>
      <c r="Y31" s="742">
        <f t="shared" si="25"/>
        <v>7.8772277407073563</v>
      </c>
      <c r="Z31" s="381"/>
      <c r="AB31" s="11"/>
    </row>
    <row r="32" spans="2:28"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86">
        <f t="shared" si="0"/>
        <v>885.54169615357137</v>
      </c>
      <c r="I32" s="487">
        <f>ITECountywide!$B$9*E32</f>
        <v>4.7127093644572007</v>
      </c>
      <c r="J32" s="495">
        <f t="shared" si="14"/>
        <v>1.67</v>
      </c>
      <c r="K32" s="372">
        <f t="shared" si="15"/>
        <v>0.72495177066528282</v>
      </c>
      <c r="L32" s="488">
        <f>Passby_Length_Adj!H27</f>
        <v>0.46525679758308158</v>
      </c>
      <c r="M32" s="488">
        <f>Passby_Length_Adj!J27</f>
        <v>0.71599999999999997</v>
      </c>
      <c r="N32" s="372">
        <v>0.5</v>
      </c>
      <c r="O32" s="481">
        <f t="shared" si="16"/>
        <v>0.16656193353474319</v>
      </c>
      <c r="P32" s="489">
        <f t="shared" si="17"/>
        <v>4.5920618564281215</v>
      </c>
      <c r="Q32" s="490">
        <f t="shared" si="5"/>
        <v>2.7497376385797136</v>
      </c>
      <c r="R32" s="491">
        <f t="shared" si="18"/>
        <v>261.71052631578948</v>
      </c>
      <c r="S32" s="492">
        <f t="shared" si="19"/>
        <v>719.63528462303293</v>
      </c>
      <c r="T32" s="489">
        <f t="shared" si="20"/>
        <v>0.38421134519331313</v>
      </c>
      <c r="U32" s="493">
        <f t="shared" si="21"/>
        <v>405.42115030277023</v>
      </c>
      <c r="V32" s="492">
        <f t="shared" si="22"/>
        <v>155.76740552764772</v>
      </c>
      <c r="W32" s="489">
        <f t="shared" si="23"/>
        <v>0.26747753915182937</v>
      </c>
      <c r="X32" s="493">
        <f t="shared" si="24"/>
        <v>37.9060089869281</v>
      </c>
      <c r="Y32" s="742">
        <f t="shared" si="25"/>
        <v>10.139006002890657</v>
      </c>
      <c r="Z32" s="381"/>
      <c r="AB32" s="1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86">
        <f t="shared" si="0"/>
        <v>817.4231041417579</v>
      </c>
      <c r="I33" s="487">
        <f>ITECountywide!$B$9*E33</f>
        <v>4.3501932594989539</v>
      </c>
      <c r="J33" s="495">
        <f t="shared" si="14"/>
        <v>1.67</v>
      </c>
      <c r="K33" s="372">
        <f t="shared" si="15"/>
        <v>0.72495177066528282</v>
      </c>
      <c r="L33" s="488">
        <f>Passby_Length_Adj!H28</f>
        <v>0.46525679758308158</v>
      </c>
      <c r="M33" s="488">
        <f>Passby_Length_Adj!J28</f>
        <v>0.71599999999999997</v>
      </c>
      <c r="N33" s="372">
        <v>0.5</v>
      </c>
      <c r="O33" s="481">
        <f t="shared" si="16"/>
        <v>0.16656193353474319</v>
      </c>
      <c r="P33" s="489">
        <f t="shared" si="17"/>
        <v>4.2388263290105721</v>
      </c>
      <c r="Q33" s="490">
        <f t="shared" si="5"/>
        <v>2.5382193586889654</v>
      </c>
      <c r="R33" s="491">
        <f t="shared" si="18"/>
        <v>261.71052631578948</v>
      </c>
      <c r="S33" s="492">
        <f t="shared" si="19"/>
        <v>664.27872426741476</v>
      </c>
      <c r="T33" s="489">
        <f t="shared" si="20"/>
        <v>0.354656626332289</v>
      </c>
      <c r="U33" s="493">
        <f t="shared" si="21"/>
        <v>405.42115030277023</v>
      </c>
      <c r="V33" s="492">
        <f t="shared" si="22"/>
        <v>143.78529741013637</v>
      </c>
      <c r="W33" s="489">
        <f t="shared" si="23"/>
        <v>0.24690234383245782</v>
      </c>
      <c r="X33" s="493">
        <f t="shared" si="24"/>
        <v>37.9060089869281</v>
      </c>
      <c r="Y33" s="742">
        <f t="shared" si="25"/>
        <v>9.3590824642067574</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86">
        <f t="shared" si="0"/>
        <v>8823.4964104106839</v>
      </c>
      <c r="I34" s="487">
        <f>ITECountywide!$B$9*E34</f>
        <v>15.642569928948324</v>
      </c>
      <c r="J34" s="495">
        <f t="shared" si="14"/>
        <v>1.67</v>
      </c>
      <c r="K34" s="372">
        <f t="shared" si="15"/>
        <v>0.72495177066528282</v>
      </c>
      <c r="L34" s="488">
        <f>Passby_Length_Adj!H29</f>
        <v>1</v>
      </c>
      <c r="M34" s="488">
        <f>Passby_Length_Adj!J29</f>
        <v>1</v>
      </c>
      <c r="N34" s="372">
        <v>0.5</v>
      </c>
      <c r="O34" s="481">
        <f t="shared" si="16"/>
        <v>0.5</v>
      </c>
      <c r="P34" s="489">
        <f t="shared" si="17"/>
        <v>45.755091468387135</v>
      </c>
      <c r="Q34" s="490">
        <f t="shared" si="5"/>
        <v>27.398258364303675</v>
      </c>
      <c r="R34" s="491">
        <f t="shared" si="18"/>
        <v>261.71052631578948</v>
      </c>
      <c r="S34" s="492">
        <f t="shared" si="19"/>
        <v>7170.4126166578963</v>
      </c>
      <c r="T34" s="489">
        <f t="shared" si="20"/>
        <v>3.8282640330516373</v>
      </c>
      <c r="U34" s="493">
        <f t="shared" si="21"/>
        <v>405.42115030277023</v>
      </c>
      <c r="V34" s="492">
        <f t="shared" si="22"/>
        <v>1552.0592079425171</v>
      </c>
      <c r="W34" s="489">
        <f t="shared" si="23"/>
        <v>2.6651338009524523</v>
      </c>
      <c r="X34" s="493">
        <f t="shared" si="24"/>
        <v>37.9060089869281</v>
      </c>
      <c r="Y34" s="742">
        <f t="shared" si="25"/>
        <v>101.0245858102695</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86">
        <f t="shared" si="0"/>
        <v>8005.559315586981</v>
      </c>
      <c r="I35" s="487">
        <f>ITECountywide!$B$9*E35</f>
        <v>14.192505509115339</v>
      </c>
      <c r="J35" s="495">
        <f t="shared" si="14"/>
        <v>1.67</v>
      </c>
      <c r="K35" s="372">
        <f t="shared" si="15"/>
        <v>0.72495177066528282</v>
      </c>
      <c r="L35" s="488">
        <f>Passby_Length_Adj!H30</f>
        <v>1</v>
      </c>
      <c r="M35" s="488">
        <f>Passby_Length_Adj!J30</f>
        <v>1</v>
      </c>
      <c r="N35" s="372">
        <v>0.5</v>
      </c>
      <c r="O35" s="481">
        <f t="shared" si="16"/>
        <v>0.5</v>
      </c>
      <c r="P35" s="489">
        <f t="shared" si="17"/>
        <v>41.513599791132243</v>
      </c>
      <c r="Q35" s="490">
        <f t="shared" si="5"/>
        <v>24.858442988701942</v>
      </c>
      <c r="R35" s="491">
        <f t="shared" si="18"/>
        <v>261.71052631578948</v>
      </c>
      <c r="S35" s="492">
        <f t="shared" si="19"/>
        <v>6505.7161979642324</v>
      </c>
      <c r="T35" s="489">
        <f t="shared" si="20"/>
        <v>3.4733844007872907</v>
      </c>
      <c r="U35" s="493">
        <f t="shared" si="21"/>
        <v>405.42115030277023</v>
      </c>
      <c r="V35" s="492">
        <f t="shared" si="22"/>
        <v>1408.1834992108818</v>
      </c>
      <c r="W35" s="489">
        <f t="shared" si="23"/>
        <v>2.4180762064261527</v>
      </c>
      <c r="X35" s="493">
        <f t="shared" si="24"/>
        <v>37.9060089869281</v>
      </c>
      <c r="Y35" s="742">
        <f t="shared" si="25"/>
        <v>91.659618411866759</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86">
        <f t="shared" si="0"/>
        <v>5350.2213660515417</v>
      </c>
      <c r="I37" s="487">
        <f>ITECountywide!$B$9*E37</f>
        <v>15.153173187254691</v>
      </c>
      <c r="J37" s="495">
        <f>IF(F37="Prod",$M$3,$M$4)</f>
        <v>1.67</v>
      </c>
      <c r="K37" s="372">
        <f>IF(F37="Prod",$F$4,$F$5)</f>
        <v>0.72495177066528282</v>
      </c>
      <c r="L37" s="488">
        <f>Passby_Length_Adj!H32</f>
        <v>0.9441087613293051</v>
      </c>
      <c r="M37" s="488">
        <f>Passby_Length_Adj!J32</f>
        <v>0.66300000000000003</v>
      </c>
      <c r="N37" s="372">
        <v>0.5</v>
      </c>
      <c r="O37" s="481">
        <f>L37*M37*N37</f>
        <v>0.31297205438066467</v>
      </c>
      <c r="P37" s="489">
        <f>IF($F37="Prod",$I37*$O37*$F$4*$F$6,$I37*O37*$F$5*$F$7)</f>
        <v>27.744088804861139</v>
      </c>
      <c r="Q37" s="490">
        <f t="shared" si="5"/>
        <v>16.613226829258167</v>
      </c>
      <c r="R37" s="491">
        <f>+$Q$4</f>
        <v>261.71052631578948</v>
      </c>
      <c r="S37" s="492">
        <f>+Q37*R37</f>
        <v>4347.8563372887493</v>
      </c>
      <c r="T37" s="489">
        <f>IF($F37="Prod",$I37*$O37*$G$4*$G$6,$I37*$O37*$G$5*$G$7)</f>
        <v>2.3213088181634105</v>
      </c>
      <c r="U37" s="493">
        <f>+$R$4</f>
        <v>405.42115030277023</v>
      </c>
      <c r="V37" s="492">
        <f>+T37*U37</f>
        <v>941.10769126777393</v>
      </c>
      <c r="W37" s="489">
        <f>IF($F37="Prod",$I37*$O37*$J$4*$J$6,$I37*$O37*$J$5*$J$7)</f>
        <v>1.6160323688031388</v>
      </c>
      <c r="X37" s="493">
        <f>+$S$4</f>
        <v>37.9060089869281</v>
      </c>
      <c r="Y37" s="742">
        <f>+W37*X37</f>
        <v>61.257337495018483</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86">
        <f t="shared" si="0"/>
        <v>2854.3047000705601</v>
      </c>
      <c r="I38" s="487">
        <f>ITECountywide!$B$9*E38</f>
        <v>8.0841091405688896</v>
      </c>
      <c r="J38" s="495">
        <f>IF(F38="Prod",$M$3,$M$4)</f>
        <v>1.67</v>
      </c>
      <c r="K38" s="372">
        <f>IF(F38="Prod",$F$4,$F$5)</f>
        <v>0.72495177066528282</v>
      </c>
      <c r="L38" s="488">
        <f>Passby_Length_Adj!H33</f>
        <v>0.9441087613293051</v>
      </c>
      <c r="M38" s="488">
        <f>Passby_Length_Adj!J33</f>
        <v>0.66300000000000003</v>
      </c>
      <c r="N38" s="372">
        <v>0.5</v>
      </c>
      <c r="O38" s="481">
        <f>L38*M38*N38</f>
        <v>0.31297205438066467</v>
      </c>
      <c r="P38" s="489">
        <f>IF($F38="Prod",$I38*$O38*$F$4*$F$6,$I38*O38*$F$5*$F$7)</f>
        <v>14.801272257138839</v>
      </c>
      <c r="Q38" s="490">
        <f t="shared" si="5"/>
        <v>8.8630372797238568</v>
      </c>
      <c r="R38" s="491">
        <f>+$Q$4</f>
        <v>261.71052631578948</v>
      </c>
      <c r="S38" s="492">
        <f>+Q38*R38</f>
        <v>2319.5501512329938</v>
      </c>
      <c r="T38" s="489">
        <f>IF($F38="Prod",$I38*$O38*$G$4*$G$6,$I38*$O38*$G$5*$G$7)</f>
        <v>1.2384015943790445</v>
      </c>
      <c r="U38" s="493">
        <f>+$R$4</f>
        <v>405.42115030277023</v>
      </c>
      <c r="V38" s="492">
        <f>+T38*U38</f>
        <v>502.07419892993687</v>
      </c>
      <c r="W38" s="489">
        <f>IF($F38="Prod",$I38*$O38*$J$4*$J$6,$I38*$O38*$J$5*$J$7)</f>
        <v>0.86214167043803824</v>
      </c>
      <c r="X38" s="493">
        <f>+$S$4</f>
        <v>37.9060089869281</v>
      </c>
      <c r="Y38" s="742">
        <f>+W38*X38</f>
        <v>32.680349907629484</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86">
        <f t="shared" si="0"/>
        <v>1720.026881604535</v>
      </c>
      <c r="I39" s="487">
        <f>ITECountywide!$B$9*E39</f>
        <v>6.0721447580506238</v>
      </c>
      <c r="J39" s="495">
        <f>IF(F39="Prod",$M$3,$M$4)</f>
        <v>1.67</v>
      </c>
      <c r="K39" s="372">
        <f>IF(F39="Prod",$F$4,$F$5)</f>
        <v>0.72495177066528282</v>
      </c>
      <c r="L39" s="488">
        <f>Passby_Length_Adj!H34</f>
        <v>0.65558912386706947</v>
      </c>
      <c r="M39" s="488">
        <f>Passby_Length_Adj!J34</f>
        <v>0.76600000000000001</v>
      </c>
      <c r="N39" s="372">
        <v>0.5</v>
      </c>
      <c r="O39" s="481">
        <f>L39*M39*N39</f>
        <v>0.25109063444108759</v>
      </c>
      <c r="P39" s="489">
        <f>IF($F39="Prod",$I39*$O39*$F$4*$F$6,$I39*O39*$F$5*$F$7)</f>
        <v>8.9193652533301311</v>
      </c>
      <c r="Q39" s="490">
        <f t="shared" si="5"/>
        <v>5.3409372774431922</v>
      </c>
      <c r="R39" s="491">
        <f>+$Q$4</f>
        <v>261.71052631578948</v>
      </c>
      <c r="S39" s="492">
        <f>+Q39*R39</f>
        <v>1397.7795058992776</v>
      </c>
      <c r="T39" s="489">
        <f>IF($F39="Prod",$I39*$O39*$G$4*$G$6,$I39*$O39*$G$5*$G$7)</f>
        <v>0.74627072312959974</v>
      </c>
      <c r="U39" s="493">
        <f>+$R$4</f>
        <v>405.42115030277023</v>
      </c>
      <c r="V39" s="492">
        <f>+T39*U39</f>
        <v>302.55393500848248</v>
      </c>
      <c r="W39" s="489">
        <f>IF($F39="Prod",$I39*$O39*$J$4*$J$6,$I39*$O39*$J$5*$J$7)</f>
        <v>0.51953347828219087</v>
      </c>
      <c r="X39" s="493">
        <f>+$S$4</f>
        <v>37.9060089869281</v>
      </c>
      <c r="Y39" s="742">
        <f>+W39*X39</f>
        <v>19.693440696774744</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86">
        <f t="shared" si="0"/>
        <v>2572.7141018573202</v>
      </c>
      <c r="I40" s="487">
        <f>ITECountywide!$B$9*E40</f>
        <v>7.2865737096607477</v>
      </c>
      <c r="J40" s="495">
        <f>IF(F40="Prod",$M$3,$M$4)</f>
        <v>1.67</v>
      </c>
      <c r="K40" s="372">
        <f>IF(F40="Prod",$F$4,$F$5)</f>
        <v>0.72495177066528282</v>
      </c>
      <c r="L40" s="488">
        <f>Passby_Length_Adj!H35</f>
        <v>0.9441087613293051</v>
      </c>
      <c r="M40" s="488">
        <f>Passby_Length_Adj!J35</f>
        <v>0.66300000000000003</v>
      </c>
      <c r="N40" s="372">
        <v>0.5</v>
      </c>
      <c r="O40" s="481">
        <f>L40*M40*N40</f>
        <v>0.31297205438066467</v>
      </c>
      <c r="P40" s="489">
        <f>IF($F40="Prod",$I40*$O40*$F$4*$F$6,$I40*O40*$F$5*$F$7)</f>
        <v>13.341057056882988</v>
      </c>
      <c r="Q40" s="490">
        <f t="shared" si="5"/>
        <v>7.9886569202892153</v>
      </c>
      <c r="R40" s="491">
        <f>+$Q$4</f>
        <v>261.71052631578948</v>
      </c>
      <c r="S40" s="492">
        <f>+Q40*R40</f>
        <v>2090.7156071651643</v>
      </c>
      <c r="T40" s="489">
        <f>IF($F40="Prod",$I40*$O40*$G$4*$G$6,$I40*$O40*$G$5*$G$7)</f>
        <v>1.1162274460546544</v>
      </c>
      <c r="U40" s="493">
        <f>+$R$4</f>
        <v>405.42115030277023</v>
      </c>
      <c r="V40" s="492">
        <f>+T40*U40</f>
        <v>452.5422151790014</v>
      </c>
      <c r="W40" s="489">
        <f>IF($F40="Prod",$I40*$O40*$J$4*$J$6,$I40*$O40*$J$5*$J$7)</f>
        <v>0.77708733523787288</v>
      </c>
      <c r="X40" s="493">
        <f>+$S$4</f>
        <v>37.9060089869281</v>
      </c>
      <c r="Y40" s="742">
        <f>+W40*X40</f>
        <v>29.456279513154819</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86">
        <f t="shared" si="0"/>
        <v>2099.5143620254426</v>
      </c>
      <c r="I42" s="487">
        <f>ITECountywide!$B$9*E42</f>
        <v>4.368319064746867</v>
      </c>
      <c r="J42" s="495">
        <f t="shared" ref="J42:J50" si="26">IF(F42="Prod",$M$3,$M$4)</f>
        <v>1.67</v>
      </c>
      <c r="K42" s="372">
        <f t="shared" ref="K42:K50" si="27">IF(F42="Prod",$F$4,$F$5)</f>
        <v>0.64373267284932234</v>
      </c>
      <c r="L42" s="488">
        <f>Passby_Length_Adj!H37</f>
        <v>0.9441087613293051</v>
      </c>
      <c r="M42" s="488">
        <f>Passby_Length_Adj!J37</f>
        <v>1</v>
      </c>
      <c r="N42" s="372">
        <v>0.5</v>
      </c>
      <c r="O42" s="481">
        <f t="shared" ref="O42:O50" si="28">L42*M42*N42</f>
        <v>0.47205438066465255</v>
      </c>
      <c r="P42" s="489">
        <f t="shared" ref="P42:P50" si="29">IF($F42="Prod",$I42*$O42*$F$4*$F$6,$I42*O42*$F$5*$F$7)</f>
        <v>9.8404577328882539</v>
      </c>
      <c r="Q42" s="490">
        <f t="shared" si="5"/>
        <v>5.892489660412128</v>
      </c>
      <c r="R42" s="491">
        <f t="shared" ref="R42:R50" si="30">+$Q$4</f>
        <v>261.71052631578948</v>
      </c>
      <c r="S42" s="492">
        <f t="shared" ref="S42:S50" si="31">+Q42*R42</f>
        <v>1542.1265703368056</v>
      </c>
      <c r="T42" s="489">
        <f t="shared" ref="T42:T50" si="32">IF($F42="Prod",$I42*$O42*$G$4*$G$6,$I42*$O42*$G$5*$G$7)</f>
        <v>1.2935652456291549</v>
      </c>
      <c r="U42" s="493">
        <f t="shared" ref="U42:U50" si="33">+$R$4</f>
        <v>405.42115030277023</v>
      </c>
      <c r="V42" s="492">
        <f t="shared" ref="V42:V50" si="34">+T42*U42</f>
        <v>524.43870987465743</v>
      </c>
      <c r="W42" s="489">
        <f t="shared" ref="W42:W50" si="35">IF($F42="Prod",$I42*$O42*$J$4*$J$6,$I42*$O42*$J$5*$J$7)</f>
        <v>0.86923109803889087</v>
      </c>
      <c r="X42" s="493">
        <f t="shared" ref="X42:X50" si="36">+$S$4</f>
        <v>37.9060089869281</v>
      </c>
      <c r="Y42" s="742">
        <f t="shared" ref="Y42:Y50" si="37">+W42*X42</f>
        <v>32.949081813979575</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86">
        <f t="shared" si="0"/>
        <v>17893.255824381751</v>
      </c>
      <c r="I43" s="487">
        <f>ITECountywide!$B$9*E43</f>
        <v>55.066196343157593</v>
      </c>
      <c r="J43" s="495">
        <f t="shared" si="26"/>
        <v>1.67</v>
      </c>
      <c r="K43" s="372">
        <f t="shared" si="27"/>
        <v>0.64373267284932234</v>
      </c>
      <c r="L43" s="488">
        <f>Passby_Length_Adj!H38</f>
        <v>0.63829555828418605</v>
      </c>
      <c r="M43" s="488">
        <f>Passby_Length_Adj!J38</f>
        <v>1</v>
      </c>
      <c r="N43" s="372">
        <v>0.5</v>
      </c>
      <c r="O43" s="481">
        <f t="shared" si="28"/>
        <v>0.31914777914209302</v>
      </c>
      <c r="P43" s="489">
        <f t="shared" si="29"/>
        <v>83.86597911800871</v>
      </c>
      <c r="Q43" s="490">
        <f t="shared" si="5"/>
        <v>50.219149172460305</v>
      </c>
      <c r="R43" s="491">
        <f t="shared" si="30"/>
        <v>261.71052631578948</v>
      </c>
      <c r="S43" s="492">
        <f t="shared" si="31"/>
        <v>13142.879961055731</v>
      </c>
      <c r="T43" s="489">
        <f t="shared" si="32"/>
        <v>11.024498943290006</v>
      </c>
      <c r="U43" s="493">
        <f t="shared" si="33"/>
        <v>405.42115030277023</v>
      </c>
      <c r="V43" s="492">
        <f t="shared" si="34"/>
        <v>4469.5650431003087</v>
      </c>
      <c r="W43" s="489">
        <f t="shared" si="35"/>
        <v>7.4080819302962437</v>
      </c>
      <c r="X43" s="493">
        <f t="shared" si="36"/>
        <v>37.9060089869281</v>
      </c>
      <c r="Y43" s="742">
        <f t="shared" si="37"/>
        <v>280.81082022570911</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86">
        <f t="shared" si="0"/>
        <v>21216.058445166451</v>
      </c>
      <c r="I44" s="487">
        <f>ITECountywide!$B$9*E44</f>
        <v>141.54441318094723</v>
      </c>
      <c r="J44" s="495">
        <f t="shared" si="26"/>
        <v>1.67</v>
      </c>
      <c r="K44" s="372">
        <f t="shared" si="27"/>
        <v>0.64373267284932234</v>
      </c>
      <c r="L44" s="488">
        <f>Passby_Length_Adj!H39</f>
        <v>0.33534743202416922</v>
      </c>
      <c r="M44" s="488">
        <f>Passby_Length_Adj!J39</f>
        <v>0.878</v>
      </c>
      <c r="N44" s="372">
        <v>0.5</v>
      </c>
      <c r="O44" s="481">
        <f t="shared" si="28"/>
        <v>0.14721752265861029</v>
      </c>
      <c r="P44" s="489">
        <f t="shared" si="29"/>
        <v>99.440008682168425</v>
      </c>
      <c r="Q44" s="490">
        <f t="shared" si="5"/>
        <v>59.544915378543969</v>
      </c>
      <c r="R44" s="491">
        <f t="shared" si="30"/>
        <v>261.71052631578948</v>
      </c>
      <c r="S44" s="492">
        <f t="shared" si="31"/>
        <v>15583.531143147889</v>
      </c>
      <c r="T44" s="489">
        <f t="shared" si="32"/>
        <v>13.071763808954435</v>
      </c>
      <c r="U44" s="493">
        <f t="shared" si="33"/>
        <v>405.42115030277023</v>
      </c>
      <c r="V44" s="492">
        <f t="shared" si="34"/>
        <v>5299.5695199124284</v>
      </c>
      <c r="W44" s="489">
        <f t="shared" si="35"/>
        <v>8.783773101012887</v>
      </c>
      <c r="X44" s="493">
        <f t="shared" si="36"/>
        <v>37.9060089869281</v>
      </c>
      <c r="Y44" s="742">
        <f t="shared" si="37"/>
        <v>332.95778210613179</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86">
        <f t="shared" si="0"/>
        <v>59771.198078327812</v>
      </c>
      <c r="I45" s="487">
        <f>ITECountywide!$B$9*E45</f>
        <v>398.76771545407081</v>
      </c>
      <c r="J45" s="495">
        <f t="shared" si="26"/>
        <v>1.67</v>
      </c>
      <c r="K45" s="372">
        <f t="shared" si="27"/>
        <v>0.64373267284932234</v>
      </c>
      <c r="L45" s="488">
        <f>Passby_Length_Adj!H40</f>
        <v>0.33534743202416922</v>
      </c>
      <c r="M45" s="488">
        <f>Passby_Length_Adj!J40</f>
        <v>0.878</v>
      </c>
      <c r="N45" s="372">
        <v>0.5</v>
      </c>
      <c r="O45" s="481">
        <f t="shared" si="28"/>
        <v>0.14721752265861029</v>
      </c>
      <c r="P45" s="489">
        <f t="shared" si="29"/>
        <v>280.14857100879823</v>
      </c>
      <c r="Q45" s="490">
        <f t="shared" si="5"/>
        <v>167.75363533460973</v>
      </c>
      <c r="R45" s="491">
        <f t="shared" si="30"/>
        <v>261.71052631578948</v>
      </c>
      <c r="S45" s="492">
        <f t="shared" si="31"/>
        <v>43902.892194807733</v>
      </c>
      <c r="T45" s="489">
        <f t="shared" si="32"/>
        <v>36.826585196183579</v>
      </c>
      <c r="U45" s="493">
        <f t="shared" si="33"/>
        <v>405.42115030277023</v>
      </c>
      <c r="V45" s="492">
        <f t="shared" si="34"/>
        <v>14930.276531959717</v>
      </c>
      <c r="W45" s="489">
        <f t="shared" si="35"/>
        <v>24.746191346175376</v>
      </c>
      <c r="X45" s="493">
        <f t="shared" si="36"/>
        <v>37.9060089869281</v>
      </c>
      <c r="Y45" s="742">
        <f t="shared" si="37"/>
        <v>938.02935156036619</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86">
        <f t="shared" si="0"/>
        <v>31457.498142864686</v>
      </c>
      <c r="I46" s="487">
        <f>ITECountywide!$B$9*E46</f>
        <v>96.80992582909964</v>
      </c>
      <c r="J46" s="495">
        <f t="shared" si="26"/>
        <v>1.67</v>
      </c>
      <c r="K46" s="372">
        <f t="shared" si="27"/>
        <v>0.64373267284932234</v>
      </c>
      <c r="L46" s="488">
        <f>Passby_Length_Adj!H41</f>
        <v>0.63829555828418605</v>
      </c>
      <c r="M46" s="488">
        <f>Passby_Length_Adj!J41</f>
        <v>1</v>
      </c>
      <c r="N46" s="372">
        <v>0.5</v>
      </c>
      <c r="O46" s="481">
        <f t="shared" si="28"/>
        <v>0.31914777914209302</v>
      </c>
      <c r="P46" s="489">
        <f t="shared" si="29"/>
        <v>147.4418019977895</v>
      </c>
      <c r="Q46" s="490">
        <f t="shared" si="5"/>
        <v>88.288504190293111</v>
      </c>
      <c r="R46" s="491">
        <f t="shared" si="30"/>
        <v>261.71052631578948</v>
      </c>
      <c r="S46" s="492">
        <f t="shared" si="31"/>
        <v>23106.030899275396</v>
      </c>
      <c r="T46" s="489">
        <f t="shared" si="32"/>
        <v>19.381780400300169</v>
      </c>
      <c r="U46" s="493">
        <f t="shared" si="33"/>
        <v>405.42115030277023</v>
      </c>
      <c r="V46" s="492">
        <f t="shared" si="34"/>
        <v>7857.7837048053807</v>
      </c>
      <c r="W46" s="489">
        <f t="shared" si="35"/>
        <v>13.023885974230492</v>
      </c>
      <c r="X46" s="493">
        <f t="shared" si="36"/>
        <v>37.9060089869281</v>
      </c>
      <c r="Y46" s="742">
        <f t="shared" si="37"/>
        <v>493.68353878390786</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86">
        <f t="shared" si="0"/>
        <v>17857.91693861931</v>
      </c>
      <c r="I47" s="487">
        <f>ITECountywide!$B$9*E47</f>
        <v>54.957441511670126</v>
      </c>
      <c r="J47" s="495">
        <f t="shared" si="26"/>
        <v>1.67</v>
      </c>
      <c r="K47" s="372">
        <f t="shared" si="27"/>
        <v>0.64373267284932234</v>
      </c>
      <c r="L47" s="488">
        <f>Passby_Length_Adj!H42</f>
        <v>0.63829555828418605</v>
      </c>
      <c r="M47" s="488">
        <f>Passby_Length_Adj!J42</f>
        <v>1</v>
      </c>
      <c r="N47" s="372">
        <v>0.5</v>
      </c>
      <c r="O47" s="481">
        <f t="shared" si="28"/>
        <v>0.31914777914209302</v>
      </c>
      <c r="P47" s="489">
        <f t="shared" si="29"/>
        <v>83.70034518953338</v>
      </c>
      <c r="Q47" s="490">
        <f t="shared" si="5"/>
        <v>50.119967179361311</v>
      </c>
      <c r="R47" s="491">
        <f t="shared" si="30"/>
        <v>261.71052631578948</v>
      </c>
      <c r="S47" s="492">
        <f t="shared" si="31"/>
        <v>13116.922989440744</v>
      </c>
      <c r="T47" s="489">
        <f t="shared" si="32"/>
        <v>11.002725739320374</v>
      </c>
      <c r="U47" s="493">
        <f t="shared" si="33"/>
        <v>405.42115030277023</v>
      </c>
      <c r="V47" s="492">
        <f t="shared" si="34"/>
        <v>4460.737725701164</v>
      </c>
      <c r="W47" s="489">
        <f t="shared" si="35"/>
        <v>7.3934510904075736</v>
      </c>
      <c r="X47" s="493">
        <f t="shared" si="36"/>
        <v>37.9060089869281</v>
      </c>
      <c r="Y47" s="742">
        <f t="shared" si="37"/>
        <v>280.25622347740284</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86">
        <f t="shared" si="0"/>
        <v>22793.581316773332</v>
      </c>
      <c r="I48" s="487">
        <f>ITECountywide!$B$9*E48</f>
        <v>70.146866309420645</v>
      </c>
      <c r="J48" s="495">
        <f t="shared" si="26"/>
        <v>1.67</v>
      </c>
      <c r="K48" s="372">
        <f t="shared" si="27"/>
        <v>0.64373267284932234</v>
      </c>
      <c r="L48" s="488">
        <f>Passby_Length_Adj!H43</f>
        <v>0.63829555828418605</v>
      </c>
      <c r="M48" s="488">
        <f>Passby_Length_Adj!J43</f>
        <v>1</v>
      </c>
      <c r="N48" s="372">
        <v>0.5</v>
      </c>
      <c r="O48" s="481">
        <f t="shared" si="28"/>
        <v>0.31914777914209302</v>
      </c>
      <c r="P48" s="489">
        <f t="shared" si="29"/>
        <v>106.83388386658781</v>
      </c>
      <c r="Q48" s="490">
        <f t="shared" si="5"/>
        <v>63.97238554885498</v>
      </c>
      <c r="R48" s="491">
        <f t="shared" si="30"/>
        <v>261.71052631578948</v>
      </c>
      <c r="S48" s="492">
        <f t="shared" si="31"/>
        <v>16742.246691667442</v>
      </c>
      <c r="T48" s="489">
        <f t="shared" si="32"/>
        <v>14.04371656041222</v>
      </c>
      <c r="U48" s="493">
        <f t="shared" si="33"/>
        <v>405.42115030277023</v>
      </c>
      <c r="V48" s="492">
        <f t="shared" si="34"/>
        <v>5693.6197224483858</v>
      </c>
      <c r="W48" s="489">
        <f t="shared" si="35"/>
        <v>9.4368917281917266</v>
      </c>
      <c r="X48" s="493">
        <f t="shared" si="36"/>
        <v>37.9060089869281</v>
      </c>
      <c r="Y48" s="742">
        <f t="shared" si="37"/>
        <v>357.71490265750305</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86">
        <f t="shared" si="0"/>
        <v>2225.6430253184244</v>
      </c>
      <c r="I49" s="487">
        <f>ITECountywide!$B$9*E49</f>
        <v>7.2865737096607477</v>
      </c>
      <c r="J49" s="495">
        <f t="shared" si="26"/>
        <v>1.67</v>
      </c>
      <c r="K49" s="372">
        <f t="shared" si="27"/>
        <v>0.64373267284932234</v>
      </c>
      <c r="L49" s="488">
        <f>Passby_Length_Adj!H44</f>
        <v>0.63829555828418605</v>
      </c>
      <c r="M49" s="488">
        <f>Passby_Length_Adj!J44</f>
        <v>0.94</v>
      </c>
      <c r="N49" s="372">
        <v>0.5</v>
      </c>
      <c r="O49" s="481">
        <f t="shared" si="28"/>
        <v>0.29999891239356741</v>
      </c>
      <c r="P49" s="489">
        <f t="shared" si="29"/>
        <v>10.431624815376274</v>
      </c>
      <c r="Q49" s="490">
        <f t="shared" si="5"/>
        <v>6.246481925375015</v>
      </c>
      <c r="R49" s="491">
        <f t="shared" si="30"/>
        <v>261.71052631578948</v>
      </c>
      <c r="S49" s="492">
        <f t="shared" si="31"/>
        <v>1634.7700723119613</v>
      </c>
      <c r="T49" s="489">
        <f t="shared" si="32"/>
        <v>1.3712763860073818</v>
      </c>
      <c r="U49" s="493">
        <f t="shared" si="33"/>
        <v>405.42115030277023</v>
      </c>
      <c r="V49" s="492">
        <f t="shared" si="34"/>
        <v>555.94444979813829</v>
      </c>
      <c r="W49" s="489">
        <f t="shared" si="35"/>
        <v>0.92145029618839502</v>
      </c>
      <c r="X49" s="493">
        <f t="shared" si="36"/>
        <v>37.9060089869281</v>
      </c>
      <c r="Y49" s="742">
        <f t="shared" si="37"/>
        <v>34.928503208324862</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86">
        <f t="shared" si="0"/>
        <v>16974.444794558323</v>
      </c>
      <c r="I50" s="487">
        <f>ITECountywide!$B$9*E50</f>
        <v>52.238570724483274</v>
      </c>
      <c r="J50" s="495">
        <f t="shared" si="26"/>
        <v>1.67</v>
      </c>
      <c r="K50" s="372">
        <f t="shared" si="27"/>
        <v>0.64373267284932234</v>
      </c>
      <c r="L50" s="488">
        <f>Passby_Length_Adj!H45</f>
        <v>0.63829555828418605</v>
      </c>
      <c r="M50" s="488">
        <f>Passby_Length_Adj!J45</f>
        <v>1</v>
      </c>
      <c r="N50" s="372">
        <v>0.5</v>
      </c>
      <c r="O50" s="481">
        <f t="shared" si="28"/>
        <v>0.31914777914209302</v>
      </c>
      <c r="P50" s="489">
        <f t="shared" si="29"/>
        <v>79.559496977650127</v>
      </c>
      <c r="Q50" s="490">
        <f t="shared" si="5"/>
        <v>47.640417351886306</v>
      </c>
      <c r="R50" s="491">
        <f t="shared" si="30"/>
        <v>261.71052631578948</v>
      </c>
      <c r="S50" s="492">
        <f t="shared" si="31"/>
        <v>12467.998699066035</v>
      </c>
      <c r="T50" s="489">
        <f t="shared" si="32"/>
        <v>10.458395640079589</v>
      </c>
      <c r="U50" s="493">
        <f t="shared" si="33"/>
        <v>405.42115030277023</v>
      </c>
      <c r="V50" s="492">
        <f t="shared" si="34"/>
        <v>4240.0547907225437</v>
      </c>
      <c r="W50" s="489">
        <f t="shared" si="35"/>
        <v>7.0276800931908401</v>
      </c>
      <c r="X50" s="493">
        <f t="shared" si="36"/>
        <v>37.9060089869281</v>
      </c>
      <c r="Y50" s="742">
        <f t="shared" si="37"/>
        <v>266.39130476974771</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86">
        <f t="shared" si="0"/>
        <v>812.79525837607173</v>
      </c>
      <c r="I52" s="487">
        <f>ITECountywide!$B$9*E52</f>
        <v>3.4257771918554263</v>
      </c>
      <c r="J52" s="495">
        <f t="shared" ref="J52:J60" si="38">IF(F52="Prod",$M$3,$M$4)</f>
        <v>1.67</v>
      </c>
      <c r="K52" s="372">
        <f t="shared" ref="K52:K60" si="39">IF(F52="Prod",$F$4,$F$5)</f>
        <v>0.64373267284932234</v>
      </c>
      <c r="L52" s="488">
        <f>Passby_Length_Adj!H47</f>
        <v>0.87013619005702103</v>
      </c>
      <c r="M52" s="488">
        <f>Passby_Length_Adj!J47</f>
        <v>0.53561452513966479</v>
      </c>
      <c r="N52" s="372">
        <v>0.5</v>
      </c>
      <c r="O52" s="481">
        <f t="shared" ref="O52:O60" si="40">L52*M52*N52</f>
        <v>0.23302879112211422</v>
      </c>
      <c r="P52" s="489">
        <f t="shared" ref="P52:P60" si="41">IF($F52="Prod",$I52*$O52*$F$4*$F$6,$I52*O52*$F$5*$F$7)</f>
        <v>3.8095845068788319</v>
      </c>
      <c r="Q52" s="490">
        <f t="shared" si="5"/>
        <v>2.2811883274723543</v>
      </c>
      <c r="R52" s="491">
        <f t="shared" ref="R52:R60" si="42">+$Q$4</f>
        <v>261.71052631578948</v>
      </c>
      <c r="S52" s="492">
        <f t="shared" ref="S52:S60" si="43">+Q52*R52</f>
        <v>597.0109978082254</v>
      </c>
      <c r="T52" s="489">
        <f t="shared" ref="T52:T60" si="44">IF($F52="Prod",$I52*$O52*$G$4*$G$6,$I52*$O52*$G$5*$G$7)</f>
        <v>0.50078423709049835</v>
      </c>
      <c r="U52" s="493">
        <f t="shared" ref="U52:U60" si="45">+$R$4</f>
        <v>405.42115030277023</v>
      </c>
      <c r="V52" s="492">
        <f t="shared" ref="V52:V60" si="46">+T52*U52</f>
        <v>203.02852145472505</v>
      </c>
      <c r="W52" s="489">
        <f t="shared" ref="W52:W60" si="47">IF($F52="Prod",$I52*$O52*$J$4*$J$6,$I52*$O52*$J$5*$J$7)</f>
        <v>0.33650968419070776</v>
      </c>
      <c r="X52" s="493">
        <f t="shared" ref="X52:X60" si="48">+$S$4</f>
        <v>37.9060089869281</v>
      </c>
      <c r="Y52" s="742">
        <f t="shared" ref="Y52:Y60" si="49">+W52*X52</f>
        <v>12.755739113121304</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86">
        <f t="shared" si="0"/>
        <v>873.00231455207722</v>
      </c>
      <c r="I53" s="487">
        <f>ITECountywide!$B$9*E53</f>
        <v>3.6795384653261984</v>
      </c>
      <c r="J53" s="495">
        <f t="shared" si="38"/>
        <v>1.67</v>
      </c>
      <c r="K53" s="372">
        <f t="shared" si="39"/>
        <v>0.64373267284932234</v>
      </c>
      <c r="L53" s="488">
        <f>Passby_Length_Adj!H48</f>
        <v>0.87013619005702103</v>
      </c>
      <c r="M53" s="488">
        <f>Passby_Length_Adj!J48</f>
        <v>0.53561452513966479</v>
      </c>
      <c r="N53" s="372">
        <v>0.5</v>
      </c>
      <c r="O53" s="481">
        <f t="shared" si="40"/>
        <v>0.23302879112211422</v>
      </c>
      <c r="P53" s="489">
        <f t="shared" si="41"/>
        <v>4.0917759518328198</v>
      </c>
      <c r="Q53" s="490">
        <f t="shared" si="5"/>
        <v>2.4501652406184551</v>
      </c>
      <c r="R53" s="491">
        <f t="shared" si="42"/>
        <v>261.71052631578948</v>
      </c>
      <c r="S53" s="492">
        <f t="shared" si="43"/>
        <v>641.23403468290883</v>
      </c>
      <c r="T53" s="489">
        <f t="shared" si="44"/>
        <v>0.53787936576386863</v>
      </c>
      <c r="U53" s="493">
        <f t="shared" si="45"/>
        <v>405.42115030277023</v>
      </c>
      <c r="V53" s="492">
        <f t="shared" si="46"/>
        <v>218.0676711921121</v>
      </c>
      <c r="W53" s="489">
        <f t="shared" si="47"/>
        <v>0.36143632746409349</v>
      </c>
      <c r="X53" s="493">
        <f t="shared" si="48"/>
        <v>37.9060089869281</v>
      </c>
      <c r="Y53" s="742">
        <f t="shared" si="49"/>
        <v>13.700608677056215</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86">
        <f t="shared" si="0"/>
        <v>1556.4733224027323</v>
      </c>
      <c r="I54" s="487">
        <f>ITECountywide!$B$9*E54</f>
        <v>7.4497059568919601</v>
      </c>
      <c r="J54" s="495">
        <f t="shared" si="38"/>
        <v>1.67</v>
      </c>
      <c r="K54" s="372">
        <f t="shared" si="39"/>
        <v>0.64373267284932234</v>
      </c>
      <c r="L54" s="488">
        <f>Passby_Length_Adj!H49</f>
        <v>0.76624514210263772</v>
      </c>
      <c r="M54" s="488">
        <f>Passby_Length_Adj!J49</f>
        <v>0.53561452513966479</v>
      </c>
      <c r="N54" s="372">
        <v>0.5</v>
      </c>
      <c r="O54" s="481">
        <f t="shared" si="40"/>
        <v>0.20520601396393964</v>
      </c>
      <c r="P54" s="489">
        <f t="shared" si="41"/>
        <v>7.2952156072398555</v>
      </c>
      <c r="Q54" s="490">
        <f t="shared" si="5"/>
        <v>4.3683925791855422</v>
      </c>
      <c r="R54" s="491">
        <f t="shared" si="42"/>
        <v>261.71052631578948</v>
      </c>
      <c r="S54" s="492">
        <f t="shared" si="43"/>
        <v>1143.2543210526374</v>
      </c>
      <c r="T54" s="489">
        <f t="shared" si="44"/>
        <v>0.95898357831034353</v>
      </c>
      <c r="U54" s="493">
        <f t="shared" si="45"/>
        <v>405.42115030277023</v>
      </c>
      <c r="V54" s="492">
        <f t="shared" si="46"/>
        <v>388.7922254400462</v>
      </c>
      <c r="W54" s="489">
        <f t="shared" si="47"/>
        <v>0.64440379145354576</v>
      </c>
      <c r="X54" s="493">
        <f t="shared" si="48"/>
        <v>37.9060089869281</v>
      </c>
      <c r="Y54" s="742">
        <f t="shared" si="49"/>
        <v>24.426775910048647</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86">
        <f t="shared" si="0"/>
        <v>939.18584904106456</v>
      </c>
      <c r="I55" s="487">
        <f>ITECountywide!$B$9*E55</f>
        <v>4.4951997014822531</v>
      </c>
      <c r="J55" s="495">
        <f t="shared" si="38"/>
        <v>1.67</v>
      </c>
      <c r="K55" s="372">
        <f t="shared" si="39"/>
        <v>0.64373267284932234</v>
      </c>
      <c r="L55" s="488">
        <f>Passby_Length_Adj!H50</f>
        <v>0.76624514210263772</v>
      </c>
      <c r="M55" s="488">
        <f>Passby_Length_Adj!J50</f>
        <v>0.53561452513966479</v>
      </c>
      <c r="N55" s="372">
        <v>0.5</v>
      </c>
      <c r="O55" s="481">
        <f t="shared" si="40"/>
        <v>0.20520601396393964</v>
      </c>
      <c r="P55" s="489">
        <f t="shared" si="41"/>
        <v>4.4019792471909582</v>
      </c>
      <c r="Q55" s="490">
        <f t="shared" si="5"/>
        <v>2.6359157168808136</v>
      </c>
      <c r="R55" s="491">
        <f t="shared" si="42"/>
        <v>261.71052631578948</v>
      </c>
      <c r="S55" s="492">
        <f t="shared" si="43"/>
        <v>689.84688958893923</v>
      </c>
      <c r="T55" s="489">
        <f t="shared" si="44"/>
        <v>0.57865675771524372</v>
      </c>
      <c r="U55" s="493">
        <f t="shared" si="45"/>
        <v>405.42115030277023</v>
      </c>
      <c r="V55" s="492">
        <f t="shared" si="46"/>
        <v>234.59968834338551</v>
      </c>
      <c r="W55" s="489">
        <f t="shared" si="47"/>
        <v>0.38883732428340467</v>
      </c>
      <c r="X55" s="493">
        <f t="shared" si="48"/>
        <v>37.9060089869281</v>
      </c>
      <c r="Y55" s="742">
        <f t="shared" si="49"/>
        <v>14.739271108739814</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86">
        <f t="shared" si="0"/>
        <v>1707.0706982058487</v>
      </c>
      <c r="I56" s="487">
        <f>ITECountywide!$B$9*E56</f>
        <v>3.3532739708637775</v>
      </c>
      <c r="J56" s="495">
        <f t="shared" si="38"/>
        <v>1.67</v>
      </c>
      <c r="K56" s="372">
        <f t="shared" si="39"/>
        <v>0.64373267284932234</v>
      </c>
      <c r="L56" s="488">
        <f>Passby_Length_Adj!H51</f>
        <v>1</v>
      </c>
      <c r="M56" s="488">
        <f>Passby_Length_Adj!J51</f>
        <v>1</v>
      </c>
      <c r="N56" s="372">
        <v>0.5</v>
      </c>
      <c r="O56" s="481">
        <f t="shared" si="40"/>
        <v>0.5</v>
      </c>
      <c r="P56" s="489">
        <f t="shared" si="41"/>
        <v>8.0010679405598299</v>
      </c>
      <c r="Q56" s="490">
        <f t="shared" si="5"/>
        <v>4.7910586470418144</v>
      </c>
      <c r="R56" s="491">
        <f t="shared" si="42"/>
        <v>261.71052631578948</v>
      </c>
      <c r="S56" s="492">
        <f t="shared" si="43"/>
        <v>1253.8704801271274</v>
      </c>
      <c r="T56" s="489">
        <f t="shared" si="44"/>
        <v>1.0517705270187725</v>
      </c>
      <c r="U56" s="493">
        <f t="shared" si="45"/>
        <v>405.42115030277023</v>
      </c>
      <c r="V56" s="492">
        <f t="shared" si="46"/>
        <v>426.41001691850164</v>
      </c>
      <c r="W56" s="489">
        <f t="shared" si="47"/>
        <v>0.70675341129840974</v>
      </c>
      <c r="X56" s="493">
        <f t="shared" si="48"/>
        <v>37.9060089869281</v>
      </c>
      <c r="Y56" s="742">
        <f t="shared" si="49"/>
        <v>26.79020116021961</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86">
        <f t="shared" si="0"/>
        <v>435.50956709565492</v>
      </c>
      <c r="I57" s="487">
        <f>ITECountywide!$B$9*E57</f>
        <v>2.0844676035099154</v>
      </c>
      <c r="J57" s="495">
        <f t="shared" si="38"/>
        <v>1.67</v>
      </c>
      <c r="K57" s="372">
        <f t="shared" si="39"/>
        <v>0.64373267284932234</v>
      </c>
      <c r="L57" s="488">
        <f>Passby_Length_Adj!H52</f>
        <v>0.76624514210263772</v>
      </c>
      <c r="M57" s="488">
        <f>Passby_Length_Adj!J52</f>
        <v>0.53561452513966479</v>
      </c>
      <c r="N57" s="372">
        <v>0.5</v>
      </c>
      <c r="O57" s="481">
        <f t="shared" si="40"/>
        <v>0.20520601396393964</v>
      </c>
      <c r="P57" s="489">
        <f t="shared" si="41"/>
        <v>2.0412403767216136</v>
      </c>
      <c r="Q57" s="490">
        <f t="shared" si="5"/>
        <v>1.2222996267794095</v>
      </c>
      <c r="R57" s="491">
        <f t="shared" si="42"/>
        <v>261.71052631578948</v>
      </c>
      <c r="S57" s="492">
        <f t="shared" si="43"/>
        <v>319.88867864003231</v>
      </c>
      <c r="T57" s="489">
        <f t="shared" si="44"/>
        <v>0.26832873845666538</v>
      </c>
      <c r="U57" s="493">
        <f t="shared" si="45"/>
        <v>405.42115030277023</v>
      </c>
      <c r="V57" s="492">
        <f t="shared" si="46"/>
        <v>108.78614580439246</v>
      </c>
      <c r="W57" s="489">
        <f t="shared" si="47"/>
        <v>0.18030763021206264</v>
      </c>
      <c r="X57" s="493">
        <f t="shared" si="48"/>
        <v>37.9060089869281</v>
      </c>
      <c r="Y57" s="742">
        <f t="shared" si="49"/>
        <v>6.8347426512301555</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86">
        <f t="shared" si="0"/>
        <v>590.77819536454058</v>
      </c>
      <c r="I58" s="487">
        <f>ITECountywide!$B$9*E58</f>
        <v>2.8276256186743205</v>
      </c>
      <c r="J58" s="495">
        <f t="shared" si="38"/>
        <v>1.67</v>
      </c>
      <c r="K58" s="372">
        <f t="shared" si="39"/>
        <v>0.64373267284932234</v>
      </c>
      <c r="L58" s="488">
        <f>Passby_Length_Adj!H53</f>
        <v>0.76624514210263772</v>
      </c>
      <c r="M58" s="488">
        <f>Passby_Length_Adj!J53</f>
        <v>0.53561452513966479</v>
      </c>
      <c r="N58" s="372">
        <v>0.5</v>
      </c>
      <c r="O58" s="481">
        <f t="shared" si="40"/>
        <v>0.20520601396393964</v>
      </c>
      <c r="P58" s="489">
        <f t="shared" si="41"/>
        <v>2.7689869458136673</v>
      </c>
      <c r="Q58" s="490">
        <f t="shared" si="5"/>
        <v>1.658076015457286</v>
      </c>
      <c r="R58" s="491">
        <f t="shared" si="42"/>
        <v>261.71052631578948</v>
      </c>
      <c r="S58" s="492">
        <f t="shared" si="43"/>
        <v>433.93594667691343</v>
      </c>
      <c r="T58" s="489">
        <f t="shared" si="44"/>
        <v>0.36399376694991131</v>
      </c>
      <c r="U58" s="493">
        <f t="shared" si="45"/>
        <v>405.42115030277023</v>
      </c>
      <c r="V58" s="492">
        <f t="shared" si="46"/>
        <v>147.5707716998715</v>
      </c>
      <c r="W58" s="489">
        <f t="shared" si="47"/>
        <v>0.24459122011375453</v>
      </c>
      <c r="X58" s="493">
        <f t="shared" si="48"/>
        <v>37.9060089869281</v>
      </c>
      <c r="Y58" s="742">
        <f t="shared" si="49"/>
        <v>9.2714769877556886</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86">
        <f t="shared" si="0"/>
        <v>5778.181107874444</v>
      </c>
      <c r="I59" s="487">
        <f>ITECountywide!$B$9*E59</f>
        <v>12.597434647299055</v>
      </c>
      <c r="J59" s="495">
        <f t="shared" si="38"/>
        <v>1.67</v>
      </c>
      <c r="K59" s="372">
        <f t="shared" si="39"/>
        <v>0.64373267284932234</v>
      </c>
      <c r="L59" s="488">
        <f>Passby_Length_Adj!H54</f>
        <v>0.90100368260427022</v>
      </c>
      <c r="M59" s="488">
        <f>Passby_Length_Adj!J54</f>
        <v>1</v>
      </c>
      <c r="N59" s="372">
        <v>0.5</v>
      </c>
      <c r="O59" s="481">
        <f t="shared" si="40"/>
        <v>0.45050184130213511</v>
      </c>
      <c r="P59" s="489">
        <f t="shared" si="41"/>
        <v>27.082428200280553</v>
      </c>
      <c r="Q59" s="490">
        <f t="shared" si="5"/>
        <v>16.217022874419495</v>
      </c>
      <c r="R59" s="491">
        <f t="shared" si="42"/>
        <v>261.71052631578948</v>
      </c>
      <c r="S59" s="492">
        <f t="shared" si="43"/>
        <v>4244.1655917395228</v>
      </c>
      <c r="T59" s="489">
        <f t="shared" si="44"/>
        <v>3.5600872274513016</v>
      </c>
      <c r="U59" s="493">
        <f t="shared" si="45"/>
        <v>405.42115030277023</v>
      </c>
      <c r="V59" s="492">
        <f t="shared" si="46"/>
        <v>1443.3346589315067</v>
      </c>
      <c r="W59" s="489">
        <f t="shared" si="47"/>
        <v>2.3922554662688285</v>
      </c>
      <c r="X59" s="493">
        <f t="shared" si="48"/>
        <v>37.9060089869281</v>
      </c>
      <c r="Y59" s="742">
        <f t="shared" si="49"/>
        <v>90.680857203414078</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86">
        <f t="shared" si="0"/>
        <v>9863.2104557440944</v>
      </c>
      <c r="I60" s="487">
        <f>ITECountywide!$B$9*E60</f>
        <v>86.315084590558413</v>
      </c>
      <c r="J60" s="495">
        <f t="shared" si="38"/>
        <v>1.67</v>
      </c>
      <c r="K60" s="372">
        <f t="shared" si="39"/>
        <v>0.64373267284932234</v>
      </c>
      <c r="L60" s="488">
        <f>Passby_Length_Adj!H55</f>
        <v>0.30664652567975825</v>
      </c>
      <c r="M60" s="488">
        <f>Passby_Length_Adj!J55</f>
        <v>0.73199999999999998</v>
      </c>
      <c r="N60" s="372">
        <v>0.5</v>
      </c>
      <c r="O60" s="481">
        <f t="shared" si="40"/>
        <v>0.11223262839879151</v>
      </c>
      <c r="P60" s="489">
        <f t="shared" si="41"/>
        <v>46.229026748212853</v>
      </c>
      <c r="Q60" s="490">
        <f t="shared" si="5"/>
        <v>27.682051945037639</v>
      </c>
      <c r="R60" s="491">
        <f t="shared" si="42"/>
        <v>261.71052631578948</v>
      </c>
      <c r="S60" s="492">
        <f t="shared" si="43"/>
        <v>7244.6843840368247</v>
      </c>
      <c r="T60" s="489">
        <f t="shared" si="44"/>
        <v>6.0769797466725022</v>
      </c>
      <c r="U60" s="493">
        <f t="shared" si="45"/>
        <v>405.42115030277023</v>
      </c>
      <c r="V60" s="492">
        <f t="shared" si="46"/>
        <v>2463.7361192626031</v>
      </c>
      <c r="W60" s="489">
        <f t="shared" si="47"/>
        <v>4.0835201748104124</v>
      </c>
      <c r="X60" s="493">
        <f t="shared" si="48"/>
        <v>37.9060089869281</v>
      </c>
      <c r="Y60" s="742">
        <f t="shared" si="49"/>
        <v>154.78995244466569</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86">
        <f t="shared" si="0"/>
        <v>9891.7826404144307</v>
      </c>
      <c r="I62" s="487">
        <f>ITECountywide!$B$9*E62</f>
        <v>19.430863225761996</v>
      </c>
      <c r="J62" s="495">
        <f>IF(F62="Prod",$M$3,$M$4)</f>
        <v>1.67</v>
      </c>
      <c r="K62" s="372">
        <f>IF(F62="Prod",$F$4,$F$5)</f>
        <v>0.64373267284932234</v>
      </c>
      <c r="L62" s="488">
        <f>Passby_Length_Adj!H57</f>
        <v>1</v>
      </c>
      <c r="M62" s="488">
        <f>Passby_Length_Adj!J57</f>
        <v>1</v>
      </c>
      <c r="N62" s="372">
        <v>0.5</v>
      </c>
      <c r="O62" s="481">
        <f>L62*M62*N62</f>
        <v>0.5</v>
      </c>
      <c r="P62" s="489">
        <f>IF($F62="Prod",$I62*$O62*$F$4*$F$6,$I62*O62*$F$5*$F$7)</f>
        <v>46.362945039352091</v>
      </c>
      <c r="Q62" s="490">
        <f t="shared" si="5"/>
        <v>27.762242538534188</v>
      </c>
      <c r="R62" s="491">
        <f>+$Q$4</f>
        <v>261.71052631578948</v>
      </c>
      <c r="S62" s="492">
        <f>+Q62*R62</f>
        <v>7265.6711064663823</v>
      </c>
      <c r="T62" s="489">
        <f>IF($F62="Prod",$I62*$O62*$G$4*$G$6,$I62*$O62*$G$5*$G$7)</f>
        <v>6.0945838106168857</v>
      </c>
      <c r="U62" s="493">
        <f>+$R$4</f>
        <v>405.42115030277023</v>
      </c>
      <c r="V62" s="492">
        <f>+T62*U62</f>
        <v>2470.8731791169384</v>
      </c>
      <c r="W62" s="489">
        <f>IF($F62="Prod",$I62*$O62*$J$4*$J$6,$I62*$O62*$J$5*$J$7)</f>
        <v>4.0953494968210551</v>
      </c>
      <c r="X62" s="493">
        <f>+$S$4</f>
        <v>37.9060089869281</v>
      </c>
      <c r="Y62" s="742">
        <f>+W62*X62</f>
        <v>155.2383548311104</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86">
        <f t="shared" si="0"/>
        <v>983.17989052739142</v>
      </c>
      <c r="I63" s="487">
        <f>ITECountywide!$B$9*E63</f>
        <v>5.5464964058611672</v>
      </c>
      <c r="J63" s="495">
        <f>IF(F63="Prod",$M$3,$M$4)</f>
        <v>1.67</v>
      </c>
      <c r="K63" s="372">
        <f>IF(F63="Prod",$F$4,$F$5)</f>
        <v>0.64373267284932234</v>
      </c>
      <c r="L63" s="488">
        <f>Passby_Length_Adj!H58</f>
        <v>0.39123867069486401</v>
      </c>
      <c r="M63" s="488">
        <f>Passby_Length_Adj!J58</f>
        <v>0.89</v>
      </c>
      <c r="N63" s="372">
        <v>0.5</v>
      </c>
      <c r="O63" s="481">
        <f>L63*M63*N63</f>
        <v>0.17410120845921448</v>
      </c>
      <c r="P63" s="489">
        <f>IF($F63="Prod",$I63*$O63*$F$4*$F$6,$I63*O63*$F$5*$F$7)</f>
        <v>4.6081800303699234</v>
      </c>
      <c r="Q63" s="490">
        <f t="shared" si="5"/>
        <v>2.7593892397424691</v>
      </c>
      <c r="R63" s="491">
        <f>+$Q$4</f>
        <v>261.71052631578948</v>
      </c>
      <c r="S63" s="492">
        <f>+Q63*R63</f>
        <v>722.16121024312781</v>
      </c>
      <c r="T63" s="489">
        <f>IF($F63="Prod",$I63*$O63*$G$4*$G$6,$I63*$O63*$G$5*$G$7)</f>
        <v>0.60576262758249155</v>
      </c>
      <c r="U63" s="493">
        <f>+$R$4</f>
        <v>405.42115030277023</v>
      </c>
      <c r="V63" s="492">
        <f>+T63*U63</f>
        <v>245.58898128492234</v>
      </c>
      <c r="W63" s="489">
        <f>IF($F63="Prod",$I63*$O63*$J$4*$J$6,$I63*$O63*$J$5*$J$7)</f>
        <v>0.40705153118763204</v>
      </c>
      <c r="X63" s="493">
        <f>+$S$4</f>
        <v>37.9060089869281</v>
      </c>
      <c r="Y63" s="742">
        <f>+W63*X63</f>
        <v>15.429698999341223</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86">
        <f t="shared" si="0"/>
        <v>25228.026621367462</v>
      </c>
      <c r="I64" s="487">
        <f>ITECountywide!$B$9*E64</f>
        <v>69.168072826033367</v>
      </c>
      <c r="J64" s="495">
        <f>IF(F64="Prod",$M$3,$M$4)</f>
        <v>1.67</v>
      </c>
      <c r="K64" s="372">
        <f>IF(F64="Prod",$F$4,$F$5)</f>
        <v>0.64373267284932234</v>
      </c>
      <c r="L64" s="488">
        <f>Passby_Length_Adj!H59</f>
        <v>0.7703927492447129</v>
      </c>
      <c r="M64" s="488">
        <f>Passby_Length_Adj!J59</f>
        <v>0.93</v>
      </c>
      <c r="N64" s="372">
        <v>0.5</v>
      </c>
      <c r="O64" s="481">
        <f>L64*M64*N64</f>
        <v>0.3582326283987915</v>
      </c>
      <c r="P64" s="489">
        <f>IF($F64="Prod",$I64*$O64*$F$4*$F$6,$I64*O64*$F$5*$F$7)</f>
        <v>118.24416833817196</v>
      </c>
      <c r="Q64" s="490">
        <f t="shared" si="5"/>
        <v>70.804891220462252</v>
      </c>
      <c r="R64" s="491">
        <f>+$Q$4</f>
        <v>261.71052631578948</v>
      </c>
      <c r="S64" s="492">
        <f>+Q64*R64</f>
        <v>18530.385347039399</v>
      </c>
      <c r="T64" s="489">
        <f>IF($F64="Prod",$I64*$O64*$G$4*$G$6,$I64*$O64*$G$5*$G$7)</f>
        <v>15.543641445598544</v>
      </c>
      <c r="U64" s="493">
        <f>+$R$4</f>
        <v>405.42115030277023</v>
      </c>
      <c r="V64" s="492">
        <f>+T64*U64</f>
        <v>6301.7209947683759</v>
      </c>
      <c r="W64" s="489">
        <f>IF($F64="Prod",$I64*$O64*$J$4*$J$6,$I64*$O64*$J$5*$J$7)</f>
        <v>10.444789365618002</v>
      </c>
      <c r="X64" s="493">
        <f>+$S$4</f>
        <v>37.9060089869281</v>
      </c>
      <c r="Y64" s="742">
        <f>+W64*X64</f>
        <v>395.920279559687</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86">
        <f t="shared" si="0"/>
        <v>12150.765409561247</v>
      </c>
      <c r="I65" s="487">
        <f>ITECountywide!$B$9*E65</f>
        <v>38.970481283011466</v>
      </c>
      <c r="J65" s="495">
        <f>IF(F65="Prod",$M$3,$M$4)</f>
        <v>1.67</v>
      </c>
      <c r="K65" s="372">
        <f>IF(F65="Prod",$F$4,$F$5)</f>
        <v>0.64373267284932234</v>
      </c>
      <c r="L65" s="488">
        <f>Passby_Length_Adj!H60</f>
        <v>0.61247081225203326</v>
      </c>
      <c r="M65" s="488">
        <f>Passby_Length_Adj!J60</f>
        <v>1</v>
      </c>
      <c r="N65" s="372">
        <v>0.5</v>
      </c>
      <c r="O65" s="481">
        <f>L65*M65*N65</f>
        <v>0.30623540612601663</v>
      </c>
      <c r="P65" s="489">
        <f>IF($F65="Prod",$I65*$O65*$F$4*$F$6,$I65*O65*$F$5*$F$7)</f>
        <v>56.950833772662278</v>
      </c>
      <c r="Q65" s="490">
        <f t="shared" si="5"/>
        <v>34.102295672252865</v>
      </c>
      <c r="R65" s="491">
        <f>+$Q$4</f>
        <v>261.71052631578948</v>
      </c>
      <c r="S65" s="492">
        <f>+Q65*R65</f>
        <v>8924.9297489619676</v>
      </c>
      <c r="T65" s="489">
        <f>IF($F65="Prod",$I65*$O65*$G$4*$G$6,$I65*$O65*$G$5*$G$7)</f>
        <v>7.4864016774041273</v>
      </c>
      <c r="U65" s="493">
        <f>+$R$4</f>
        <v>405.42115030277023</v>
      </c>
      <c r="V65" s="492">
        <f>+T65*U65</f>
        <v>3035.14557968177</v>
      </c>
      <c r="W65" s="489">
        <f>IF($F65="Prod",$I65*$O65*$J$4*$J$6,$I65*$O65*$J$5*$J$7)</f>
        <v>5.0306029575223761</v>
      </c>
      <c r="X65" s="493">
        <f>+$S$4</f>
        <v>37.9060089869281</v>
      </c>
      <c r="Y65" s="742">
        <f>+W65*X65</f>
        <v>190.69008091751027</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86">
        <f t="shared" si="0"/>
        <v>14094.887875091046</v>
      </c>
      <c r="I66" s="487">
        <f>ITECountywide!$B$9*E66</f>
        <v>45.205758288293303</v>
      </c>
      <c r="J66" s="495">
        <f>IF(F66="Prod",$M$3,$M$4)</f>
        <v>1.67</v>
      </c>
      <c r="K66" s="372">
        <f>IF(F66="Prod",$F$4,$F$5)</f>
        <v>0.64373267284932234</v>
      </c>
      <c r="L66" s="488">
        <f>Passby_Length_Adj!H61</f>
        <v>0.61247081225203326</v>
      </c>
      <c r="M66" s="488">
        <f>Passby_Length_Adj!J61</f>
        <v>1</v>
      </c>
      <c r="N66" s="372">
        <v>0.5</v>
      </c>
      <c r="O66" s="481">
        <f>L66*M66*N66</f>
        <v>0.30623540612601663</v>
      </c>
      <c r="P66" s="489">
        <f>IF($F66="Prod",$I66*$O66*$F$4*$F$6,$I66*O66*$F$5*$F$7)</f>
        <v>66.06296717628824</v>
      </c>
      <c r="Q66" s="490">
        <f t="shared" si="5"/>
        <v>39.55866297981332</v>
      </c>
      <c r="R66" s="491">
        <f>+$Q$4</f>
        <v>261.71052631578948</v>
      </c>
      <c r="S66" s="492">
        <f>+Q66*R66</f>
        <v>10352.918508795881</v>
      </c>
      <c r="T66" s="489">
        <f>IF($F66="Prod",$I66*$O66*$G$4*$G$6,$I66*$O66*$G$5*$G$7)</f>
        <v>8.6842259457887891</v>
      </c>
      <c r="U66" s="493">
        <f>+$R$4</f>
        <v>405.42115030277023</v>
      </c>
      <c r="V66" s="492">
        <f>+T66*U66</f>
        <v>3520.7688724308537</v>
      </c>
      <c r="W66" s="489">
        <f>IF($F66="Prod",$I66*$O66*$J$4*$J$6,$I66*$O66*$J$5*$J$7)</f>
        <v>5.8354994307259558</v>
      </c>
      <c r="X66" s="493">
        <f>+$S$4</f>
        <v>37.9060089869281</v>
      </c>
      <c r="Y66" s="742">
        <f>+W66*X66</f>
        <v>221.20049386431188</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86">
        <f t="shared" si="0"/>
        <v>12661.670327173182</v>
      </c>
      <c r="I68" s="487">
        <f>ITECountywide!$B$9*E68</f>
        <v>20.049119939245994</v>
      </c>
      <c r="J68" s="495">
        <f t="shared" ref="J68:J87" si="50">IF(F68="Prod",$M$3,$M$4)</f>
        <v>1.67</v>
      </c>
      <c r="K68" s="372">
        <f t="shared" ref="K68:K87" si="51">IF(F68="Prod",$F$4,$F$5)</f>
        <v>0.64373267284932234</v>
      </c>
      <c r="L68" s="488">
        <f>Passby_Length_Adj!H63</f>
        <v>1.2405469854222484</v>
      </c>
      <c r="M68" s="488">
        <f>Passby_Length_Adj!J63</f>
        <v>1</v>
      </c>
      <c r="N68" s="372">
        <v>0.5</v>
      </c>
      <c r="O68" s="481">
        <f t="shared" ref="O68:O87" si="52">L68*M68*N68</f>
        <v>0.6202734927111242</v>
      </c>
      <c r="P68" s="489">
        <f t="shared" ref="P68:P87" si="53">IF($F68="Prod",$I68*$O68*$F$4*$F$6,$I68*O68*$F$5*$F$7)</f>
        <v>59.345453375280691</v>
      </c>
      <c r="Q68" s="490">
        <f t="shared" si="5"/>
        <v>35.536199625916581</v>
      </c>
      <c r="R68" s="491">
        <f t="shared" ref="R68:R87" si="54">+$Q$4</f>
        <v>261.71052631578948</v>
      </c>
      <c r="S68" s="492">
        <f t="shared" ref="S68:S87" si="55">+Q68*R68</f>
        <v>9300.1975073615904</v>
      </c>
      <c r="T68" s="489">
        <f t="shared" ref="T68:T87" si="56">IF($F68="Prod",$I68*$O68*$G$4*$G$6,$I68*$O68*$G$5*$G$7)</f>
        <v>7.8011834465587127</v>
      </c>
      <c r="U68" s="493">
        <f t="shared" ref="U68:U87" si="57">+$R$4</f>
        <v>405.42115030277023</v>
      </c>
      <c r="V68" s="492">
        <f t="shared" ref="V68:V87" si="58">+T68*U68</f>
        <v>3162.764766626763</v>
      </c>
      <c r="W68" s="489">
        <f t="shared" ref="W68:W87" si="59">IF($F68="Prod",$I68*$O68*$J$4*$J$6,$I68*$O68*$J$5*$J$7)</f>
        <v>5.2421254174596656</v>
      </c>
      <c r="X68" s="493">
        <f t="shared" ref="X68:X87" si="60">+$S$4</f>
        <v>37.9060089869281</v>
      </c>
      <c r="Y68" s="742">
        <f t="shared" ref="Y68:Y87" si="61">+W68*X68</f>
        <v>198.70805318483031</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86">
        <f t="shared" si="0"/>
        <v>12251.164292113319</v>
      </c>
      <c r="I69" s="487">
        <f>ITECountywide!$B$9*E69</f>
        <v>19.399104220937762</v>
      </c>
      <c r="J69" s="495">
        <f t="shared" si="50"/>
        <v>1.67</v>
      </c>
      <c r="K69" s="372">
        <f t="shared" si="51"/>
        <v>0.64373267284932234</v>
      </c>
      <c r="L69" s="488">
        <f>Passby_Length_Adj!H64</f>
        <v>1.2405469854222484</v>
      </c>
      <c r="M69" s="488">
        <f>Passby_Length_Adj!J64</f>
        <v>1</v>
      </c>
      <c r="N69" s="372">
        <v>0.5</v>
      </c>
      <c r="O69" s="481">
        <f t="shared" si="52"/>
        <v>0.6202734927111242</v>
      </c>
      <c r="P69" s="489">
        <f t="shared" si="53"/>
        <v>57.421404957147899</v>
      </c>
      <c r="Q69" s="490">
        <f t="shared" si="5"/>
        <v>34.384074824639463</v>
      </c>
      <c r="R69" s="491">
        <f t="shared" si="54"/>
        <v>261.71052631578948</v>
      </c>
      <c r="S69" s="492">
        <f t="shared" si="55"/>
        <v>8998.6743192378799</v>
      </c>
      <c r="T69" s="489">
        <f t="shared" si="56"/>
        <v>7.5482600326116023</v>
      </c>
      <c r="U69" s="493">
        <f t="shared" si="57"/>
        <v>405.42115030277023</v>
      </c>
      <c r="V69" s="492">
        <f t="shared" si="58"/>
        <v>3060.2242652058217</v>
      </c>
      <c r="W69" s="489">
        <f t="shared" si="59"/>
        <v>5.0721696324168617</v>
      </c>
      <c r="X69" s="493">
        <f t="shared" si="60"/>
        <v>37.9060089869281</v>
      </c>
      <c r="Y69" s="742">
        <f t="shared" si="61"/>
        <v>192.26570766961737</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571">
        <f t="shared" si="0"/>
        <v>12064.849296284123</v>
      </c>
      <c r="I70" s="487">
        <f>ITECountywide!$B$9*E70</f>
        <v>19.10408376934355</v>
      </c>
      <c r="J70" s="495">
        <f t="shared" si="50"/>
        <v>1.67</v>
      </c>
      <c r="K70" s="372">
        <f t="shared" si="51"/>
        <v>0.64373267284932234</v>
      </c>
      <c r="L70" s="488">
        <f>Passby_Length_Adj!H65</f>
        <v>1.2405469854222484</v>
      </c>
      <c r="M70" s="488">
        <f>Passby_Length_Adj!J65</f>
        <v>1</v>
      </c>
      <c r="N70" s="372">
        <v>0.5</v>
      </c>
      <c r="O70" s="481">
        <f t="shared" si="52"/>
        <v>0.6202734927111242</v>
      </c>
      <c r="P70" s="489">
        <f t="shared" si="53"/>
        <v>56.548143561740382</v>
      </c>
      <c r="Q70" s="490">
        <f t="shared" si="5"/>
        <v>33.861163809425378</v>
      </c>
      <c r="R70" s="491">
        <f t="shared" si="54"/>
        <v>261.71052631578948</v>
      </c>
      <c r="S70" s="492">
        <f t="shared" si="55"/>
        <v>8861.8230022298794</v>
      </c>
      <c r="T70" s="489">
        <f t="shared" si="56"/>
        <v>7.4334665319319111</v>
      </c>
      <c r="U70" s="493">
        <f t="shared" si="57"/>
        <v>405.42115030277023</v>
      </c>
      <c r="V70" s="492">
        <f t="shared" si="58"/>
        <v>3013.6845521129794</v>
      </c>
      <c r="W70" s="489">
        <f t="shared" si="59"/>
        <v>4.9950323708982092</v>
      </c>
      <c r="X70" s="493">
        <f t="shared" si="60"/>
        <v>37.9060089869281</v>
      </c>
      <c r="Y70" s="742">
        <f t="shared" si="61"/>
        <v>189.3417419412643</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86">
        <f t="shared" si="0"/>
        <v>11943.677285601238</v>
      </c>
      <c r="I71" s="487">
        <f>ITECountywide!$B$9*E71</f>
        <v>18.912213967596532</v>
      </c>
      <c r="J71" s="495">
        <f t="shared" si="50"/>
        <v>1.67</v>
      </c>
      <c r="K71" s="372">
        <f t="shared" si="51"/>
        <v>0.64373267284932234</v>
      </c>
      <c r="L71" s="488">
        <f>Passby_Length_Adj!H66</f>
        <v>1.2405469854222484</v>
      </c>
      <c r="M71" s="488">
        <f>Passby_Length_Adj!J66</f>
        <v>1</v>
      </c>
      <c r="N71" s="372">
        <v>0.5</v>
      </c>
      <c r="O71" s="481">
        <f t="shared" si="52"/>
        <v>0.6202734927111242</v>
      </c>
      <c r="P71" s="489">
        <f t="shared" si="53"/>
        <v>55.980208390111592</v>
      </c>
      <c r="Q71" s="490">
        <f t="shared" si="5"/>
        <v>33.521082868330296</v>
      </c>
      <c r="R71" s="491">
        <f t="shared" si="54"/>
        <v>261.71052631578948</v>
      </c>
      <c r="S71" s="492">
        <f t="shared" si="55"/>
        <v>8772.8202401459166</v>
      </c>
      <c r="T71" s="489">
        <f t="shared" si="56"/>
        <v>7.3588093137687682</v>
      </c>
      <c r="U71" s="493">
        <f t="shared" si="57"/>
        <v>405.42115030277023</v>
      </c>
      <c r="V71" s="492">
        <f t="shared" si="58"/>
        <v>2983.4169368468733</v>
      </c>
      <c r="W71" s="489">
        <f t="shared" si="59"/>
        <v>4.9448653028359288</v>
      </c>
      <c r="X71" s="493">
        <f t="shared" si="60"/>
        <v>37.9060089869281</v>
      </c>
      <c r="Y71" s="742">
        <f t="shared" si="61"/>
        <v>187.44010860844767</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86">
        <f t="shared" si="0"/>
        <v>11816.558288108012</v>
      </c>
      <c r="I72" s="487">
        <f>ITECountywide!$B$9*E72</f>
        <v>18.710927410496026</v>
      </c>
      <c r="J72" s="495">
        <f t="shared" si="50"/>
        <v>1.67</v>
      </c>
      <c r="K72" s="372">
        <f t="shared" si="51"/>
        <v>0.64373267284932234</v>
      </c>
      <c r="L72" s="488">
        <f>Passby_Length_Adj!H67</f>
        <v>1.2405469854222484</v>
      </c>
      <c r="M72" s="488">
        <f>Passby_Length_Adj!J67</f>
        <v>1</v>
      </c>
      <c r="N72" s="372">
        <v>0.5</v>
      </c>
      <c r="O72" s="481">
        <f t="shared" si="52"/>
        <v>0.6202734927111242</v>
      </c>
      <c r="P72" s="489">
        <f t="shared" si="53"/>
        <v>55.38439959522799</v>
      </c>
      <c r="Q72" s="490">
        <f t="shared" si="5"/>
        <v>33.164311134867063</v>
      </c>
      <c r="R72" s="491">
        <f t="shared" si="54"/>
        <v>261.71052631578948</v>
      </c>
      <c r="S72" s="492">
        <f t="shared" si="55"/>
        <v>8679.4493220066561</v>
      </c>
      <c r="T72" s="489">
        <f t="shared" si="56"/>
        <v>7.2804880028072088</v>
      </c>
      <c r="U72" s="493">
        <f t="shared" si="57"/>
        <v>405.42115030277023</v>
      </c>
      <c r="V72" s="492">
        <f t="shared" si="58"/>
        <v>2951.6638208636168</v>
      </c>
      <c r="W72" s="489">
        <f t="shared" si="59"/>
        <v>4.892236091161454</v>
      </c>
      <c r="X72" s="493">
        <f t="shared" si="60"/>
        <v>37.9060089869281</v>
      </c>
      <c r="Y72" s="742">
        <f t="shared" si="61"/>
        <v>185.44514523774006</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86">
        <f t="shared" si="0"/>
        <v>11697.879961345772</v>
      </c>
      <c r="I73" s="487">
        <f>ITECountywide!$B$9*E73</f>
        <v>18.523006232171017</v>
      </c>
      <c r="J73" s="495">
        <f t="shared" si="50"/>
        <v>1.67</v>
      </c>
      <c r="K73" s="372">
        <f t="shared" si="51"/>
        <v>0.64373267284932234</v>
      </c>
      <c r="L73" s="488">
        <f>Passby_Length_Adj!H68</f>
        <v>1.2405469854222484</v>
      </c>
      <c r="M73" s="488">
        <f>Passby_Length_Adj!J68</f>
        <v>1</v>
      </c>
      <c r="N73" s="372">
        <v>0.5</v>
      </c>
      <c r="O73" s="481">
        <f t="shared" si="52"/>
        <v>0.6202734927111242</v>
      </c>
      <c r="P73" s="489">
        <f t="shared" si="53"/>
        <v>54.828152360421228</v>
      </c>
      <c r="Q73" s="490">
        <f t="shared" si="5"/>
        <v>32.831228958336069</v>
      </c>
      <c r="R73" s="491">
        <f t="shared" si="54"/>
        <v>261.71052631578948</v>
      </c>
      <c r="S73" s="492">
        <f t="shared" si="55"/>
        <v>8592.2782102803212</v>
      </c>
      <c r="T73" s="489">
        <f t="shared" si="56"/>
        <v>7.2073672079768505</v>
      </c>
      <c r="U73" s="493">
        <f t="shared" si="57"/>
        <v>405.42115030277023</v>
      </c>
      <c r="V73" s="492">
        <f t="shared" si="58"/>
        <v>2922.0191041124403</v>
      </c>
      <c r="W73" s="489">
        <f t="shared" si="59"/>
        <v>4.8431014464308308</v>
      </c>
      <c r="X73" s="493">
        <f t="shared" si="60"/>
        <v>37.9060089869281</v>
      </c>
      <c r="Y73" s="742">
        <f t="shared" si="61"/>
        <v>183.58264695301156</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86">
        <f t="shared" si="0"/>
        <v>11610.016218505893</v>
      </c>
      <c r="I74" s="487">
        <f>ITECountywide!$B$9*E74</f>
        <v>18.383878402035741</v>
      </c>
      <c r="J74" s="495">
        <f t="shared" si="50"/>
        <v>1.67</v>
      </c>
      <c r="K74" s="372">
        <f t="shared" si="51"/>
        <v>0.64373267284932234</v>
      </c>
      <c r="L74" s="488">
        <f>Passby_Length_Adj!H69</f>
        <v>1.2405469854222484</v>
      </c>
      <c r="M74" s="488">
        <f>Passby_Length_Adj!J69</f>
        <v>1</v>
      </c>
      <c r="N74" s="372">
        <v>0.5</v>
      </c>
      <c r="O74" s="481">
        <f t="shared" si="52"/>
        <v>0.6202734927111242</v>
      </c>
      <c r="P74" s="489">
        <f t="shared" si="53"/>
        <v>54.416333578274354</v>
      </c>
      <c r="Q74" s="490">
        <f t="shared" si="5"/>
        <v>32.584630885194223</v>
      </c>
      <c r="R74" s="491">
        <f t="shared" si="54"/>
        <v>261.71052631578948</v>
      </c>
      <c r="S74" s="492">
        <f t="shared" si="55"/>
        <v>8527.7408987699091</v>
      </c>
      <c r="T74" s="489">
        <f t="shared" si="56"/>
        <v>7.1532320774226976</v>
      </c>
      <c r="U74" s="493">
        <f t="shared" si="57"/>
        <v>405.42115030277023</v>
      </c>
      <c r="V74" s="492">
        <f t="shared" si="58"/>
        <v>2900.0715772113849</v>
      </c>
      <c r="W74" s="489">
        <f t="shared" si="59"/>
        <v>4.8067245113415007</v>
      </c>
      <c r="X74" s="493">
        <f t="shared" si="60"/>
        <v>37.9060089869281</v>
      </c>
      <c r="Y74" s="742">
        <f t="shared" si="61"/>
        <v>182.20374252459851</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86">
        <f t="shared" si="0"/>
        <v>11540.332480357565</v>
      </c>
      <c r="I75" s="487">
        <f>ITECountywide!$B$9*E75</f>
        <v>18.273537697543336</v>
      </c>
      <c r="J75" s="495">
        <f t="shared" si="50"/>
        <v>1.67</v>
      </c>
      <c r="K75" s="372">
        <f t="shared" si="51"/>
        <v>0.64373267284932234</v>
      </c>
      <c r="L75" s="488">
        <f>Passby_Length_Adj!H70</f>
        <v>1.2405469854222484</v>
      </c>
      <c r="M75" s="488">
        <f>Passby_Length_Adj!J70</f>
        <v>1</v>
      </c>
      <c r="N75" s="372">
        <v>0.5</v>
      </c>
      <c r="O75" s="481">
        <f t="shared" si="52"/>
        <v>0.6202734927111242</v>
      </c>
      <c r="P75" s="489">
        <f t="shared" si="53"/>
        <v>54.089724771818389</v>
      </c>
      <c r="Q75" s="490">
        <f t="shared" si="5"/>
        <v>32.389056749591852</v>
      </c>
      <c r="R75" s="491">
        <f t="shared" si="54"/>
        <v>261.71052631578948</v>
      </c>
      <c r="S75" s="492">
        <f t="shared" si="55"/>
        <v>8476.5570888076563</v>
      </c>
      <c r="T75" s="489">
        <f t="shared" si="56"/>
        <v>7.110298119225221</v>
      </c>
      <c r="U75" s="493">
        <f t="shared" si="57"/>
        <v>405.42115030277023</v>
      </c>
      <c r="V75" s="492">
        <f t="shared" si="58"/>
        <v>2882.665242491913</v>
      </c>
      <c r="W75" s="489">
        <f t="shared" si="59"/>
        <v>4.7778743766047747</v>
      </c>
      <c r="X75" s="493">
        <f t="shared" si="60"/>
        <v>37.9060089869281</v>
      </c>
      <c r="Y75" s="742">
        <f t="shared" si="61"/>
        <v>181.11014905799408</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86">
        <f t="shared" si="0"/>
        <v>11482.641373755388</v>
      </c>
      <c r="I76" s="487">
        <f>ITECountywide!$B$9*E76</f>
        <v>18.182186723634896</v>
      </c>
      <c r="J76" s="495">
        <f t="shared" si="50"/>
        <v>1.67</v>
      </c>
      <c r="K76" s="372">
        <f t="shared" si="51"/>
        <v>0.64373267284932234</v>
      </c>
      <c r="L76" s="488">
        <f>Passby_Length_Adj!H71</f>
        <v>1.2405469854222484</v>
      </c>
      <c r="M76" s="488">
        <f>Passby_Length_Adj!J71</f>
        <v>1</v>
      </c>
      <c r="N76" s="372">
        <v>0.5</v>
      </c>
      <c r="O76" s="481">
        <f t="shared" si="52"/>
        <v>0.6202734927111242</v>
      </c>
      <c r="P76" s="489">
        <f t="shared" si="53"/>
        <v>53.819325623162612</v>
      </c>
      <c r="Q76" s="490">
        <f t="shared" si="5"/>
        <v>32.227141091714138</v>
      </c>
      <c r="R76" s="491">
        <f t="shared" si="54"/>
        <v>261.71052631578948</v>
      </c>
      <c r="S76" s="492">
        <f t="shared" si="55"/>
        <v>8434.1820567657142</v>
      </c>
      <c r="T76" s="489">
        <f t="shared" si="56"/>
        <v>7.0747531323309811</v>
      </c>
      <c r="U76" s="493">
        <f t="shared" si="57"/>
        <v>405.42115030277023</v>
      </c>
      <c r="V76" s="492">
        <f t="shared" si="58"/>
        <v>2868.2545530177531</v>
      </c>
      <c r="W76" s="489">
        <f t="shared" si="59"/>
        <v>4.7539893749844424</v>
      </c>
      <c r="X76" s="493">
        <f t="shared" si="60"/>
        <v>37.9060089869281</v>
      </c>
      <c r="Y76" s="742">
        <f t="shared" si="61"/>
        <v>180.20476397192098</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86">
        <f t="shared" ref="H77:H137" si="62">+S77+V77+Y77</f>
        <v>11411.336239790653</v>
      </c>
      <c r="I77" s="487">
        <f>ITECountywide!$B$9*E77</f>
        <v>18.069278620185472</v>
      </c>
      <c r="J77" s="495">
        <f t="shared" si="50"/>
        <v>1.67</v>
      </c>
      <c r="K77" s="372">
        <f t="shared" si="51"/>
        <v>0.64373267284932234</v>
      </c>
      <c r="L77" s="488">
        <f>Passby_Length_Adj!H72</f>
        <v>1.2405469854222484</v>
      </c>
      <c r="M77" s="488">
        <f>Passby_Length_Adj!J72</f>
        <v>1</v>
      </c>
      <c r="N77" s="372">
        <v>0.5</v>
      </c>
      <c r="O77" s="481">
        <f t="shared" si="52"/>
        <v>0.6202734927111242</v>
      </c>
      <c r="P77" s="489">
        <f t="shared" si="53"/>
        <v>53.485117308321172</v>
      </c>
      <c r="Q77" s="490">
        <f t="shared" si="5"/>
        <v>32.027016352288129</v>
      </c>
      <c r="R77" s="491">
        <f t="shared" si="54"/>
        <v>261.71052631578948</v>
      </c>
      <c r="S77" s="492">
        <f t="shared" si="55"/>
        <v>8381.8073058817226</v>
      </c>
      <c r="T77" s="489">
        <f t="shared" si="56"/>
        <v>7.0308201901229896</v>
      </c>
      <c r="U77" s="493">
        <f t="shared" si="57"/>
        <v>405.42115030277023</v>
      </c>
      <c r="V77" s="492">
        <f t="shared" si="58"/>
        <v>2850.4432090516043</v>
      </c>
      <c r="W77" s="489">
        <f t="shared" si="59"/>
        <v>4.724467957549515</v>
      </c>
      <c r="X77" s="493">
        <f t="shared" si="60"/>
        <v>37.9060089869281</v>
      </c>
      <c r="Y77" s="742">
        <f t="shared" si="61"/>
        <v>179.08572485732577</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86">
        <f t="shared" si="62"/>
        <v>18532.749083577004</v>
      </c>
      <c r="I78" s="487">
        <f>ITECountywide!$B$9*E78</f>
        <v>29.345678696370033</v>
      </c>
      <c r="J78" s="495">
        <f t="shared" si="50"/>
        <v>1.67</v>
      </c>
      <c r="K78" s="372">
        <f t="shared" si="51"/>
        <v>0.64373267284932234</v>
      </c>
      <c r="L78" s="488">
        <f>Passby_Length_Adj!H73</f>
        <v>1.2405469854222484</v>
      </c>
      <c r="M78" s="488">
        <f>Passby_Length_Adj!J73</f>
        <v>1</v>
      </c>
      <c r="N78" s="372">
        <v>0.5</v>
      </c>
      <c r="O78" s="481">
        <f t="shared" si="52"/>
        <v>0.6202734927111242</v>
      </c>
      <c r="P78" s="489">
        <f t="shared" si="53"/>
        <v>86.863294354998558</v>
      </c>
      <c r="Q78" s="490">
        <f t="shared" si="5"/>
        <v>52.013948715567999</v>
      </c>
      <c r="R78" s="491">
        <f t="shared" si="54"/>
        <v>261.71052631578948</v>
      </c>
      <c r="S78" s="492">
        <f t="shared" si="55"/>
        <v>13612.597894113784</v>
      </c>
      <c r="T78" s="489">
        <f t="shared" si="56"/>
        <v>11.418507324404892</v>
      </c>
      <c r="U78" s="493">
        <f t="shared" si="57"/>
        <v>405.42115030277023</v>
      </c>
      <c r="V78" s="492">
        <f t="shared" si="58"/>
        <v>4629.3043742008385</v>
      </c>
      <c r="W78" s="489">
        <f t="shared" si="59"/>
        <v>7.6728419328629833</v>
      </c>
      <c r="X78" s="493">
        <f t="shared" si="60"/>
        <v>37.9060089869281</v>
      </c>
      <c r="Y78" s="742">
        <f t="shared" si="61"/>
        <v>290.84681526238302</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86">
        <f t="shared" si="62"/>
        <v>9100.3925394958114</v>
      </c>
      <c r="I79" s="487">
        <f>ITECountywide!$B$9*E79</f>
        <v>14.410015172090286</v>
      </c>
      <c r="J79" s="495">
        <f t="shared" si="50"/>
        <v>1.67</v>
      </c>
      <c r="K79" s="372">
        <f t="shared" si="51"/>
        <v>0.64373267284932234</v>
      </c>
      <c r="L79" s="488">
        <f>Passby_Length_Adj!H74</f>
        <v>1.2405469854222484</v>
      </c>
      <c r="M79" s="488">
        <f>Passby_Length_Adj!J74</f>
        <v>1</v>
      </c>
      <c r="N79" s="372">
        <v>0.5</v>
      </c>
      <c r="O79" s="481">
        <f t="shared" si="52"/>
        <v>0.6202734927111242</v>
      </c>
      <c r="P79" s="489">
        <f t="shared" si="53"/>
        <v>42.653686851280945</v>
      </c>
      <c r="Q79" s="490">
        <f t="shared" si="5"/>
        <v>25.541129851066437</v>
      </c>
      <c r="R79" s="491">
        <f t="shared" si="54"/>
        <v>261.71052631578948</v>
      </c>
      <c r="S79" s="492">
        <f t="shared" si="55"/>
        <v>6684.3825360225192</v>
      </c>
      <c r="T79" s="489">
        <f t="shared" si="56"/>
        <v>5.6069878461407594</v>
      </c>
      <c r="U79" s="493">
        <f t="shared" si="57"/>
        <v>405.42115030277023</v>
      </c>
      <c r="V79" s="492">
        <f t="shared" si="58"/>
        <v>2273.1914623160387</v>
      </c>
      <c r="W79" s="489">
        <f t="shared" si="59"/>
        <v>3.7677018756183269</v>
      </c>
      <c r="X79" s="493">
        <f t="shared" si="60"/>
        <v>37.9060089869281</v>
      </c>
      <c r="Y79" s="742">
        <f t="shared" si="61"/>
        <v>142.81854115725415</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86">
        <f t="shared" si="62"/>
        <v>12877.913970984637</v>
      </c>
      <c r="I80" s="487">
        <f>ITECountywide!$B$9*E80</f>
        <v>20.391530903901348</v>
      </c>
      <c r="J80" s="495">
        <f t="shared" si="50"/>
        <v>1.67</v>
      </c>
      <c r="K80" s="372">
        <f t="shared" si="51"/>
        <v>0.64373267284932234</v>
      </c>
      <c r="L80" s="488">
        <f>Passby_Length_Adj!H75</f>
        <v>1.2405469854222484</v>
      </c>
      <c r="M80" s="488">
        <f>Passby_Length_Adj!J75</f>
        <v>1</v>
      </c>
      <c r="N80" s="372">
        <v>0.5</v>
      </c>
      <c r="O80" s="481">
        <f t="shared" si="52"/>
        <v>0.6202734927111242</v>
      </c>
      <c r="P80" s="489">
        <f t="shared" si="53"/>
        <v>60.358990827284352</v>
      </c>
      <c r="Q80" s="490">
        <f t="shared" ref="Q80:Q137" si="63">+P80/J80</f>
        <v>36.143108279810988</v>
      </c>
      <c r="R80" s="491">
        <f t="shared" si="54"/>
        <v>261.71052631578948</v>
      </c>
      <c r="S80" s="492">
        <f t="shared" si="55"/>
        <v>9459.031890597902</v>
      </c>
      <c r="T80" s="489">
        <f t="shared" si="56"/>
        <v>7.934416763406734</v>
      </c>
      <c r="U80" s="493">
        <f t="shared" si="57"/>
        <v>405.42115030277023</v>
      </c>
      <c r="V80" s="492">
        <f t="shared" si="58"/>
        <v>3216.7803712019413</v>
      </c>
      <c r="W80" s="489">
        <f t="shared" si="59"/>
        <v>5.3316535975731032</v>
      </c>
      <c r="X80" s="493">
        <f t="shared" si="60"/>
        <v>37.9060089869281</v>
      </c>
      <c r="Y80" s="742">
        <f t="shared" si="61"/>
        <v>202.10170918479358</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86">
        <f t="shared" si="62"/>
        <v>26316.685834669333</v>
      </c>
      <c r="I81" s="487">
        <f>ITECountywide!$B$9*E81</f>
        <v>63.077802262734835</v>
      </c>
      <c r="J81" s="495">
        <f t="shared" si="50"/>
        <v>1.67</v>
      </c>
      <c r="K81" s="372">
        <f t="shared" si="51"/>
        <v>0.64373267284932234</v>
      </c>
      <c r="L81" s="488">
        <f>Passby_Length_Adj!H76</f>
        <v>0.892749244712991</v>
      </c>
      <c r="M81" s="488">
        <f>Passby_Length_Adj!J76</f>
        <v>0.91800000000000004</v>
      </c>
      <c r="N81" s="372">
        <v>0.5</v>
      </c>
      <c r="O81" s="481">
        <f t="shared" si="52"/>
        <v>0.40977190332326291</v>
      </c>
      <c r="P81" s="489">
        <f t="shared" si="53"/>
        <v>123.34673165842543</v>
      </c>
      <c r="Q81" s="490">
        <f t="shared" si="63"/>
        <v>73.860318358338588</v>
      </c>
      <c r="R81" s="491">
        <f t="shared" si="54"/>
        <v>261.71052631578948</v>
      </c>
      <c r="S81" s="492">
        <f t="shared" si="55"/>
        <v>19330.022791412561</v>
      </c>
      <c r="T81" s="489">
        <f t="shared" si="56"/>
        <v>16.21439261936175</v>
      </c>
      <c r="U81" s="493">
        <f t="shared" si="57"/>
        <v>405.42115030277023</v>
      </c>
      <c r="V81" s="492">
        <f t="shared" si="58"/>
        <v>6573.6577072023883</v>
      </c>
      <c r="W81" s="489">
        <f t="shared" si="59"/>
        <v>10.895510951754535</v>
      </c>
      <c r="X81" s="493">
        <f t="shared" si="60"/>
        <v>37.9060089869281</v>
      </c>
      <c r="Y81" s="742">
        <f t="shared" si="61"/>
        <v>413.0053360543809</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86">
        <f t="shared" si="62"/>
        <v>25858.85125373715</v>
      </c>
      <c r="I82" s="487">
        <f>ITECountywide!$B$9*E82</f>
        <v>40.946194055033907</v>
      </c>
      <c r="J82" s="495">
        <f t="shared" si="50"/>
        <v>1.67</v>
      </c>
      <c r="K82" s="372">
        <f t="shared" si="51"/>
        <v>0.64373267284932234</v>
      </c>
      <c r="L82" s="488">
        <f>Passby_Length_Adj!H77</f>
        <v>1.2405469854222484</v>
      </c>
      <c r="M82" s="488">
        <f>Passby_Length_Adj!J77</f>
        <v>1</v>
      </c>
      <c r="N82" s="372">
        <v>0.5</v>
      </c>
      <c r="O82" s="481">
        <f t="shared" si="52"/>
        <v>0.6202734927111242</v>
      </c>
      <c r="P82" s="489">
        <f t="shared" si="53"/>
        <v>121.20085358118698</v>
      </c>
      <c r="Q82" s="490">
        <f t="shared" si="63"/>
        <v>72.575361425860464</v>
      </c>
      <c r="R82" s="491">
        <f t="shared" si="54"/>
        <v>261.71052631578948</v>
      </c>
      <c r="S82" s="492">
        <f t="shared" si="55"/>
        <v>18993.736036320588</v>
      </c>
      <c r="T82" s="489">
        <f t="shared" si="56"/>
        <v>15.932308860920722</v>
      </c>
      <c r="U82" s="493">
        <f t="shared" si="57"/>
        <v>405.42115030277023</v>
      </c>
      <c r="V82" s="492">
        <f t="shared" si="58"/>
        <v>6459.2949853734981</v>
      </c>
      <c r="W82" s="489">
        <f t="shared" si="59"/>
        <v>10.705960423926792</v>
      </c>
      <c r="X82" s="493">
        <f t="shared" si="60"/>
        <v>37.9060089869281</v>
      </c>
      <c r="Y82" s="742">
        <f t="shared" si="61"/>
        <v>405.82023204306552</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86">
        <f t="shared" si="62"/>
        <v>6335.3525693572828</v>
      </c>
      <c r="I83" s="487">
        <f>ITECountywide!$B$9*E83</f>
        <v>20.319027682909702</v>
      </c>
      <c r="J83" s="495">
        <f t="shared" si="50"/>
        <v>1.67</v>
      </c>
      <c r="K83" s="372">
        <f t="shared" si="51"/>
        <v>0.64373267284932234</v>
      </c>
      <c r="L83" s="488">
        <f>Passby_Length_Adj!H78</f>
        <v>0.61247081225203326</v>
      </c>
      <c r="M83" s="488">
        <f>Passby_Length_Adj!J78</f>
        <v>1</v>
      </c>
      <c r="N83" s="372">
        <v>0.5</v>
      </c>
      <c r="O83" s="481">
        <f t="shared" si="52"/>
        <v>0.30623540612601663</v>
      </c>
      <c r="P83" s="489">
        <f t="shared" si="53"/>
        <v>29.693899841467168</v>
      </c>
      <c r="Q83" s="490">
        <f t="shared" si="63"/>
        <v>17.780778348183933</v>
      </c>
      <c r="R83" s="491">
        <f t="shared" si="54"/>
        <v>261.71052631578948</v>
      </c>
      <c r="S83" s="492">
        <f t="shared" si="55"/>
        <v>4653.4168598076112</v>
      </c>
      <c r="T83" s="489">
        <f t="shared" si="56"/>
        <v>3.9033750141255945</v>
      </c>
      <c r="U83" s="493">
        <f t="shared" si="57"/>
        <v>405.42115030277023</v>
      </c>
      <c r="V83" s="492">
        <f t="shared" si="58"/>
        <v>1582.5107882898906</v>
      </c>
      <c r="W83" s="489">
        <f t="shared" si="59"/>
        <v>2.6229329838988757</v>
      </c>
      <c r="X83" s="493">
        <f t="shared" si="60"/>
        <v>37.9060089869281</v>
      </c>
      <c r="Y83" s="742">
        <f t="shared" si="61"/>
        <v>99.424921259780916</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86">
        <f t="shared" si="62"/>
        <v>38897.02370969404</v>
      </c>
      <c r="I84" s="487">
        <f>ITECountywide!$B$9*E84</f>
        <v>61.591486232406027</v>
      </c>
      <c r="J84" s="495">
        <f t="shared" si="50"/>
        <v>1.67</v>
      </c>
      <c r="K84" s="372">
        <f t="shared" si="51"/>
        <v>0.64373267284932234</v>
      </c>
      <c r="L84" s="488">
        <f>Passby_Length_Adj!H79</f>
        <v>1.2405469854222484</v>
      </c>
      <c r="M84" s="488">
        <f>Passby_Length_Adj!J79</f>
        <v>1</v>
      </c>
      <c r="N84" s="372">
        <v>0.5</v>
      </c>
      <c r="O84" s="481">
        <f t="shared" si="52"/>
        <v>0.6202734927111242</v>
      </c>
      <c r="P84" s="489">
        <f t="shared" si="53"/>
        <v>182.3109785165442</v>
      </c>
      <c r="Q84" s="490">
        <f t="shared" si="63"/>
        <v>109.1682506087091</v>
      </c>
      <c r="R84" s="491">
        <f t="shared" si="54"/>
        <v>261.71052631578948</v>
      </c>
      <c r="S84" s="492">
        <f t="shared" si="55"/>
        <v>28570.480323779266</v>
      </c>
      <c r="T84" s="489">
        <f t="shared" si="56"/>
        <v>23.965465032938738</v>
      </c>
      <c r="U84" s="493">
        <f t="shared" si="57"/>
        <v>405.42115030277023</v>
      </c>
      <c r="V84" s="492">
        <f t="shared" si="58"/>
        <v>9716.1064011948401</v>
      </c>
      <c r="W84" s="489">
        <f t="shared" si="59"/>
        <v>16.103963488491917</v>
      </c>
      <c r="X84" s="493">
        <f t="shared" si="60"/>
        <v>37.9060089869281</v>
      </c>
      <c r="Y84" s="742">
        <f t="shared" si="61"/>
        <v>610.43698471993662</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86">
        <f t="shared" si="62"/>
        <v>12671.867347448882</v>
      </c>
      <c r="I85" s="487">
        <f>ITECountywide!$B$9*E85</f>
        <v>20.065266409438927</v>
      </c>
      <c r="J85" s="495">
        <f t="shared" si="50"/>
        <v>1.67</v>
      </c>
      <c r="K85" s="372">
        <f t="shared" si="51"/>
        <v>0.64373267284932234</v>
      </c>
      <c r="L85" s="488">
        <f>Passby_Length_Adj!H80</f>
        <v>1.2405469854222484</v>
      </c>
      <c r="M85" s="488">
        <f>Passby_Length_Adj!J80</f>
        <v>1</v>
      </c>
      <c r="N85" s="372">
        <v>0.5</v>
      </c>
      <c r="O85" s="481">
        <f t="shared" si="52"/>
        <v>0.6202734927111242</v>
      </c>
      <c r="P85" s="489">
        <f t="shared" si="53"/>
        <v>59.393246974047798</v>
      </c>
      <c r="Q85" s="490">
        <f t="shared" si="63"/>
        <v>35.564818547334013</v>
      </c>
      <c r="R85" s="491">
        <f t="shared" si="54"/>
        <v>261.71052631578948</v>
      </c>
      <c r="S85" s="492">
        <f t="shared" si="55"/>
        <v>9307.6873803483359</v>
      </c>
      <c r="T85" s="489">
        <f t="shared" si="56"/>
        <v>7.8074660951922263</v>
      </c>
      <c r="U85" s="493">
        <f t="shared" si="57"/>
        <v>405.42115030277023</v>
      </c>
      <c r="V85" s="492">
        <f t="shared" si="58"/>
        <v>3165.3118852627103</v>
      </c>
      <c r="W85" s="489">
        <f t="shared" si="59"/>
        <v>5.2463471400119328</v>
      </c>
      <c r="X85" s="493">
        <f t="shared" si="60"/>
        <v>37.9060089869281</v>
      </c>
      <c r="Y85" s="742">
        <f t="shared" si="61"/>
        <v>198.86808183783685</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86">
        <f t="shared" si="62"/>
        <v>12889.361005625515</v>
      </c>
      <c r="I86" s="487">
        <f>ITECountywide!$B$9*E86</f>
        <v>20.40965670914926</v>
      </c>
      <c r="J86" s="495">
        <f t="shared" si="50"/>
        <v>1.67</v>
      </c>
      <c r="K86" s="372">
        <f t="shared" si="51"/>
        <v>0.64373267284932234</v>
      </c>
      <c r="L86" s="488">
        <f>Passby_Length_Adj!H81</f>
        <v>1.2405469854222484</v>
      </c>
      <c r="M86" s="488">
        <f>Passby_Length_Adj!J81</f>
        <v>1</v>
      </c>
      <c r="N86" s="372">
        <v>0.5</v>
      </c>
      <c r="O86" s="481">
        <f t="shared" si="52"/>
        <v>0.6202734927111242</v>
      </c>
      <c r="P86" s="489">
        <f t="shared" si="53"/>
        <v>60.412643263575269</v>
      </c>
      <c r="Q86" s="490">
        <f t="shared" si="63"/>
        <v>36.175235487170823</v>
      </c>
      <c r="R86" s="491">
        <f t="shared" si="54"/>
        <v>261.71052631578948</v>
      </c>
      <c r="S86" s="492">
        <f t="shared" si="55"/>
        <v>9467.4399189451015</v>
      </c>
      <c r="T86" s="489">
        <f t="shared" si="56"/>
        <v>7.9414695783075402</v>
      </c>
      <c r="U86" s="493">
        <f t="shared" si="57"/>
        <v>405.42115030277023</v>
      </c>
      <c r="V86" s="492">
        <f t="shared" si="58"/>
        <v>3219.6397315318986</v>
      </c>
      <c r="W86" s="489">
        <f t="shared" si="59"/>
        <v>5.3363928452153901</v>
      </c>
      <c r="X86" s="493">
        <f t="shared" si="60"/>
        <v>37.9060089869281</v>
      </c>
      <c r="Y86" s="742">
        <f t="shared" si="61"/>
        <v>202.2813551485134</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86">
        <f t="shared" si="62"/>
        <v>14240.111093248786</v>
      </c>
      <c r="I87" s="487">
        <f>ITECountywide!$B$9*E87</f>
        <v>22.548501728402911</v>
      </c>
      <c r="J87" s="495">
        <f t="shared" si="50"/>
        <v>1.67</v>
      </c>
      <c r="K87" s="372">
        <f t="shared" si="51"/>
        <v>0.64373267284932234</v>
      </c>
      <c r="L87" s="488">
        <f>Passby_Length_Adj!H82</f>
        <v>1.2405469854222484</v>
      </c>
      <c r="M87" s="488">
        <f>Passby_Length_Adj!J82</f>
        <v>1</v>
      </c>
      <c r="N87" s="372">
        <v>0.5</v>
      </c>
      <c r="O87" s="481">
        <f t="shared" si="52"/>
        <v>0.6202734927111242</v>
      </c>
      <c r="P87" s="489">
        <f t="shared" si="53"/>
        <v>66.743630745903744</v>
      </c>
      <c r="Q87" s="490">
        <f t="shared" si="63"/>
        <v>39.966245955630988</v>
      </c>
      <c r="R87" s="491">
        <f t="shared" si="54"/>
        <v>261.71052631578948</v>
      </c>
      <c r="S87" s="492">
        <f t="shared" si="55"/>
        <v>10459.587263914478</v>
      </c>
      <c r="T87" s="489">
        <f t="shared" si="56"/>
        <v>8.7737017366026464</v>
      </c>
      <c r="U87" s="493">
        <f t="shared" si="57"/>
        <v>405.42115030277023</v>
      </c>
      <c r="V87" s="492">
        <f t="shared" si="58"/>
        <v>3557.0442504668576</v>
      </c>
      <c r="W87" s="489">
        <f t="shared" si="59"/>
        <v>5.8956240670052793</v>
      </c>
      <c r="X87" s="493">
        <f t="shared" si="60"/>
        <v>37.9060089869281</v>
      </c>
      <c r="Y87" s="742">
        <f t="shared" si="61"/>
        <v>223.47957886745172</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86">
        <f t="shared" si="62"/>
        <v>14574.903740433003</v>
      </c>
      <c r="I89" s="487">
        <f>ITECountywide!$B$9*E89</f>
        <v>32.717078472481724</v>
      </c>
      <c r="J89" s="495">
        <f t="shared" ref="J89:J126" si="64">IF(F89="Prod",$M$3,$M$4)</f>
        <v>1.67</v>
      </c>
      <c r="K89" s="372">
        <f t="shared" ref="K89:K126" si="65">IF(F89="Prod",$F$4,$F$5)</f>
        <v>0.64373267284932234</v>
      </c>
      <c r="L89" s="488">
        <f>Passby_Length_Adj!H84</f>
        <v>0.87508191706880245</v>
      </c>
      <c r="M89" s="488">
        <f>Passby_Length_Adj!J84</f>
        <v>1</v>
      </c>
      <c r="N89" s="372">
        <v>0.5</v>
      </c>
      <c r="O89" s="481">
        <f t="shared" ref="O89:O126" si="66">L89*M89*N89</f>
        <v>0.43754095853440123</v>
      </c>
      <c r="P89" s="489">
        <f t="shared" ref="P89:P126" si="67">IF($F89="Prod",$I89*$O89*$F$4*$F$6,$I89*O89*$F$5*$F$7)</f>
        <v>68.312809291898432</v>
      </c>
      <c r="Q89" s="490">
        <f t="shared" si="63"/>
        <v>40.905873827484093</v>
      </c>
      <c r="R89" s="491">
        <f t="shared" ref="R89:R126" si="68">+$Q$4</f>
        <v>261.71052631578948</v>
      </c>
      <c r="S89" s="492">
        <f t="shared" ref="S89:S126" si="69">+Q89*R89</f>
        <v>10705.497768798139</v>
      </c>
      <c r="T89" s="489">
        <f t="shared" ref="T89:T126" si="70">IF($F89="Prod",$I89*$O89*$G$4*$G$6,$I89*$O89*$G$5*$G$7)</f>
        <v>8.9799761687869939</v>
      </c>
      <c r="U89" s="493">
        <f t="shared" ref="U89:U126" si="71">+$R$4</f>
        <v>405.42115030277023</v>
      </c>
      <c r="V89" s="492">
        <f t="shared" ref="V89:V126" si="72">+T89*U89</f>
        <v>3640.6722680410867</v>
      </c>
      <c r="W89" s="489">
        <f t="shared" ref="W89:W126" si="73">IF($F89="Prod",$I89*$O89*$J$4*$J$6,$I89*$O89*$J$5*$J$7)</f>
        <v>6.034233349985624</v>
      </c>
      <c r="X89" s="493">
        <f t="shared" ref="X89:X126" si="74">+$S$4</f>
        <v>37.9060089869281</v>
      </c>
      <c r="Y89" s="742">
        <f t="shared" ref="Y89:Y126" si="75">+W89*X89</f>
        <v>228.73370359377631</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86">
        <f t="shared" si="62"/>
        <v>40208.421515320093</v>
      </c>
      <c r="I90" s="487">
        <f>ITECountywide!$B$9*E90</f>
        <v>91.897832606915415</v>
      </c>
      <c r="J90" s="495">
        <f t="shared" si="64"/>
        <v>1.67</v>
      </c>
      <c r="K90" s="372">
        <f t="shared" si="65"/>
        <v>0.64373267284932234</v>
      </c>
      <c r="L90" s="488">
        <f>Passby_Length_Adj!H85</f>
        <v>0.8594671567024027</v>
      </c>
      <c r="M90" s="488">
        <f>Passby_Length_Adj!J85</f>
        <v>1</v>
      </c>
      <c r="N90" s="372">
        <v>0.5</v>
      </c>
      <c r="O90" s="481">
        <f t="shared" si="66"/>
        <v>0.42973357835120135</v>
      </c>
      <c r="P90" s="489">
        <f t="shared" si="67"/>
        <v>188.4575212174077</v>
      </c>
      <c r="Q90" s="490">
        <f t="shared" si="63"/>
        <v>112.84881510024414</v>
      </c>
      <c r="R90" s="491">
        <f t="shared" si="68"/>
        <v>261.71052631578948</v>
      </c>
      <c r="S90" s="492">
        <f t="shared" si="69"/>
        <v>29533.722793998106</v>
      </c>
      <c r="T90" s="489">
        <f t="shared" si="70"/>
        <v>24.773451229763644</v>
      </c>
      <c r="U90" s="493">
        <f t="shared" si="71"/>
        <v>405.42115030277023</v>
      </c>
      <c r="V90" s="492">
        <f t="shared" si="72"/>
        <v>10043.681094540354</v>
      </c>
      <c r="W90" s="489">
        <f t="shared" si="73"/>
        <v>16.646902262890407</v>
      </c>
      <c r="X90" s="493">
        <f t="shared" si="74"/>
        <v>37.9060089869281</v>
      </c>
      <c r="Y90" s="742">
        <f t="shared" si="75"/>
        <v>631.01762678163755</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86">
        <f t="shared" si="62"/>
        <v>7248.618789941338</v>
      </c>
      <c r="I91" s="487">
        <f>ITECountywide!$B$9*E91</f>
        <v>16.566985996591853</v>
      </c>
      <c r="J91" s="495">
        <f t="shared" si="64"/>
        <v>1.67</v>
      </c>
      <c r="K91" s="372">
        <f t="shared" si="65"/>
        <v>0.64373267284932234</v>
      </c>
      <c r="L91" s="488">
        <f>Passby_Length_Adj!H86</f>
        <v>0.8594671567024027</v>
      </c>
      <c r="M91" s="488">
        <f>Passby_Length_Adj!J86</f>
        <v>1</v>
      </c>
      <c r="N91" s="372">
        <v>0.5</v>
      </c>
      <c r="O91" s="481">
        <f t="shared" si="66"/>
        <v>0.42973357835120135</v>
      </c>
      <c r="P91" s="489">
        <f t="shared" si="67"/>
        <v>33.974393371343332</v>
      </c>
      <c r="Q91" s="490">
        <f t="shared" si="63"/>
        <v>20.343948126552895</v>
      </c>
      <c r="R91" s="491">
        <f t="shared" si="68"/>
        <v>261.71052631578948</v>
      </c>
      <c r="S91" s="492">
        <f t="shared" si="69"/>
        <v>5324.225371541278</v>
      </c>
      <c r="T91" s="489">
        <f t="shared" si="70"/>
        <v>4.4660620165688316</v>
      </c>
      <c r="U91" s="493">
        <f t="shared" si="71"/>
        <v>405.42115030277023</v>
      </c>
      <c r="V91" s="492">
        <f t="shared" si="72"/>
        <v>1810.6360000808454</v>
      </c>
      <c r="W91" s="489">
        <f t="shared" si="73"/>
        <v>3.0010391850654505</v>
      </c>
      <c r="X91" s="493">
        <f t="shared" si="74"/>
        <v>37.9060089869281</v>
      </c>
      <c r="Y91" s="742">
        <f t="shared" si="75"/>
        <v>113.75741831921435</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09">
        <f t="shared" si="62"/>
        <v>54007.761443654803</v>
      </c>
      <c r="I92" s="710">
        <f>ITECountywide!$B$9*E92</f>
        <v>123.43673373828283</v>
      </c>
      <c r="J92" s="711">
        <f t="shared" si="64"/>
        <v>1.67</v>
      </c>
      <c r="K92" s="712">
        <f t="shared" si="65"/>
        <v>0.64373267284932234</v>
      </c>
      <c r="L92" s="713">
        <f>Passby_Length_Adj!H87</f>
        <v>0.8594671567024027</v>
      </c>
      <c r="M92" s="713">
        <f>Passby_Length_Adj!J87</f>
        <v>1</v>
      </c>
      <c r="N92" s="712">
        <v>0.5</v>
      </c>
      <c r="O92" s="714">
        <f t="shared" si="66"/>
        <v>0.42973357835120135</v>
      </c>
      <c r="P92" s="715">
        <f t="shared" si="67"/>
        <v>253.1352503926127</v>
      </c>
      <c r="Q92" s="716">
        <f t="shared" si="63"/>
        <v>151.57799424707349</v>
      </c>
      <c r="R92" s="717">
        <f t="shared" si="68"/>
        <v>261.71052631578948</v>
      </c>
      <c r="S92" s="718">
        <f t="shared" si="69"/>
        <v>39669.556652293315</v>
      </c>
      <c r="T92" s="715">
        <f t="shared" si="70"/>
        <v>33.275582421043474</v>
      </c>
      <c r="U92" s="719">
        <f t="shared" si="71"/>
        <v>405.42115030277023</v>
      </c>
      <c r="V92" s="718">
        <f t="shared" si="72"/>
        <v>13490.624902134085</v>
      </c>
      <c r="W92" s="715">
        <f t="shared" si="73"/>
        <v>22.360040317610192</v>
      </c>
      <c r="X92" s="719">
        <f t="shared" si="74"/>
        <v>37.9060089869281</v>
      </c>
      <c r="Y92" s="743">
        <f t="shared" si="75"/>
        <v>847.57988922740662</v>
      </c>
      <c r="Z92" s="381"/>
    </row>
    <row r="93" spans="2:26" s="11" customFormat="1" ht="17.100000000000001" customHeight="1" x14ac:dyDescent="0.25">
      <c r="B93" s="741">
        <f>ITE_LUC_Rates!A84</f>
        <v>820</v>
      </c>
      <c r="C93" s="705" t="str">
        <f>ITE_LUC_Rates!B84</f>
        <v>Shopping Center/General Retail…</v>
      </c>
      <c r="D93" s="100"/>
      <c r="E93" s="722"/>
      <c r="F93" s="100"/>
      <c r="G93" s="723"/>
      <c r="H93" s="724"/>
      <c r="I93" s="725"/>
      <c r="J93" s="726"/>
      <c r="K93" s="727"/>
      <c r="L93" s="728"/>
      <c r="M93" s="728"/>
      <c r="N93" s="727"/>
      <c r="O93" s="729"/>
      <c r="P93" s="730"/>
      <c r="Q93" s="730"/>
      <c r="R93" s="731"/>
      <c r="S93" s="732"/>
      <c r="T93" s="730"/>
      <c r="U93" s="732"/>
      <c r="V93" s="732"/>
      <c r="W93" s="730"/>
      <c r="X93" s="732"/>
      <c r="Y93" s="735"/>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692">
        <f t="shared" si="62"/>
        <v>17484.839081876627</v>
      </c>
      <c r="I94" s="693">
        <f>ITECountywide!$B$9*E94</f>
        <v>284.21511603055654</v>
      </c>
      <c r="J94" s="694">
        <f t="shared" si="64"/>
        <v>1.67</v>
      </c>
      <c r="K94" s="695">
        <f t="shared" si="65"/>
        <v>0.64373267284932234</v>
      </c>
      <c r="L94" s="696">
        <f>Passby_Length_Adj!H89</f>
        <v>0.30211480362537763</v>
      </c>
      <c r="M94" s="696">
        <f>Passby_Length_Adj!J89</f>
        <v>0.4</v>
      </c>
      <c r="N94" s="695">
        <v>0.5</v>
      </c>
      <c r="O94" s="697">
        <f t="shared" si="66"/>
        <v>6.0422960725075525E-2</v>
      </c>
      <c r="P94" s="698">
        <f t="shared" si="67"/>
        <v>81.95172324783293</v>
      </c>
      <c r="Q94" s="699">
        <f t="shared" si="63"/>
        <v>49.07288817235505</v>
      </c>
      <c r="R94" s="700">
        <f t="shared" si="68"/>
        <v>261.71052631578948</v>
      </c>
      <c r="S94" s="701">
        <f t="shared" si="69"/>
        <v>12842.891391422922</v>
      </c>
      <c r="T94" s="698">
        <f t="shared" si="70"/>
        <v>10.772862796667972</v>
      </c>
      <c r="U94" s="702">
        <f t="shared" si="71"/>
        <v>405.42115030277023</v>
      </c>
      <c r="V94" s="701">
        <f t="shared" si="72"/>
        <v>4367.546427079048</v>
      </c>
      <c r="W94" s="698">
        <f t="shared" si="73"/>
        <v>7.2389911443667234</v>
      </c>
      <c r="X94" s="702">
        <f t="shared" si="74"/>
        <v>37.9060089869281</v>
      </c>
      <c r="Y94" s="744">
        <f t="shared" si="75"/>
        <v>274.40126337465796</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86">
        <f t="shared" si="62"/>
        <v>14166.451951739158</v>
      </c>
      <c r="I95" s="487">
        <f>ITECountywide!$B$9*E95</f>
        <v>160.19124330117839</v>
      </c>
      <c r="J95" s="495">
        <f t="shared" si="64"/>
        <v>1.67</v>
      </c>
      <c r="K95" s="372">
        <f t="shared" si="65"/>
        <v>0.64373267284932234</v>
      </c>
      <c r="L95" s="488">
        <f>Passby_Length_Adj!H90</f>
        <v>0.34743202416918428</v>
      </c>
      <c r="M95" s="488">
        <f>Passby_Length_Adj!J90</f>
        <v>0.5</v>
      </c>
      <c r="N95" s="372">
        <v>0.5</v>
      </c>
      <c r="O95" s="481">
        <f t="shared" si="66"/>
        <v>8.6858006042296071E-2</v>
      </c>
      <c r="P95" s="489">
        <f t="shared" si="67"/>
        <v>66.398389159669932</v>
      </c>
      <c r="Q95" s="490">
        <f t="shared" si="63"/>
        <v>39.759514466868225</v>
      </c>
      <c r="R95" s="491">
        <f t="shared" si="68"/>
        <v>261.71052631578948</v>
      </c>
      <c r="S95" s="492">
        <f t="shared" si="69"/>
        <v>10405.483457184329</v>
      </c>
      <c r="T95" s="489">
        <f t="shared" si="70"/>
        <v>8.7283184292992289</v>
      </c>
      <c r="U95" s="493">
        <f t="shared" si="71"/>
        <v>405.42115030277023</v>
      </c>
      <c r="V95" s="492">
        <f t="shared" si="72"/>
        <v>3538.6448978153621</v>
      </c>
      <c r="W95" s="489">
        <f t="shared" si="73"/>
        <v>5.8651280543972728</v>
      </c>
      <c r="X95" s="493">
        <f t="shared" si="74"/>
        <v>37.9060089869281</v>
      </c>
      <c r="Y95" s="742">
        <f t="shared" si="75"/>
        <v>222.32359673946715</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571">
        <f t="shared" si="62"/>
        <v>13230.76457963447</v>
      </c>
      <c r="I96" s="487">
        <f>ITECountywide!$B$9*E96</f>
        <v>119.48075804939616</v>
      </c>
      <c r="J96" s="495">
        <f t="shared" si="64"/>
        <v>1.67</v>
      </c>
      <c r="K96" s="372">
        <f t="shared" si="65"/>
        <v>0.64373267284932234</v>
      </c>
      <c r="L96" s="488">
        <f>Passby_Length_Adj!H91</f>
        <v>0.36253776435045315</v>
      </c>
      <c r="M96" s="488">
        <f>Passby_Length_Adj!J91</f>
        <v>0.6</v>
      </c>
      <c r="N96" s="372">
        <v>0.5</v>
      </c>
      <c r="O96" s="481">
        <f t="shared" si="66"/>
        <v>0.10876132930513595</v>
      </c>
      <c r="P96" s="489">
        <f t="shared" si="67"/>
        <v>62.012807330398367</v>
      </c>
      <c r="Q96" s="490">
        <f t="shared" si="63"/>
        <v>37.133417563112793</v>
      </c>
      <c r="R96" s="491">
        <f t="shared" si="68"/>
        <v>261.71052631578948</v>
      </c>
      <c r="S96" s="492">
        <f t="shared" si="69"/>
        <v>9718.2062543462307</v>
      </c>
      <c r="T96" s="489">
        <f t="shared" si="70"/>
        <v>8.1518171739512884</v>
      </c>
      <c r="U96" s="493">
        <f t="shared" si="71"/>
        <v>405.42115030277023</v>
      </c>
      <c r="V96" s="492">
        <f t="shared" si="72"/>
        <v>3304.919095721209</v>
      </c>
      <c r="W96" s="489">
        <f t="shared" si="73"/>
        <v>5.4777391531415338</v>
      </c>
      <c r="X96" s="493">
        <f t="shared" si="74"/>
        <v>37.9060089869281</v>
      </c>
      <c r="Y96" s="742">
        <f t="shared" si="75"/>
        <v>207.6392295670309</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86">
        <f t="shared" si="62"/>
        <v>12227.105280890966</v>
      </c>
      <c r="I97" s="487">
        <f>ITECountywide!$B$9*E97</f>
        <v>93.94431278308474</v>
      </c>
      <c r="J97" s="495">
        <f t="shared" si="64"/>
        <v>1.67</v>
      </c>
      <c r="K97" s="372">
        <f t="shared" si="65"/>
        <v>0.64373267284932234</v>
      </c>
      <c r="L97" s="488">
        <f>Passby_Length_Adj!H92</f>
        <v>0.37764350453172207</v>
      </c>
      <c r="M97" s="488">
        <f>Passby_Length_Adj!J92</f>
        <v>0.67700000000000005</v>
      </c>
      <c r="N97" s="372">
        <v>0.5</v>
      </c>
      <c r="O97" s="481">
        <f t="shared" si="66"/>
        <v>0.12783232628398794</v>
      </c>
      <c r="P97" s="489">
        <f t="shared" si="67"/>
        <v>57.308639982870581</v>
      </c>
      <c r="Q97" s="490">
        <f t="shared" si="63"/>
        <v>34.316550887946455</v>
      </c>
      <c r="R97" s="491">
        <f t="shared" si="68"/>
        <v>261.71052631578948</v>
      </c>
      <c r="S97" s="492">
        <f t="shared" si="69"/>
        <v>8981.0025942270404</v>
      </c>
      <c r="T97" s="489">
        <f t="shared" si="70"/>
        <v>7.53343665186968</v>
      </c>
      <c r="U97" s="493">
        <f t="shared" si="71"/>
        <v>405.42115030277023</v>
      </c>
      <c r="V97" s="492">
        <f t="shared" si="72"/>
        <v>3054.2145531340557</v>
      </c>
      <c r="W97" s="489">
        <f t="shared" si="73"/>
        <v>5.0622088333288477</v>
      </c>
      <c r="X97" s="493">
        <f t="shared" si="74"/>
        <v>37.9060089869281</v>
      </c>
      <c r="Y97" s="742">
        <f t="shared" si="75"/>
        <v>191.88813352987012</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86">
        <f t="shared" si="62"/>
        <v>11375.556172518816</v>
      </c>
      <c r="I98" s="487">
        <f>ITECountywide!$B$9*E98</f>
        <v>81.278704137667205</v>
      </c>
      <c r="J98" s="495">
        <f t="shared" si="64"/>
        <v>1.67</v>
      </c>
      <c r="K98" s="372">
        <f t="shared" si="65"/>
        <v>0.64373267284932234</v>
      </c>
      <c r="L98" s="488">
        <f>Passby_Length_Adj!H93</f>
        <v>0.39274924471299094</v>
      </c>
      <c r="M98" s="488">
        <f>Passby_Length_Adj!J93</f>
        <v>0.7</v>
      </c>
      <c r="N98" s="372">
        <v>0.5</v>
      </c>
      <c r="O98" s="481">
        <f t="shared" si="66"/>
        <v>0.13746223564954682</v>
      </c>
      <c r="P98" s="489">
        <f t="shared" si="67"/>
        <v>53.317415554983924</v>
      </c>
      <c r="Q98" s="490">
        <f t="shared" si="63"/>
        <v>31.926596140708938</v>
      </c>
      <c r="R98" s="491">
        <f t="shared" si="68"/>
        <v>261.71052631578948</v>
      </c>
      <c r="S98" s="492">
        <f t="shared" si="69"/>
        <v>8355.5262794565897</v>
      </c>
      <c r="T98" s="489">
        <f t="shared" si="70"/>
        <v>7.0087751627841586</v>
      </c>
      <c r="U98" s="493">
        <f t="shared" si="71"/>
        <v>405.42115030277023</v>
      </c>
      <c r="V98" s="492">
        <f t="shared" si="72"/>
        <v>2841.5056887094393</v>
      </c>
      <c r="W98" s="489">
        <f t="shared" si="73"/>
        <v>4.7096544617596612</v>
      </c>
      <c r="X98" s="493">
        <f t="shared" si="74"/>
        <v>37.9060089869281</v>
      </c>
      <c r="Y98" s="742">
        <f t="shared" si="75"/>
        <v>178.52420435278773</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86">
        <f t="shared" si="62"/>
        <v>10910.296181225494</v>
      </c>
      <c r="I99" s="487">
        <f>ITECountywide!$B$9*E99</f>
        <v>72.982006524219813</v>
      </c>
      <c r="J99" s="495">
        <f t="shared" si="64"/>
        <v>1.67</v>
      </c>
      <c r="K99" s="372">
        <f t="shared" si="65"/>
        <v>0.64373267284932234</v>
      </c>
      <c r="L99" s="488">
        <f>Passby_Length_Adj!H94</f>
        <v>0.40785498489425986</v>
      </c>
      <c r="M99" s="488">
        <f>Passby_Length_Adj!J94</f>
        <v>0.72</v>
      </c>
      <c r="N99" s="372">
        <v>0.5</v>
      </c>
      <c r="O99" s="481">
        <f t="shared" si="66"/>
        <v>0.14682779456193354</v>
      </c>
      <c r="P99" s="489">
        <f t="shared" si="67"/>
        <v>51.136734459423792</v>
      </c>
      <c r="Q99" s="490">
        <f t="shared" si="63"/>
        <v>30.620799077499278</v>
      </c>
      <c r="R99" s="491">
        <f t="shared" si="68"/>
        <v>261.71052631578948</v>
      </c>
      <c r="S99" s="492">
        <f t="shared" si="69"/>
        <v>8013.7854427823768</v>
      </c>
      <c r="T99" s="489">
        <f t="shared" si="70"/>
        <v>6.7221164164547682</v>
      </c>
      <c r="U99" s="493">
        <f t="shared" si="71"/>
        <v>405.42115030277023</v>
      </c>
      <c r="V99" s="492">
        <f t="shared" si="72"/>
        <v>2725.2881700282278</v>
      </c>
      <c r="W99" s="489">
        <f t="shared" si="73"/>
        <v>4.5170297003289708</v>
      </c>
      <c r="X99" s="493">
        <f t="shared" si="74"/>
        <v>37.9060089869281</v>
      </c>
      <c r="Y99" s="742">
        <f t="shared" si="75"/>
        <v>171.2225684148911</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86">
        <f t="shared" si="62"/>
        <v>10730.100774769875</v>
      </c>
      <c r="I100" s="487">
        <f>ITECountywide!$B$9*E100</f>
        <v>67.342551831206222</v>
      </c>
      <c r="J100" s="495">
        <f t="shared" si="64"/>
        <v>1.67</v>
      </c>
      <c r="K100" s="372">
        <f t="shared" si="65"/>
        <v>0.64373267284932234</v>
      </c>
      <c r="L100" s="488">
        <f>Passby_Length_Adj!H95</f>
        <v>0.42296072507552868</v>
      </c>
      <c r="M100" s="488">
        <f>Passby_Length_Adj!J95</f>
        <v>0.74</v>
      </c>
      <c r="N100" s="372">
        <v>0.5</v>
      </c>
      <c r="O100" s="481">
        <f t="shared" si="66"/>
        <v>0.15649546827794561</v>
      </c>
      <c r="P100" s="489">
        <f t="shared" si="67"/>
        <v>50.292155678273417</v>
      </c>
      <c r="Q100" s="490">
        <f t="shared" si="63"/>
        <v>30.115063280403245</v>
      </c>
      <c r="R100" s="491">
        <f t="shared" si="68"/>
        <v>261.71052631578948</v>
      </c>
      <c r="S100" s="492">
        <f t="shared" si="69"/>
        <v>7881.429061147639</v>
      </c>
      <c r="T100" s="489">
        <f t="shared" si="70"/>
        <v>6.6110933534888447</v>
      </c>
      <c r="U100" s="493">
        <f t="shared" si="71"/>
        <v>405.42115030277023</v>
      </c>
      <c r="V100" s="492">
        <f t="shared" si="72"/>
        <v>2680.2770721304464</v>
      </c>
      <c r="W100" s="489">
        <f t="shared" si="73"/>
        <v>4.4424260425269448</v>
      </c>
      <c r="X100" s="493">
        <f t="shared" si="74"/>
        <v>37.9060089869281</v>
      </c>
      <c r="Y100" s="742">
        <f t="shared" si="75"/>
        <v>168.3946414917898</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86">
        <f t="shared" si="62"/>
        <v>10703.790090502182</v>
      </c>
      <c r="I101" s="487">
        <f>ITECountywide!$B$9*E101</f>
        <v>63.154094551514092</v>
      </c>
      <c r="J101" s="495">
        <f t="shared" si="64"/>
        <v>1.67</v>
      </c>
      <c r="K101" s="372">
        <f t="shared" si="65"/>
        <v>0.64373267284932234</v>
      </c>
      <c r="L101" s="488">
        <f>Passby_Length_Adj!H96</f>
        <v>0.43806646525679754</v>
      </c>
      <c r="M101" s="488">
        <f>Passby_Length_Adj!J96</f>
        <v>0.76</v>
      </c>
      <c r="N101" s="372">
        <v>0.5</v>
      </c>
      <c r="O101" s="481">
        <f t="shared" si="66"/>
        <v>0.16646525679758306</v>
      </c>
      <c r="P101" s="489">
        <f t="shared" si="67"/>
        <v>50.168837076056356</v>
      </c>
      <c r="Q101" s="490">
        <f t="shared" si="63"/>
        <v>30.041219806021772</v>
      </c>
      <c r="R101" s="491">
        <f t="shared" si="68"/>
        <v>261.71052631578948</v>
      </c>
      <c r="S101" s="492">
        <f t="shared" si="69"/>
        <v>7862.1034466022775</v>
      </c>
      <c r="T101" s="489">
        <f t="shared" si="70"/>
        <v>6.5948826585905378</v>
      </c>
      <c r="U101" s="493">
        <f t="shared" si="71"/>
        <v>405.42115030277023</v>
      </c>
      <c r="V101" s="492">
        <f t="shared" si="72"/>
        <v>2673.7049135575671</v>
      </c>
      <c r="W101" s="489">
        <f t="shared" si="73"/>
        <v>4.4315330163158269</v>
      </c>
      <c r="X101" s="493">
        <f t="shared" si="74"/>
        <v>37.9060089869281</v>
      </c>
      <c r="Y101" s="742">
        <f t="shared" si="75"/>
        <v>167.98173034233633</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86">
        <f t="shared" si="62"/>
        <v>10520.261587286186</v>
      </c>
      <c r="I102" s="487">
        <f>ITECountywide!$B$9*E102</f>
        <v>58.463687032601783</v>
      </c>
      <c r="J102" s="495">
        <f t="shared" si="64"/>
        <v>1.67</v>
      </c>
      <c r="K102" s="372">
        <f t="shared" si="65"/>
        <v>0.64373267284932234</v>
      </c>
      <c r="L102" s="488">
        <f>Passby_Length_Adj!H97</f>
        <v>0.45317220543806647</v>
      </c>
      <c r="M102" s="488">
        <f>Passby_Length_Adj!J97</f>
        <v>0.78</v>
      </c>
      <c r="N102" s="372">
        <v>0.5</v>
      </c>
      <c r="O102" s="481">
        <f t="shared" si="66"/>
        <v>0.17673716012084592</v>
      </c>
      <c r="P102" s="489">
        <f t="shared" si="67"/>
        <v>49.308636016543268</v>
      </c>
      <c r="Q102" s="490">
        <f t="shared" si="63"/>
        <v>29.526129351223513</v>
      </c>
      <c r="R102" s="491">
        <f t="shared" si="68"/>
        <v>261.71052631578948</v>
      </c>
      <c r="S102" s="492">
        <f t="shared" si="69"/>
        <v>7727.2988525767851</v>
      </c>
      <c r="T102" s="489">
        <f t="shared" si="70"/>
        <v>6.4818059882725896</v>
      </c>
      <c r="U102" s="493">
        <f t="shared" si="71"/>
        <v>405.42115030277023</v>
      </c>
      <c r="V102" s="492">
        <f t="shared" si="72"/>
        <v>2627.8612398048576</v>
      </c>
      <c r="W102" s="489">
        <f t="shared" si="73"/>
        <v>4.3555494054116499</v>
      </c>
      <c r="X102" s="493">
        <f t="shared" si="74"/>
        <v>37.9060089869281</v>
      </c>
      <c r="Y102" s="742">
        <f t="shared" si="75"/>
        <v>165.10149490454336</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86">
        <f t="shared" si="62"/>
        <v>10951.872469790897</v>
      </c>
      <c r="I103" s="487">
        <f>ITECountywide!$B$9*E103</f>
        <v>53.946089751997178</v>
      </c>
      <c r="J103" s="495">
        <f t="shared" si="64"/>
        <v>1.67</v>
      </c>
      <c r="K103" s="372">
        <f t="shared" si="65"/>
        <v>0.64373267284932234</v>
      </c>
      <c r="L103" s="488">
        <f>Passby_Length_Adj!H98</f>
        <v>0.49848942598187307</v>
      </c>
      <c r="M103" s="488">
        <f>Passby_Length_Adj!J98</f>
        <v>0.8</v>
      </c>
      <c r="N103" s="372">
        <v>0.5</v>
      </c>
      <c r="O103" s="481">
        <f t="shared" si="66"/>
        <v>0.19939577039274925</v>
      </c>
      <c r="P103" s="489">
        <f t="shared" si="67"/>
        <v>51.331603195603087</v>
      </c>
      <c r="Q103" s="490">
        <f t="shared" si="63"/>
        <v>30.737486943474902</v>
      </c>
      <c r="R103" s="491">
        <f t="shared" si="68"/>
        <v>261.71052631578948</v>
      </c>
      <c r="S103" s="492">
        <f t="shared" si="69"/>
        <v>8044.3238856015241</v>
      </c>
      <c r="T103" s="489">
        <f t="shared" si="70"/>
        <v>6.7477326460472948</v>
      </c>
      <c r="U103" s="493">
        <f t="shared" si="71"/>
        <v>405.42115030277023</v>
      </c>
      <c r="V103" s="492">
        <f t="shared" si="72"/>
        <v>2735.67353129605</v>
      </c>
      <c r="W103" s="489">
        <f t="shared" si="73"/>
        <v>4.5342429204982384</v>
      </c>
      <c r="X103" s="493">
        <f t="shared" si="74"/>
        <v>37.9060089869281</v>
      </c>
      <c r="Y103" s="742">
        <f t="shared" si="75"/>
        <v>171.87505289332134</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86">
        <f t="shared" si="62"/>
        <v>10714.21435277453</v>
      </c>
      <c r="I104" s="487">
        <f>ITECountywide!$B$9*E104</f>
        <v>50.590842791664826</v>
      </c>
      <c r="J104" s="495">
        <f t="shared" si="64"/>
        <v>1.67</v>
      </c>
      <c r="K104" s="372">
        <f t="shared" si="65"/>
        <v>0.64373267284932234</v>
      </c>
      <c r="L104" s="488">
        <f>Passby_Length_Adj!H99</f>
        <v>0.51359516616314194</v>
      </c>
      <c r="M104" s="488">
        <f>Passby_Length_Adj!J99</f>
        <v>0.81</v>
      </c>
      <c r="N104" s="372">
        <v>0.5</v>
      </c>
      <c r="O104" s="481">
        <f t="shared" si="66"/>
        <v>0.2080060422960725</v>
      </c>
      <c r="P104" s="489">
        <f t="shared" si="67"/>
        <v>50.217695761732898</v>
      </c>
      <c r="Q104" s="490">
        <f t="shared" si="63"/>
        <v>30.070476504031678</v>
      </c>
      <c r="R104" s="491">
        <f t="shared" si="68"/>
        <v>261.71052631578948</v>
      </c>
      <c r="S104" s="492">
        <f t="shared" si="69"/>
        <v>7869.7602324367117</v>
      </c>
      <c r="T104" s="489">
        <f t="shared" si="70"/>
        <v>6.6013053169113034</v>
      </c>
      <c r="U104" s="493">
        <f t="shared" si="71"/>
        <v>405.42115030277023</v>
      </c>
      <c r="V104" s="492">
        <f t="shared" si="72"/>
        <v>2676.3087950819736</v>
      </c>
      <c r="W104" s="489">
        <f t="shared" si="73"/>
        <v>4.4358488205347113</v>
      </c>
      <c r="X104" s="493">
        <f t="shared" si="74"/>
        <v>37.9060089869281</v>
      </c>
      <c r="Y104" s="742">
        <f t="shared" si="75"/>
        <v>168.14532525584318</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86">
        <f t="shared" si="62"/>
        <v>10584.29846889438</v>
      </c>
      <c r="I105" s="487">
        <f>ITECountywide!$B$9*E105</f>
        <v>47.957407840094127</v>
      </c>
      <c r="J105" s="495">
        <f t="shared" si="64"/>
        <v>1.67</v>
      </c>
      <c r="K105" s="372">
        <f t="shared" si="65"/>
        <v>0.64373267284932234</v>
      </c>
      <c r="L105" s="488">
        <f>Passby_Length_Adj!H100</f>
        <v>0.52870090634441091</v>
      </c>
      <c r="M105" s="488">
        <f>Passby_Length_Adj!J100</f>
        <v>0.82</v>
      </c>
      <c r="N105" s="372">
        <v>0.5</v>
      </c>
      <c r="O105" s="481">
        <f t="shared" si="66"/>
        <v>0.21676737160120846</v>
      </c>
      <c r="P105" s="489">
        <f t="shared" si="67"/>
        <v>49.608777915169519</v>
      </c>
      <c r="Q105" s="490">
        <f t="shared" si="63"/>
        <v>29.705855039023664</v>
      </c>
      <c r="R105" s="491">
        <f t="shared" si="68"/>
        <v>261.71052631578948</v>
      </c>
      <c r="S105" s="492">
        <f t="shared" si="69"/>
        <v>7774.3349569234306</v>
      </c>
      <c r="T105" s="489">
        <f t="shared" si="70"/>
        <v>6.5212607717144664</v>
      </c>
      <c r="U105" s="493">
        <f t="shared" si="71"/>
        <v>405.42115030277023</v>
      </c>
      <c r="V105" s="492">
        <f t="shared" si="72"/>
        <v>2643.8570434928101</v>
      </c>
      <c r="W105" s="489">
        <f t="shared" si="73"/>
        <v>4.3820616550642688</v>
      </c>
      <c r="X105" s="493">
        <f t="shared" si="74"/>
        <v>37.9060089869281</v>
      </c>
      <c r="Y105" s="742">
        <f t="shared" si="75"/>
        <v>166.10646847813919</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86">
        <f t="shared" si="62"/>
        <v>24535.681008266765</v>
      </c>
      <c r="I106" s="487">
        <f>ITECountywide!$B$9*E106</f>
        <v>48.196516154198832</v>
      </c>
      <c r="J106" s="495">
        <f t="shared" si="64"/>
        <v>1.67</v>
      </c>
      <c r="K106" s="372">
        <f t="shared" si="65"/>
        <v>0.64373267284932234</v>
      </c>
      <c r="L106" s="488">
        <f>Passby_Length_Adj!H101</f>
        <v>1</v>
      </c>
      <c r="M106" s="488">
        <f>Passby_Length_Adj!J101</f>
        <v>1</v>
      </c>
      <c r="N106" s="372">
        <v>0.5</v>
      </c>
      <c r="O106" s="481">
        <f t="shared" si="66"/>
        <v>0.5</v>
      </c>
      <c r="P106" s="489">
        <f t="shared" si="67"/>
        <v>114.99913326458696</v>
      </c>
      <c r="Q106" s="490">
        <f t="shared" si="63"/>
        <v>68.861756445860451</v>
      </c>
      <c r="R106" s="491">
        <f t="shared" si="68"/>
        <v>261.71052631578948</v>
      </c>
      <c r="S106" s="492">
        <f t="shared" si="69"/>
        <v>18021.846522475847</v>
      </c>
      <c r="T106" s="489">
        <f t="shared" si="70"/>
        <v>15.117069358610353</v>
      </c>
      <c r="U106" s="493">
        <f t="shared" si="71"/>
        <v>405.42115030277023</v>
      </c>
      <c r="V106" s="492">
        <f t="shared" si="72"/>
        <v>6128.7796485745703</v>
      </c>
      <c r="W106" s="489">
        <f t="shared" si="73"/>
        <v>10.158147679148493</v>
      </c>
      <c r="X106" s="493">
        <f t="shared" si="74"/>
        <v>37.9060089869281</v>
      </c>
      <c r="Y106" s="742">
        <f t="shared" si="75"/>
        <v>385.05483721634562</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86">
        <f t="shared" si="62"/>
        <v>14012.593042181881</v>
      </c>
      <c r="I107" s="487">
        <f>ITECountywide!$B$9*E107</f>
        <v>50.462241810187869</v>
      </c>
      <c r="J107" s="495">
        <f t="shared" si="64"/>
        <v>1.67</v>
      </c>
      <c r="K107" s="372">
        <f t="shared" si="65"/>
        <v>0.64373267284932234</v>
      </c>
      <c r="L107" s="488">
        <f>Passby_Length_Adj!H102</f>
        <v>0.69486404833836857</v>
      </c>
      <c r="M107" s="488">
        <f>Passby_Length_Adj!J102</f>
        <v>0.78500000000000003</v>
      </c>
      <c r="N107" s="372">
        <v>0.5</v>
      </c>
      <c r="O107" s="481">
        <f t="shared" si="66"/>
        <v>0.27273413897280968</v>
      </c>
      <c r="P107" s="489">
        <f t="shared" si="67"/>
        <v>65.677249964953489</v>
      </c>
      <c r="Q107" s="490">
        <f t="shared" si="63"/>
        <v>39.327694589792507</v>
      </c>
      <c r="R107" s="491">
        <f t="shared" si="68"/>
        <v>261.71052631578948</v>
      </c>
      <c r="S107" s="492">
        <f t="shared" si="69"/>
        <v>10292.471649881223</v>
      </c>
      <c r="T107" s="489">
        <f t="shared" si="70"/>
        <v>8.6335219650627621</v>
      </c>
      <c r="U107" s="493">
        <f t="shared" si="71"/>
        <v>405.42115030277023</v>
      </c>
      <c r="V107" s="492">
        <f t="shared" si="72"/>
        <v>3500.2124062399785</v>
      </c>
      <c r="W107" s="489">
        <f t="shared" si="73"/>
        <v>5.8014281096307538</v>
      </c>
      <c r="X107" s="493">
        <f t="shared" si="74"/>
        <v>37.9060089869281</v>
      </c>
      <c r="Y107" s="742">
        <f t="shared" si="75"/>
        <v>219.90898606068066</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86">
        <f t="shared" si="62"/>
        <v>27854.055278532527</v>
      </c>
      <c r="I108" s="487">
        <f>ITECountywide!$B$9*E108</f>
        <v>100.30820624194673</v>
      </c>
      <c r="J108" s="495">
        <f t="shared" si="64"/>
        <v>1.67</v>
      </c>
      <c r="K108" s="372">
        <f t="shared" si="65"/>
        <v>0.64373267284932234</v>
      </c>
      <c r="L108" s="488">
        <f>Passby_Length_Adj!H103</f>
        <v>0.69486404833836857</v>
      </c>
      <c r="M108" s="488">
        <f>Passby_Length_Adj!J103</f>
        <v>0.78500000000000003</v>
      </c>
      <c r="N108" s="372">
        <v>0.5</v>
      </c>
      <c r="O108" s="481">
        <f t="shared" si="66"/>
        <v>0.27273413897280968</v>
      </c>
      <c r="P108" s="489">
        <f t="shared" si="67"/>
        <v>130.55240707832351</v>
      </c>
      <c r="Q108" s="490">
        <f t="shared" si="63"/>
        <v>78.175094058876354</v>
      </c>
      <c r="R108" s="491">
        <f t="shared" si="68"/>
        <v>261.71052631578948</v>
      </c>
      <c r="S108" s="492">
        <f t="shared" si="69"/>
        <v>20459.245010934879</v>
      </c>
      <c r="T108" s="489">
        <f t="shared" si="70"/>
        <v>17.16160580267864</v>
      </c>
      <c r="U108" s="493">
        <f t="shared" si="71"/>
        <v>405.42115030277023</v>
      </c>
      <c r="V108" s="492">
        <f t="shared" si="72"/>
        <v>6957.6779655646706</v>
      </c>
      <c r="W108" s="489">
        <f t="shared" si="73"/>
        <v>11.532005444934121</v>
      </c>
      <c r="X108" s="493">
        <f t="shared" si="74"/>
        <v>37.9060089869281</v>
      </c>
      <c r="Y108" s="742">
        <f t="shared" si="75"/>
        <v>437.13230203297661</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86">
        <f t="shared" si="62"/>
        <v>22618.228434258956</v>
      </c>
      <c r="I109" s="487">
        <f>ITECountywide!$B$9*E109</f>
        <v>51.694796567045906</v>
      </c>
      <c r="J109" s="495">
        <f t="shared" si="64"/>
        <v>1.67</v>
      </c>
      <c r="K109" s="372">
        <f t="shared" si="65"/>
        <v>0.64373267284932234</v>
      </c>
      <c r="L109" s="488">
        <f>Passby_Length_Adj!H104</f>
        <v>0.8594671567024027</v>
      </c>
      <c r="M109" s="488">
        <f>Passby_Length_Adj!J104</f>
        <v>1</v>
      </c>
      <c r="N109" s="372">
        <v>0.5</v>
      </c>
      <c r="O109" s="481">
        <f t="shared" si="66"/>
        <v>0.42973357835120135</v>
      </c>
      <c r="P109" s="489">
        <f t="shared" si="67"/>
        <v>106.01200207338201</v>
      </c>
      <c r="Q109" s="490">
        <f t="shared" si="63"/>
        <v>63.480240762504195</v>
      </c>
      <c r="R109" s="491">
        <f t="shared" si="68"/>
        <v>261.71052631578948</v>
      </c>
      <c r="S109" s="492">
        <f t="shared" si="69"/>
        <v>16613.447220608006</v>
      </c>
      <c r="T109" s="489">
        <f t="shared" si="70"/>
        <v>13.935677102028778</v>
      </c>
      <c r="U109" s="493">
        <f t="shared" si="71"/>
        <v>405.42115030277023</v>
      </c>
      <c r="V109" s="492">
        <f t="shared" si="72"/>
        <v>5649.8182409524825</v>
      </c>
      <c r="W109" s="489">
        <f t="shared" si="73"/>
        <v>9.3642929494602445</v>
      </c>
      <c r="X109" s="493">
        <f t="shared" si="74"/>
        <v>37.9060089869281</v>
      </c>
      <c r="Y109" s="742">
        <f t="shared" si="75"/>
        <v>354.96297269846747</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86">
        <f t="shared" si="62"/>
        <v>17336.565645714792</v>
      </c>
      <c r="I110" s="487">
        <f>ITECountywide!$B$9*E110</f>
        <v>193.54734843720766</v>
      </c>
      <c r="J110" s="495">
        <f t="shared" si="64"/>
        <v>1.67</v>
      </c>
      <c r="K110" s="372">
        <f t="shared" si="65"/>
        <v>0.64373267284932234</v>
      </c>
      <c r="L110" s="488">
        <f>Passby_Length_Adj!H105</f>
        <v>0.31419939577039274</v>
      </c>
      <c r="M110" s="488">
        <f>Passby_Length_Adj!J105</f>
        <v>0.56000000000000005</v>
      </c>
      <c r="N110" s="372">
        <v>0.5</v>
      </c>
      <c r="O110" s="481">
        <f t="shared" si="66"/>
        <v>8.7975830815709977E-2</v>
      </c>
      <c r="P110" s="489">
        <f t="shared" si="67"/>
        <v>81.256763257155356</v>
      </c>
      <c r="Q110" s="490">
        <f t="shared" si="63"/>
        <v>48.656744465362493</v>
      </c>
      <c r="R110" s="491">
        <f t="shared" si="68"/>
        <v>261.71052631578948</v>
      </c>
      <c r="S110" s="492">
        <f t="shared" si="69"/>
        <v>12733.982202842895</v>
      </c>
      <c r="T110" s="489">
        <f t="shared" si="70"/>
        <v>10.681507687439792</v>
      </c>
      <c r="U110" s="493">
        <f t="shared" si="71"/>
        <v>405.42115030277023</v>
      </c>
      <c r="V110" s="492">
        <f t="shared" si="72"/>
        <v>4330.5091336097239</v>
      </c>
      <c r="W110" s="489">
        <f t="shared" si="73"/>
        <v>7.1776036711223812</v>
      </c>
      <c r="X110" s="493">
        <f t="shared" si="74"/>
        <v>37.9060089869281</v>
      </c>
      <c r="Y110" s="742">
        <f t="shared" si="75"/>
        <v>272.07430926217313</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86">
        <f t="shared" si="62"/>
        <v>156812.78844446765</v>
      </c>
      <c r="I111" s="487">
        <f>ITECountywide!$B$9*E111</f>
        <v>1381.6938824378594</v>
      </c>
      <c r="J111" s="495">
        <f t="shared" si="64"/>
        <v>1.67</v>
      </c>
      <c r="K111" s="372">
        <f t="shared" si="65"/>
        <v>0.64373267284932234</v>
      </c>
      <c r="L111" s="488">
        <f>Passby_Length_Adj!H106</f>
        <v>0.32930513595166166</v>
      </c>
      <c r="M111" s="488">
        <f>Passby_Length_Adj!J106</f>
        <v>0.67700000000000005</v>
      </c>
      <c r="N111" s="372">
        <v>0.5</v>
      </c>
      <c r="O111" s="481">
        <f t="shared" si="66"/>
        <v>0.11146978851963749</v>
      </c>
      <c r="P111" s="489">
        <f t="shared" si="67"/>
        <v>734.98407278122329</v>
      </c>
      <c r="Q111" s="490">
        <f t="shared" si="63"/>
        <v>440.11022322228939</v>
      </c>
      <c r="R111" s="491">
        <f t="shared" si="68"/>
        <v>261.71052631578948</v>
      </c>
      <c r="S111" s="492">
        <f t="shared" si="69"/>
        <v>115181.47815646495</v>
      </c>
      <c r="T111" s="489">
        <f t="shared" si="70"/>
        <v>96.616425622480349</v>
      </c>
      <c r="U111" s="493">
        <f t="shared" si="71"/>
        <v>405.42115030277023</v>
      </c>
      <c r="V111" s="492">
        <f t="shared" si="72"/>
        <v>39170.342414008024</v>
      </c>
      <c r="W111" s="489">
        <f t="shared" si="73"/>
        <v>64.922895861796974</v>
      </c>
      <c r="X111" s="493">
        <f t="shared" si="74"/>
        <v>37.9060089869281</v>
      </c>
      <c r="Y111" s="742">
        <f t="shared" si="75"/>
        <v>2460.967873994673</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86">
        <f t="shared" si="62"/>
        <v>128407.59635178246</v>
      </c>
      <c r="I112" s="487">
        <f>ITECountywide!$B$9*E112</f>
        <v>1131.4127635746866</v>
      </c>
      <c r="J112" s="495">
        <f t="shared" si="64"/>
        <v>1.67</v>
      </c>
      <c r="K112" s="372">
        <f t="shared" si="65"/>
        <v>0.64373267284932234</v>
      </c>
      <c r="L112" s="488">
        <f>Passby_Length_Adj!H107</f>
        <v>0.32930513595166166</v>
      </c>
      <c r="M112" s="488">
        <f>Passby_Length_Adj!J107</f>
        <v>0.67700000000000005</v>
      </c>
      <c r="N112" s="372">
        <v>0.5</v>
      </c>
      <c r="O112" s="481">
        <f t="shared" si="66"/>
        <v>0.11146978851963749</v>
      </c>
      <c r="P112" s="489">
        <f t="shared" si="67"/>
        <v>601.84847855124053</v>
      </c>
      <c r="Q112" s="490">
        <f t="shared" si="63"/>
        <v>360.38831050972487</v>
      </c>
      <c r="R112" s="491">
        <f t="shared" si="68"/>
        <v>261.71052631578948</v>
      </c>
      <c r="S112" s="492">
        <f t="shared" si="69"/>
        <v>94317.414421558264</v>
      </c>
      <c r="T112" s="489">
        <f t="shared" si="70"/>
        <v>79.115250135845429</v>
      </c>
      <c r="U112" s="493">
        <f t="shared" si="71"/>
        <v>405.42115030277023</v>
      </c>
      <c r="V112" s="492">
        <f t="shared" si="72"/>
        <v>32074.995716565852</v>
      </c>
      <c r="W112" s="489">
        <f t="shared" si="73"/>
        <v>53.162711335642641</v>
      </c>
      <c r="X112" s="493">
        <f t="shared" si="74"/>
        <v>37.9060089869281</v>
      </c>
      <c r="Y112" s="742">
        <f t="shared" si="75"/>
        <v>2015.1862136583343</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86">
        <f t="shared" si="62"/>
        <v>33150.138448528211</v>
      </c>
      <c r="I113" s="487">
        <f>ITECountywide!$B$9*E113</f>
        <v>75.765865936273457</v>
      </c>
      <c r="J113" s="495">
        <f t="shared" si="64"/>
        <v>1.67</v>
      </c>
      <c r="K113" s="372">
        <f t="shared" si="65"/>
        <v>0.64373267284932234</v>
      </c>
      <c r="L113" s="488">
        <f>Passby_Length_Adj!H108</f>
        <v>0.8594671567024027</v>
      </c>
      <c r="M113" s="488">
        <f>Passby_Length_Adj!J108</f>
        <v>1</v>
      </c>
      <c r="N113" s="372">
        <v>0.5</v>
      </c>
      <c r="O113" s="481">
        <f t="shared" si="66"/>
        <v>0.42973357835120135</v>
      </c>
      <c r="P113" s="489">
        <f t="shared" si="67"/>
        <v>155.37523445537755</v>
      </c>
      <c r="Q113" s="490">
        <f t="shared" si="63"/>
        <v>93.039062548130275</v>
      </c>
      <c r="R113" s="491">
        <f t="shared" si="68"/>
        <v>261.71052631578948</v>
      </c>
      <c r="S113" s="492">
        <f t="shared" si="69"/>
        <v>24349.302027398833</v>
      </c>
      <c r="T113" s="489">
        <f t="shared" si="70"/>
        <v>20.424659988246948</v>
      </c>
      <c r="U113" s="493">
        <f t="shared" si="71"/>
        <v>405.42115030277023</v>
      </c>
      <c r="V113" s="492">
        <f t="shared" si="72"/>
        <v>8280.5891469780436</v>
      </c>
      <c r="W113" s="489">
        <f t="shared" si="73"/>
        <v>13.72466498202799</v>
      </c>
      <c r="X113" s="493">
        <f t="shared" si="74"/>
        <v>37.9060089869281</v>
      </c>
      <c r="Y113" s="742">
        <f t="shared" si="75"/>
        <v>520.24727415133043</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86">
        <f t="shared" si="62"/>
        <v>22800.633502277175</v>
      </c>
      <c r="I114" s="487">
        <f>ITECountywide!$B$9*E114</f>
        <v>52.111690087747888</v>
      </c>
      <c r="J114" s="495">
        <f t="shared" si="64"/>
        <v>1.67</v>
      </c>
      <c r="K114" s="372">
        <f t="shared" si="65"/>
        <v>0.64373267284932234</v>
      </c>
      <c r="L114" s="488">
        <f>Passby_Length_Adj!H109</f>
        <v>0.8594671567024027</v>
      </c>
      <c r="M114" s="488">
        <f>Passby_Length_Adj!J109</f>
        <v>1</v>
      </c>
      <c r="N114" s="372">
        <v>0.5</v>
      </c>
      <c r="O114" s="481">
        <f t="shared" si="66"/>
        <v>0.42973357835120135</v>
      </c>
      <c r="P114" s="489">
        <f t="shared" si="67"/>
        <v>106.86693757397379</v>
      </c>
      <c r="Q114" s="490">
        <f t="shared" si="63"/>
        <v>63.992178188008261</v>
      </c>
      <c r="R114" s="491">
        <f t="shared" si="68"/>
        <v>261.71052631578948</v>
      </c>
      <c r="S114" s="492">
        <f t="shared" si="69"/>
        <v>16747.426633677427</v>
      </c>
      <c r="T114" s="489">
        <f t="shared" si="70"/>
        <v>14.048061594787075</v>
      </c>
      <c r="U114" s="493">
        <f t="shared" si="71"/>
        <v>405.42115030277023</v>
      </c>
      <c r="V114" s="492">
        <f t="shared" si="72"/>
        <v>5695.3812912827452</v>
      </c>
      <c r="W114" s="489">
        <f t="shared" si="73"/>
        <v>9.4398114409881497</v>
      </c>
      <c r="X114" s="493">
        <f t="shared" si="74"/>
        <v>37.9060089869281</v>
      </c>
      <c r="Y114" s="742">
        <f t="shared" si="75"/>
        <v>357.82557731700348</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86">
        <f t="shared" si="62"/>
        <v>24378.833873391311</v>
      </c>
      <c r="I115" s="487">
        <f>ITECountywide!$B$9*E115</f>
        <v>55.718725332082435</v>
      </c>
      <c r="J115" s="495">
        <f t="shared" si="64"/>
        <v>1.67</v>
      </c>
      <c r="K115" s="372">
        <f t="shared" si="65"/>
        <v>0.64373267284932234</v>
      </c>
      <c r="L115" s="488">
        <f>Passby_Length_Adj!H110</f>
        <v>0.8594671567024027</v>
      </c>
      <c r="M115" s="488">
        <f>Passby_Length_Adj!J110</f>
        <v>1</v>
      </c>
      <c r="N115" s="372">
        <v>0.5</v>
      </c>
      <c r="O115" s="481">
        <f t="shared" si="66"/>
        <v>0.42973357835120135</v>
      </c>
      <c r="P115" s="489">
        <f t="shared" si="67"/>
        <v>114.26398820952885</v>
      </c>
      <c r="Q115" s="490">
        <f t="shared" si="63"/>
        <v>68.421549826065174</v>
      </c>
      <c r="R115" s="491">
        <f t="shared" si="68"/>
        <v>261.71052631578948</v>
      </c>
      <c r="S115" s="492">
        <f t="shared" si="69"/>
        <v>17906.639816321531</v>
      </c>
      <c r="T115" s="489">
        <f t="shared" si="70"/>
        <v>15.020431771261032</v>
      </c>
      <c r="U115" s="493">
        <f t="shared" si="71"/>
        <v>405.42115030277023</v>
      </c>
      <c r="V115" s="492">
        <f t="shared" si="72"/>
        <v>6089.600726748924</v>
      </c>
      <c r="W115" s="489">
        <f t="shared" si="73"/>
        <v>10.093210563338287</v>
      </c>
      <c r="X115" s="493">
        <f t="shared" si="74"/>
        <v>37.9060089869281</v>
      </c>
      <c r="Y115" s="742">
        <f t="shared" si="75"/>
        <v>382.59333032085874</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86">
        <f t="shared" si="62"/>
        <v>32555.339313686196</v>
      </c>
      <c r="I116" s="487">
        <f>ITECountywide!$B$9*E116</f>
        <v>74.406430542680027</v>
      </c>
      <c r="J116" s="495">
        <f t="shared" si="64"/>
        <v>1.67</v>
      </c>
      <c r="K116" s="372">
        <f t="shared" si="65"/>
        <v>0.64373267284932234</v>
      </c>
      <c r="L116" s="488">
        <f>Passby_Length_Adj!H111</f>
        <v>0.8594671567024027</v>
      </c>
      <c r="M116" s="488">
        <f>Passby_Length_Adj!J111</f>
        <v>1</v>
      </c>
      <c r="N116" s="372">
        <v>0.5</v>
      </c>
      <c r="O116" s="481">
        <f t="shared" si="66"/>
        <v>0.42973357835120135</v>
      </c>
      <c r="P116" s="489">
        <f t="shared" si="67"/>
        <v>152.5874013012739</v>
      </c>
      <c r="Q116" s="490">
        <f t="shared" si="63"/>
        <v>91.36970137800833</v>
      </c>
      <c r="R116" s="491">
        <f t="shared" si="68"/>
        <v>261.71052631578948</v>
      </c>
      <c r="S116" s="492">
        <f t="shared" si="69"/>
        <v>23912.412636955076</v>
      </c>
      <c r="T116" s="489">
        <f t="shared" si="70"/>
        <v>20.058188816209022</v>
      </c>
      <c r="U116" s="493">
        <f t="shared" si="71"/>
        <v>405.42115030277023</v>
      </c>
      <c r="V116" s="492">
        <f t="shared" si="72"/>
        <v>8132.013982857623</v>
      </c>
      <c r="W116" s="489">
        <f t="shared" si="73"/>
        <v>13.478409031393515</v>
      </c>
      <c r="X116" s="493">
        <f t="shared" si="74"/>
        <v>37.9060089869281</v>
      </c>
      <c r="Y116" s="742">
        <f t="shared" si="75"/>
        <v>510.91269387349541</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86">
        <f t="shared" si="62"/>
        <v>113884.20768441747</v>
      </c>
      <c r="I117" s="487">
        <f>ITECountywide!$B$9*E117</f>
        <v>260.28656336002075</v>
      </c>
      <c r="J117" s="495">
        <f t="shared" si="64"/>
        <v>1.67</v>
      </c>
      <c r="K117" s="372">
        <f t="shared" si="65"/>
        <v>0.64373267284932234</v>
      </c>
      <c r="L117" s="488">
        <f>Passby_Length_Adj!H112</f>
        <v>0.8594671567024027</v>
      </c>
      <c r="M117" s="488">
        <f>Passby_Length_Adj!J112</f>
        <v>1</v>
      </c>
      <c r="N117" s="372">
        <v>0.5</v>
      </c>
      <c r="O117" s="481">
        <f t="shared" si="66"/>
        <v>0.42973357835120135</v>
      </c>
      <c r="P117" s="489">
        <f t="shared" si="67"/>
        <v>533.77712123904826</v>
      </c>
      <c r="Q117" s="490">
        <f t="shared" si="63"/>
        <v>319.62701870601694</v>
      </c>
      <c r="R117" s="491">
        <f t="shared" si="68"/>
        <v>261.71052631578948</v>
      </c>
      <c r="S117" s="492">
        <f t="shared" si="69"/>
        <v>83649.755290298388</v>
      </c>
      <c r="T117" s="489">
        <f t="shared" si="70"/>
        <v>70.167013739527789</v>
      </c>
      <c r="U117" s="493">
        <f t="shared" si="71"/>
        <v>405.42115030277023</v>
      </c>
      <c r="V117" s="492">
        <f t="shared" si="72"/>
        <v>28447.19142358964</v>
      </c>
      <c r="W117" s="489">
        <f t="shared" si="73"/>
        <v>47.149806014813855</v>
      </c>
      <c r="X117" s="493">
        <f t="shared" si="74"/>
        <v>37.9060089869281</v>
      </c>
      <c r="Y117" s="742">
        <f t="shared" si="75"/>
        <v>1787.2609705294506</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86">
        <f t="shared" si="62"/>
        <v>15861.31026245369</v>
      </c>
      <c r="I118" s="487">
        <f>ITECountywide!$B$9*E118</f>
        <v>36.251610495824622</v>
      </c>
      <c r="J118" s="495">
        <f t="shared" si="64"/>
        <v>1.67</v>
      </c>
      <c r="K118" s="372">
        <f t="shared" si="65"/>
        <v>0.64373267284932234</v>
      </c>
      <c r="L118" s="488">
        <f>Passby_Length_Adj!H113</f>
        <v>0.8594671567024027</v>
      </c>
      <c r="M118" s="488">
        <f>Passby_Length_Adj!J113</f>
        <v>1</v>
      </c>
      <c r="N118" s="372">
        <v>0.5</v>
      </c>
      <c r="O118" s="481">
        <f t="shared" si="66"/>
        <v>0.42973357835120135</v>
      </c>
      <c r="P118" s="489">
        <f t="shared" si="67"/>
        <v>74.342217442764394</v>
      </c>
      <c r="Q118" s="490">
        <f t="shared" si="63"/>
        <v>44.516297869918802</v>
      </c>
      <c r="R118" s="491">
        <f t="shared" si="68"/>
        <v>261.71052631578948</v>
      </c>
      <c r="S118" s="492">
        <f t="shared" si="69"/>
        <v>11650.383745166908</v>
      </c>
      <c r="T118" s="489">
        <f t="shared" si="70"/>
        <v>9.7725645876779659</v>
      </c>
      <c r="U118" s="493">
        <f t="shared" si="71"/>
        <v>405.42115030277023</v>
      </c>
      <c r="V118" s="492">
        <f t="shared" si="72"/>
        <v>3962.0043765445184</v>
      </c>
      <c r="W118" s="489">
        <f t="shared" si="73"/>
        <v>6.5668253502526275</v>
      </c>
      <c r="X118" s="493">
        <f t="shared" si="74"/>
        <v>37.9060089869281</v>
      </c>
      <c r="Y118" s="742">
        <f t="shared" si="75"/>
        <v>248.92214074226337</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86">
        <f t="shared" si="62"/>
        <v>18145.338940247017</v>
      </c>
      <c r="I119" s="487">
        <f>ITECountywide!$B$9*E119</f>
        <v>41.471842407223363</v>
      </c>
      <c r="J119" s="495">
        <f t="shared" si="64"/>
        <v>1.67</v>
      </c>
      <c r="K119" s="372">
        <f t="shared" si="65"/>
        <v>0.64373267284932234</v>
      </c>
      <c r="L119" s="488">
        <f>Passby_Length_Adj!H114</f>
        <v>0.8594671567024027</v>
      </c>
      <c r="M119" s="488">
        <f>Passby_Length_Adj!J114</f>
        <v>1</v>
      </c>
      <c r="N119" s="372">
        <v>0.5</v>
      </c>
      <c r="O119" s="481">
        <f t="shared" si="66"/>
        <v>0.42973357835120135</v>
      </c>
      <c r="P119" s="489">
        <f t="shared" si="67"/>
        <v>85.047496754522442</v>
      </c>
      <c r="Q119" s="490">
        <f t="shared" si="63"/>
        <v>50.926644763187092</v>
      </c>
      <c r="R119" s="491">
        <f t="shared" si="68"/>
        <v>261.71052631578948</v>
      </c>
      <c r="S119" s="492">
        <f t="shared" si="69"/>
        <v>13328.039004470938</v>
      </c>
      <c r="T119" s="489">
        <f t="shared" si="70"/>
        <v>11.179813888303592</v>
      </c>
      <c r="U119" s="493">
        <f t="shared" si="71"/>
        <v>405.42115030277023</v>
      </c>
      <c r="V119" s="492">
        <f t="shared" si="72"/>
        <v>4532.5330067669283</v>
      </c>
      <c r="W119" s="489">
        <f t="shared" si="73"/>
        <v>7.5124482006890041</v>
      </c>
      <c r="X119" s="493">
        <f t="shared" si="74"/>
        <v>37.9060089869281</v>
      </c>
      <c r="Y119" s="742">
        <f t="shared" si="75"/>
        <v>284.76692900914924</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86">
        <f t="shared" si="62"/>
        <v>52659.550071346253</v>
      </c>
      <c r="I120" s="487">
        <f>ITECountywide!$B$9*E120</f>
        <v>120.35534684613775</v>
      </c>
      <c r="J120" s="495">
        <f t="shared" si="64"/>
        <v>1.67</v>
      </c>
      <c r="K120" s="372">
        <f t="shared" si="65"/>
        <v>0.64373267284932234</v>
      </c>
      <c r="L120" s="488">
        <f>Passby_Length_Adj!H115</f>
        <v>0.8594671567024027</v>
      </c>
      <c r="M120" s="488">
        <f>Passby_Length_Adj!J115</f>
        <v>1</v>
      </c>
      <c r="N120" s="372">
        <v>0.5</v>
      </c>
      <c r="O120" s="481">
        <f t="shared" si="66"/>
        <v>0.42973357835120135</v>
      </c>
      <c r="P120" s="489">
        <f t="shared" si="67"/>
        <v>246.81616190997778</v>
      </c>
      <c r="Q120" s="490">
        <f t="shared" si="63"/>
        <v>147.79410892813041</v>
      </c>
      <c r="R120" s="491">
        <f t="shared" si="68"/>
        <v>261.71052631578948</v>
      </c>
      <c r="S120" s="492">
        <f t="shared" si="69"/>
        <v>38679.274033954134</v>
      </c>
      <c r="T120" s="489">
        <f t="shared" si="70"/>
        <v>32.444914431090851</v>
      </c>
      <c r="U120" s="493">
        <f t="shared" si="71"/>
        <v>405.42115030277023</v>
      </c>
      <c r="V120" s="492">
        <f t="shared" si="72"/>
        <v>13153.854530127803</v>
      </c>
      <c r="W120" s="489">
        <f t="shared" si="73"/>
        <v>21.801860162838722</v>
      </c>
      <c r="X120" s="493">
        <f t="shared" si="74"/>
        <v>37.9060089869281</v>
      </c>
      <c r="Y120" s="742">
        <f t="shared" si="75"/>
        <v>826.4215072643143</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86">
        <f t="shared" si="62"/>
        <v>44847.854767087796</v>
      </c>
      <c r="I121" s="487">
        <f>ITECountywide!$B$9*E121</f>
        <v>102.5014286769441</v>
      </c>
      <c r="J121" s="495">
        <f t="shared" si="64"/>
        <v>1.67</v>
      </c>
      <c r="K121" s="372">
        <f t="shared" si="65"/>
        <v>0.64373267284932234</v>
      </c>
      <c r="L121" s="488">
        <f>Passby_Length_Adj!H116</f>
        <v>0.8594671567024027</v>
      </c>
      <c r="M121" s="488">
        <f>Passby_Length_Adj!J116</f>
        <v>1</v>
      </c>
      <c r="N121" s="372">
        <v>0.5</v>
      </c>
      <c r="O121" s="481">
        <f t="shared" si="66"/>
        <v>0.42973357835120135</v>
      </c>
      <c r="P121" s="489">
        <f t="shared" si="67"/>
        <v>210.20261981941627</v>
      </c>
      <c r="Q121" s="490">
        <f t="shared" si="63"/>
        <v>125.86983222719537</v>
      </c>
      <c r="R121" s="491">
        <f t="shared" si="68"/>
        <v>261.71052631578948</v>
      </c>
      <c r="S121" s="492">
        <f t="shared" si="69"/>
        <v>32941.460039459424</v>
      </c>
      <c r="T121" s="489">
        <f t="shared" si="70"/>
        <v>27.631926371659446</v>
      </c>
      <c r="U121" s="493">
        <f t="shared" si="71"/>
        <v>405.42115030277023</v>
      </c>
      <c r="V121" s="492">
        <f t="shared" si="72"/>
        <v>11202.567374679626</v>
      </c>
      <c r="W121" s="489">
        <f t="shared" si="73"/>
        <v>18.567698677839299</v>
      </c>
      <c r="X121" s="493">
        <f t="shared" si="74"/>
        <v>37.9060089869281</v>
      </c>
      <c r="Y121" s="742">
        <f t="shared" si="75"/>
        <v>703.82735294874954</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86">
        <f t="shared" si="62"/>
        <v>8461.7173161537103</v>
      </c>
      <c r="I122" s="487">
        <f>ITECountywide!$B$9*E122</f>
        <v>163.27725367319408</v>
      </c>
      <c r="J122" s="495">
        <f t="shared" si="64"/>
        <v>1.67</v>
      </c>
      <c r="K122" s="372">
        <f t="shared" si="65"/>
        <v>0.64373267284932234</v>
      </c>
      <c r="L122" s="488">
        <f>Passby_Length_Adj!H117</f>
        <v>0.31419939577039274</v>
      </c>
      <c r="M122" s="488">
        <f>Passby_Length_Adj!J117</f>
        <v>0.32400000000000001</v>
      </c>
      <c r="N122" s="372">
        <v>0.5</v>
      </c>
      <c r="O122" s="481">
        <f t="shared" si="66"/>
        <v>5.0900302114803626E-2</v>
      </c>
      <c r="P122" s="489">
        <f t="shared" si="67"/>
        <v>39.660205761550372</v>
      </c>
      <c r="Q122" s="490">
        <f t="shared" si="63"/>
        <v>23.748626204521184</v>
      </c>
      <c r="R122" s="491">
        <f t="shared" si="68"/>
        <v>261.71052631578948</v>
      </c>
      <c r="S122" s="492">
        <f t="shared" si="69"/>
        <v>6215.2654632621889</v>
      </c>
      <c r="T122" s="489">
        <f t="shared" si="70"/>
        <v>5.2134834781293105</v>
      </c>
      <c r="U122" s="493">
        <f t="shared" si="71"/>
        <v>405.42115030277023</v>
      </c>
      <c r="V122" s="492">
        <f t="shared" si="72"/>
        <v>2113.6564687876726</v>
      </c>
      <c r="W122" s="489">
        <f t="shared" si="73"/>
        <v>3.5032805524222712</v>
      </c>
      <c r="X122" s="493">
        <f t="shared" si="74"/>
        <v>37.9060089869281</v>
      </c>
      <c r="Y122" s="742">
        <f t="shared" si="75"/>
        <v>132.79538410384905</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86">
        <f t="shared" si="62"/>
        <v>10254.008239690709</v>
      </c>
      <c r="I123" s="487">
        <f>ITECountywide!$B$9*E123</f>
        <v>197.86129008621077</v>
      </c>
      <c r="J123" s="495">
        <f t="shared" si="64"/>
        <v>1.67</v>
      </c>
      <c r="K123" s="372">
        <f t="shared" si="65"/>
        <v>0.64373267284932234</v>
      </c>
      <c r="L123" s="488">
        <f>Passby_Length_Adj!H118</f>
        <v>0.31419939577039274</v>
      </c>
      <c r="M123" s="488">
        <f>Passby_Length_Adj!J118</f>
        <v>0.32400000000000001</v>
      </c>
      <c r="N123" s="372">
        <v>0.5</v>
      </c>
      <c r="O123" s="481">
        <f t="shared" si="66"/>
        <v>5.0900302114803626E-2</v>
      </c>
      <c r="P123" s="489">
        <f t="shared" si="67"/>
        <v>48.060702274987101</v>
      </c>
      <c r="Q123" s="490">
        <f t="shared" si="63"/>
        <v>28.778863637716828</v>
      </c>
      <c r="R123" s="491">
        <f t="shared" si="68"/>
        <v>261.71052631578948</v>
      </c>
      <c r="S123" s="492">
        <f t="shared" si="69"/>
        <v>7531.7315493972073</v>
      </c>
      <c r="T123" s="489">
        <f t="shared" si="70"/>
        <v>6.317760396010164</v>
      </c>
      <c r="U123" s="493">
        <f t="shared" si="71"/>
        <v>405.42115030277023</v>
      </c>
      <c r="V123" s="492">
        <f t="shared" si="72"/>
        <v>2561.353687087726</v>
      </c>
      <c r="W123" s="489">
        <f t="shared" si="73"/>
        <v>4.2453164420783214</v>
      </c>
      <c r="X123" s="493">
        <f t="shared" si="74"/>
        <v>37.9060089869281</v>
      </c>
      <c r="Y123" s="742">
        <f t="shared" si="75"/>
        <v>160.92300320577448</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86">
        <f t="shared" si="62"/>
        <v>200407.65516610234</v>
      </c>
      <c r="I124" s="487">
        <f>ITECountywide!$B$9*E124</f>
        <v>458.03909861474403</v>
      </c>
      <c r="J124" s="495">
        <f t="shared" si="64"/>
        <v>1.67</v>
      </c>
      <c r="K124" s="372">
        <f t="shared" si="65"/>
        <v>0.64373267284932234</v>
      </c>
      <c r="L124" s="488">
        <f>Passby_Length_Adj!H119</f>
        <v>0.8594671567024027</v>
      </c>
      <c r="M124" s="488">
        <f>Passby_Length_Adj!J119</f>
        <v>1</v>
      </c>
      <c r="N124" s="372">
        <v>0.5</v>
      </c>
      <c r="O124" s="481">
        <f t="shared" si="66"/>
        <v>0.42973357835120135</v>
      </c>
      <c r="P124" s="489">
        <f t="shared" si="67"/>
        <v>939.31391738932791</v>
      </c>
      <c r="Q124" s="490">
        <f t="shared" si="63"/>
        <v>562.46342358642391</v>
      </c>
      <c r="R124" s="491">
        <f t="shared" si="68"/>
        <v>261.71052631578948</v>
      </c>
      <c r="S124" s="492">
        <f t="shared" si="69"/>
        <v>147202.59862018385</v>
      </c>
      <c r="T124" s="489">
        <f t="shared" si="70"/>
        <v>123.47635356531109</v>
      </c>
      <c r="U124" s="493">
        <f t="shared" si="71"/>
        <v>405.42115030277023</v>
      </c>
      <c r="V124" s="492">
        <f t="shared" si="72"/>
        <v>50059.925297639988</v>
      </c>
      <c r="W124" s="489">
        <f t="shared" si="73"/>
        <v>82.971838300441917</v>
      </c>
      <c r="X124" s="493">
        <f t="shared" si="74"/>
        <v>37.9060089869281</v>
      </c>
      <c r="Y124" s="742">
        <f t="shared" si="75"/>
        <v>3145.1312482784965</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86">
        <f t="shared" si="62"/>
        <v>2898.5374672254902</v>
      </c>
      <c r="I125" s="487">
        <f>ITECountywide!$B$9*E125</f>
        <v>11.419257306184756</v>
      </c>
      <c r="J125" s="495">
        <f t="shared" si="64"/>
        <v>1.67</v>
      </c>
      <c r="K125" s="372">
        <f t="shared" si="65"/>
        <v>0.64373267284932234</v>
      </c>
      <c r="L125" s="488">
        <f>Passby_Length_Adj!H120</f>
        <v>0.91993957703927487</v>
      </c>
      <c r="M125" s="488">
        <f>Passby_Length_Adj!J120</f>
        <v>0.54200000000000004</v>
      </c>
      <c r="N125" s="372">
        <v>0.5</v>
      </c>
      <c r="O125" s="481">
        <f t="shared" si="66"/>
        <v>0.2493036253776435</v>
      </c>
      <c r="P125" s="489">
        <f t="shared" si="67"/>
        <v>13.585491935339167</v>
      </c>
      <c r="Q125" s="490">
        <f t="shared" si="63"/>
        <v>8.1350251109815375</v>
      </c>
      <c r="R125" s="491">
        <f t="shared" si="68"/>
        <v>261.71052631578948</v>
      </c>
      <c r="S125" s="492">
        <f t="shared" si="69"/>
        <v>2129.0217033871418</v>
      </c>
      <c r="T125" s="489">
        <f t="shared" si="70"/>
        <v>1.785864101991512</v>
      </c>
      <c r="U125" s="493">
        <f t="shared" si="71"/>
        <v>405.42115030277023</v>
      </c>
      <c r="V125" s="492">
        <f t="shared" si="72"/>
        <v>724.02707851382263</v>
      </c>
      <c r="W125" s="489">
        <f t="shared" si="73"/>
        <v>1.2000388999066758</v>
      </c>
      <c r="X125" s="493">
        <f t="shared" si="74"/>
        <v>37.9060089869281</v>
      </c>
      <c r="Y125" s="742">
        <f t="shared" si="75"/>
        <v>45.488685324525761</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86">
        <f t="shared" si="62"/>
        <v>57357.264251924214</v>
      </c>
      <c r="I126" s="487">
        <f>ITECountywide!$B$9*E126</f>
        <v>183.95879746106203</v>
      </c>
      <c r="J126" s="495">
        <f t="shared" si="64"/>
        <v>1.67</v>
      </c>
      <c r="K126" s="372">
        <f t="shared" si="65"/>
        <v>0.64373267284932234</v>
      </c>
      <c r="L126" s="488">
        <f>Passby_Length_Adj!H121</f>
        <v>0.61247081225203326</v>
      </c>
      <c r="M126" s="488">
        <f>Passby_Length_Adj!J121</f>
        <v>1</v>
      </c>
      <c r="N126" s="372">
        <v>0.5</v>
      </c>
      <c r="O126" s="481">
        <f t="shared" si="66"/>
        <v>0.30623540612601663</v>
      </c>
      <c r="P126" s="489">
        <f t="shared" si="67"/>
        <v>268.83442416686017</v>
      </c>
      <c r="Q126" s="490">
        <f t="shared" si="63"/>
        <v>160.9786971059043</v>
      </c>
      <c r="R126" s="491">
        <f t="shared" si="68"/>
        <v>261.71052631578948</v>
      </c>
      <c r="S126" s="492">
        <f t="shared" si="69"/>
        <v>42129.819545216269</v>
      </c>
      <c r="T126" s="489">
        <f t="shared" si="70"/>
        <v>35.339297964639293</v>
      </c>
      <c r="U126" s="493">
        <f t="shared" si="71"/>
        <v>405.42115030277023</v>
      </c>
      <c r="V126" s="492">
        <f t="shared" si="72"/>
        <v>14327.298831716409</v>
      </c>
      <c r="W126" s="489">
        <f t="shared" si="73"/>
        <v>23.746785774834695</v>
      </c>
      <c r="X126" s="493">
        <f t="shared" si="74"/>
        <v>37.9060089869281</v>
      </c>
      <c r="Y126" s="742">
        <f t="shared" si="75"/>
        <v>900.14587499154027</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86">
        <f t="shared" si="62"/>
        <v>24788.925942961552</v>
      </c>
      <c r="I128" s="487">
        <f>ITECountywide!$B$9*E128</f>
        <v>283.63260051933179</v>
      </c>
      <c r="J128" s="495">
        <f t="shared" ref="J128:J137" si="76">IF(F128="Prod",$M$3,$M$4)</f>
        <v>1.67</v>
      </c>
      <c r="K128" s="372">
        <f t="shared" ref="K128:K137" si="77">IF(F128="Prod",$F$4,$F$5)</f>
        <v>0.64373267284932234</v>
      </c>
      <c r="L128" s="488">
        <f>Passby_Length_Adj!H123</f>
        <v>0.37160120845921452</v>
      </c>
      <c r="M128" s="488">
        <f>Passby_Length_Adj!J123</f>
        <v>0.46200000000000002</v>
      </c>
      <c r="N128" s="372">
        <v>0.5</v>
      </c>
      <c r="O128" s="481">
        <f t="shared" ref="O128:O137" si="78">L128*M128*N128</f>
        <v>8.5839879154078563E-2</v>
      </c>
      <c r="P128" s="489">
        <f t="shared" ref="P128:P137" si="79">IF($F128="Prod",$I128*$O128*$F$4*$F$6,$I128*O128*$F$5*$F$7)</f>
        <v>116.18609636472405</v>
      </c>
      <c r="Q128" s="490">
        <f>+P128/J128</f>
        <v>69.572512793247938</v>
      </c>
      <c r="R128" s="491">
        <f t="shared" ref="R128:R137" si="80">+$Q$4</f>
        <v>261.71052631578948</v>
      </c>
      <c r="S128" s="492">
        <f t="shared" ref="S128:S137" si="81">+Q128*R128</f>
        <v>18207.858940232916</v>
      </c>
      <c r="T128" s="489">
        <f t="shared" ref="T128:T137" si="82">IF($F128="Prod",$I128*$O128*$G$4*$G$6,$I128*$O128*$G$5*$G$7)</f>
        <v>15.27310013033452</v>
      </c>
      <c r="U128" s="493">
        <f t="shared" ref="U128:U137" si="83">+$R$4</f>
        <v>405.42115030277023</v>
      </c>
      <c r="V128" s="492">
        <f t="shared" ref="V128:V137" si="84">+T128*U128</f>
        <v>6192.0378235296112</v>
      </c>
      <c r="W128" s="489">
        <f t="shared" ref="W128:W137" si="85">IF($F128="Prod",$I128*$O128*$J$4*$J$6,$I128*$O128*$J$5*$J$7)</f>
        <v>10.262994960328877</v>
      </c>
      <c r="X128" s="493">
        <f t="shared" ref="X128:X137" si="86">+$S$4</f>
        <v>37.9060089869281</v>
      </c>
      <c r="Y128" s="742">
        <f t="shared" ref="Y128:Y137" si="87">+W128*X128</f>
        <v>389.02917919902421</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86">
        <f t="shared" si="62"/>
        <v>15846.346255588216</v>
      </c>
      <c r="I129" s="487">
        <f>ITECountywide!$B$9*E129</f>
        <v>181.31242989486685</v>
      </c>
      <c r="J129" s="495">
        <f t="shared" si="76"/>
        <v>1.67</v>
      </c>
      <c r="K129" s="372">
        <f t="shared" si="77"/>
        <v>0.64373267284932234</v>
      </c>
      <c r="L129" s="488">
        <f>Passby_Length_Adj!H124</f>
        <v>0.37160120845921452</v>
      </c>
      <c r="M129" s="488">
        <f>Passby_Length_Adj!J124</f>
        <v>0.46200000000000002</v>
      </c>
      <c r="N129" s="372">
        <v>0.5</v>
      </c>
      <c r="O129" s="481">
        <f t="shared" si="78"/>
        <v>8.5839879154078563E-2</v>
      </c>
      <c r="P129" s="489">
        <f t="shared" si="79"/>
        <v>74.272080900839399</v>
      </c>
      <c r="Q129" s="490">
        <f t="shared" si="63"/>
        <v>44.474299940622394</v>
      </c>
      <c r="R129" s="491">
        <f t="shared" si="80"/>
        <v>261.71052631578948</v>
      </c>
      <c r="S129" s="492">
        <f t="shared" si="81"/>
        <v>11639.392444986572</v>
      </c>
      <c r="T129" s="489">
        <f t="shared" si="82"/>
        <v>9.763344874983142</v>
      </c>
      <c r="U129" s="493">
        <f t="shared" si="83"/>
        <v>405.42115030277023</v>
      </c>
      <c r="V129" s="492">
        <f t="shared" si="84"/>
        <v>3958.2665100183217</v>
      </c>
      <c r="W129" s="489">
        <f t="shared" si="85"/>
        <v>6.5606300222501135</v>
      </c>
      <c r="X129" s="493">
        <f t="shared" si="86"/>
        <v>37.9060089869281</v>
      </c>
      <c r="Y129" s="742">
        <f t="shared" si="87"/>
        <v>248.68730058332309</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86">
        <f t="shared" si="62"/>
        <v>28144.793825073641</v>
      </c>
      <c r="I130" s="487">
        <f>ITECountywide!$B$9*E130</f>
        <v>151.96675119849681</v>
      </c>
      <c r="J130" s="495">
        <f t="shared" si="76"/>
        <v>1.67</v>
      </c>
      <c r="K130" s="372">
        <f t="shared" si="77"/>
        <v>0.64373267284932234</v>
      </c>
      <c r="L130" s="488">
        <f>Passby_Length_Adj!H125</f>
        <v>0.47432024169184289</v>
      </c>
      <c r="M130" s="488">
        <f>Passby_Length_Adj!J125</f>
        <v>0.76700000000000002</v>
      </c>
      <c r="N130" s="372">
        <v>0.5</v>
      </c>
      <c r="O130" s="481">
        <f t="shared" si="78"/>
        <v>0.18190181268882175</v>
      </c>
      <c r="P130" s="489">
        <f t="shared" si="79"/>
        <v>131.91510334290118</v>
      </c>
      <c r="Q130" s="490">
        <f t="shared" si="63"/>
        <v>78.991079846048606</v>
      </c>
      <c r="R130" s="491">
        <f t="shared" si="80"/>
        <v>261.71052631578948</v>
      </c>
      <c r="S130" s="492">
        <f t="shared" si="81"/>
        <v>20672.797080761931</v>
      </c>
      <c r="T130" s="489">
        <f t="shared" si="82"/>
        <v>17.340737360991728</v>
      </c>
      <c r="U130" s="493">
        <f t="shared" si="83"/>
        <v>405.42115030277023</v>
      </c>
      <c r="V130" s="492">
        <f t="shared" si="84"/>
        <v>7030.3016879914903</v>
      </c>
      <c r="W130" s="489">
        <f t="shared" si="85"/>
        <v>11.652375655599583</v>
      </c>
      <c r="X130" s="493">
        <f t="shared" si="86"/>
        <v>37.9060089869281</v>
      </c>
      <c r="Y130" s="742">
        <f t="shared" si="87"/>
        <v>441.69505632021998</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86">
        <f t="shared" si="62"/>
        <v>872.81087720886785</v>
      </c>
      <c r="I131" s="487">
        <f>ITECountywide!$B$9*E131</f>
        <v>4.7127093644572007</v>
      </c>
      <c r="J131" s="495">
        <f t="shared" si="76"/>
        <v>1.67</v>
      </c>
      <c r="K131" s="372">
        <f t="shared" si="77"/>
        <v>0.64373267284932234</v>
      </c>
      <c r="L131" s="488">
        <f>Passby_Length_Adj!H126</f>
        <v>0.47432024169184289</v>
      </c>
      <c r="M131" s="488">
        <f>Passby_Length_Adj!J126</f>
        <v>0.76700000000000002</v>
      </c>
      <c r="N131" s="372">
        <v>0.5</v>
      </c>
      <c r="O131" s="481">
        <f t="shared" si="78"/>
        <v>0.18190181268882175</v>
      </c>
      <c r="P131" s="489">
        <f t="shared" si="79"/>
        <v>4.0908786819124892</v>
      </c>
      <c r="Q131" s="490">
        <f t="shared" si="63"/>
        <v>2.4496279532410115</v>
      </c>
      <c r="R131" s="491">
        <f t="shared" si="80"/>
        <v>261.71052631578948</v>
      </c>
      <c r="S131" s="492">
        <f t="shared" si="81"/>
        <v>641.09342092057523</v>
      </c>
      <c r="T131" s="489">
        <f t="shared" si="82"/>
        <v>0.53776141625212903</v>
      </c>
      <c r="U131" s="493">
        <f t="shared" si="83"/>
        <v>405.42115030277023</v>
      </c>
      <c r="V131" s="492">
        <f t="shared" si="84"/>
        <v>218.01985196538499</v>
      </c>
      <c r="W131" s="489">
        <f t="shared" si="85"/>
        <v>0.36135706947231533</v>
      </c>
      <c r="X131" s="493">
        <f t="shared" si="86"/>
        <v>37.9060089869281</v>
      </c>
      <c r="Y131" s="742">
        <f t="shared" si="87"/>
        <v>13.697604322907587</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86">
        <f t="shared" si="62"/>
        <v>35093.747378446293</v>
      </c>
      <c r="I132" s="487">
        <f>ITECountywide!$B$9*E132</f>
        <v>203.3352832710803</v>
      </c>
      <c r="J132" s="495">
        <f t="shared" si="76"/>
        <v>1.67</v>
      </c>
      <c r="K132" s="372">
        <f t="shared" si="77"/>
        <v>0.64373267284932234</v>
      </c>
      <c r="L132" s="488">
        <f>Passby_Length_Adj!H127</f>
        <v>0.47885196374622352</v>
      </c>
      <c r="M132" s="488">
        <f>Passby_Length_Adj!J127</f>
        <v>0.70799999999999996</v>
      </c>
      <c r="N132" s="372">
        <v>0.5</v>
      </c>
      <c r="O132" s="481">
        <f t="shared" si="78"/>
        <v>0.16951359516616313</v>
      </c>
      <c r="P132" s="489">
        <f t="shared" si="79"/>
        <v>164.48496090929513</v>
      </c>
      <c r="Q132" s="490">
        <f t="shared" si="63"/>
        <v>98.493988568440201</v>
      </c>
      <c r="R132" s="491">
        <f t="shared" si="80"/>
        <v>261.71052631578948</v>
      </c>
      <c r="S132" s="492">
        <f t="shared" si="81"/>
        <v>25776.913587187839</v>
      </c>
      <c r="T132" s="489">
        <f t="shared" si="82"/>
        <v>21.622167854023594</v>
      </c>
      <c r="U132" s="493">
        <f t="shared" si="83"/>
        <v>405.42115030277023</v>
      </c>
      <c r="V132" s="492">
        <f t="shared" si="84"/>
        <v>8766.0841634178269</v>
      </c>
      <c r="W132" s="489">
        <f t="shared" si="85"/>
        <v>14.529348843623985</v>
      </c>
      <c r="X132" s="493">
        <f t="shared" si="86"/>
        <v>37.9060089869281</v>
      </c>
      <c r="Y132" s="742">
        <f t="shared" si="87"/>
        <v>550.74962784062416</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86">
        <f t="shared" si="62"/>
        <v>1367.0857197701043</v>
      </c>
      <c r="I133" s="487">
        <f>ITECountywide!$B$9*E133</f>
        <v>7.9209768933376798</v>
      </c>
      <c r="J133" s="495">
        <f t="shared" si="76"/>
        <v>1.67</v>
      </c>
      <c r="K133" s="372">
        <f t="shared" si="77"/>
        <v>0.64373267284932234</v>
      </c>
      <c r="L133" s="488">
        <f>Passby_Length_Adj!H128</f>
        <v>0.47885196374622352</v>
      </c>
      <c r="M133" s="488">
        <f>Passby_Length_Adj!J128</f>
        <v>0.70799999999999996</v>
      </c>
      <c r="N133" s="372">
        <v>0.5</v>
      </c>
      <c r="O133" s="481">
        <f t="shared" si="78"/>
        <v>0.16951359516616313</v>
      </c>
      <c r="P133" s="489">
        <f t="shared" si="79"/>
        <v>6.4075528541060773</v>
      </c>
      <c r="Q133" s="490">
        <f t="shared" si="63"/>
        <v>3.8368579964707052</v>
      </c>
      <c r="R133" s="491">
        <f t="shared" si="80"/>
        <v>261.71052631578948</v>
      </c>
      <c r="S133" s="492">
        <f t="shared" si="81"/>
        <v>1004.1461256552938</v>
      </c>
      <c r="T133" s="489">
        <f t="shared" si="82"/>
        <v>0.84229696489644423</v>
      </c>
      <c r="U133" s="493">
        <f t="shared" si="83"/>
        <v>405.42115030277023</v>
      </c>
      <c r="V133" s="492">
        <f t="shared" si="84"/>
        <v>341.4850044048485</v>
      </c>
      <c r="W133" s="489">
        <f t="shared" si="85"/>
        <v>0.56599442366408292</v>
      </c>
      <c r="X133" s="493">
        <f t="shared" si="86"/>
        <v>37.9060089869281</v>
      </c>
      <c r="Y133" s="742">
        <f t="shared" si="87"/>
        <v>21.454589709961919</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86">
        <f t="shared" si="62"/>
        <v>57282.097273737534</v>
      </c>
      <c r="I134" s="487">
        <f>ITECountywide!$B$9*E134</f>
        <v>627.56975509846791</v>
      </c>
      <c r="J134" s="495">
        <f t="shared" si="76"/>
        <v>1.67</v>
      </c>
      <c r="K134" s="372">
        <f t="shared" si="77"/>
        <v>0.64373267284932234</v>
      </c>
      <c r="L134" s="488">
        <f>Passby_Length_Adj!H129</f>
        <v>0.30966767371601206</v>
      </c>
      <c r="M134" s="488">
        <f>Passby_Length_Adj!J129</f>
        <v>0.57899999999999996</v>
      </c>
      <c r="N134" s="372">
        <v>0.5</v>
      </c>
      <c r="O134" s="481">
        <f t="shared" si="78"/>
        <v>8.9648791540785491E-2</v>
      </c>
      <c r="P134" s="489">
        <f t="shared" si="79"/>
        <v>268.48211532576158</v>
      </c>
      <c r="Q134" s="490">
        <f t="shared" si="63"/>
        <v>160.76773372800096</v>
      </c>
      <c r="R134" s="491">
        <f t="shared" si="80"/>
        <v>261.71052631578948</v>
      </c>
      <c r="S134" s="492">
        <f t="shared" si="81"/>
        <v>42074.608208551828</v>
      </c>
      <c r="T134" s="489">
        <f t="shared" si="82"/>
        <v>35.292985640056067</v>
      </c>
      <c r="U134" s="493">
        <f t="shared" si="83"/>
        <v>405.42115030277023</v>
      </c>
      <c r="V134" s="492">
        <f t="shared" si="84"/>
        <v>14308.522835810681</v>
      </c>
      <c r="W134" s="489">
        <f t="shared" si="85"/>
        <v>23.715665494751228</v>
      </c>
      <c r="X134" s="493">
        <f t="shared" si="86"/>
        <v>37.9060089869281</v>
      </c>
      <c r="Y134" s="742">
        <f t="shared" si="87"/>
        <v>898.9662293750207</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86">
        <f t="shared" si="62"/>
        <v>77916.42466298904</v>
      </c>
      <c r="I135" s="487">
        <f>ITECountywide!$B$9*E135</f>
        <v>853.63479815043024</v>
      </c>
      <c r="J135" s="495">
        <f t="shared" si="76"/>
        <v>1.67</v>
      </c>
      <c r="K135" s="372">
        <f t="shared" si="77"/>
        <v>0.64373267284932234</v>
      </c>
      <c r="L135" s="488">
        <f>Passby_Length_Adj!H130</f>
        <v>0.30966767371601206</v>
      </c>
      <c r="M135" s="488">
        <f>Passby_Length_Adj!J130</f>
        <v>0.57899999999999996</v>
      </c>
      <c r="N135" s="372">
        <v>0.5</v>
      </c>
      <c r="O135" s="481">
        <f t="shared" si="78"/>
        <v>8.9648791540785491E-2</v>
      </c>
      <c r="P135" s="489">
        <f t="shared" si="79"/>
        <v>365.19554115087493</v>
      </c>
      <c r="Q135" s="490">
        <f t="shared" si="63"/>
        <v>218.67996476100296</v>
      </c>
      <c r="R135" s="491">
        <f t="shared" si="80"/>
        <v>261.71052631578948</v>
      </c>
      <c r="S135" s="492">
        <f t="shared" si="81"/>
        <v>57230.848672320382</v>
      </c>
      <c r="T135" s="489">
        <f t="shared" si="82"/>
        <v>48.006329859297018</v>
      </c>
      <c r="U135" s="493">
        <f t="shared" si="83"/>
        <v>405.42115030277023</v>
      </c>
      <c r="V135" s="492">
        <f t="shared" si="84"/>
        <v>19462.781473370422</v>
      </c>
      <c r="W135" s="489">
        <f t="shared" si="85"/>
        <v>32.258593029931234</v>
      </c>
      <c r="X135" s="493">
        <f t="shared" si="86"/>
        <v>37.9060089869281</v>
      </c>
      <c r="Y135" s="742">
        <f t="shared" si="87"/>
        <v>1222.7945172982295</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86">
        <f t="shared" si="62"/>
        <v>135727.94662920252</v>
      </c>
      <c r="I136" s="487">
        <f>ITECountywide!$B$9*E136</f>
        <v>1487.00481092823</v>
      </c>
      <c r="J136" s="495">
        <f t="shared" si="76"/>
        <v>1.67</v>
      </c>
      <c r="K136" s="372">
        <f t="shared" si="77"/>
        <v>0.64373267284932234</v>
      </c>
      <c r="L136" s="488">
        <f>Passby_Length_Adj!H131</f>
        <v>0.30966767371601206</v>
      </c>
      <c r="M136" s="488">
        <f>Passby_Length_Adj!J131</f>
        <v>0.57899999999999996</v>
      </c>
      <c r="N136" s="372">
        <v>0.5</v>
      </c>
      <c r="O136" s="481">
        <f t="shared" si="78"/>
        <v>8.9648791540785491E-2</v>
      </c>
      <c r="P136" s="489">
        <f t="shared" si="79"/>
        <v>636.15907856323327</v>
      </c>
      <c r="Q136" s="490">
        <f t="shared" si="63"/>
        <v>380.93357997798398</v>
      </c>
      <c r="R136" s="491">
        <f t="shared" si="80"/>
        <v>261.71052631578948</v>
      </c>
      <c r="S136" s="492">
        <f t="shared" si="81"/>
        <v>99694.327707396078</v>
      </c>
      <c r="T136" s="489">
        <f t="shared" si="82"/>
        <v>83.625507782078955</v>
      </c>
      <c r="U136" s="493">
        <f t="shared" si="83"/>
        <v>405.42115030277023</v>
      </c>
      <c r="V136" s="492">
        <f t="shared" si="84"/>
        <v>33903.549559663712</v>
      </c>
      <c r="W136" s="489">
        <f t="shared" si="85"/>
        <v>56.193448455027045</v>
      </c>
      <c r="X136" s="493">
        <f t="shared" si="86"/>
        <v>37.9060089869281</v>
      </c>
      <c r="Y136" s="742">
        <f t="shared" si="87"/>
        <v>2130.0693621427363</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50">
        <f t="shared" si="62"/>
        <v>35385.117988577535</v>
      </c>
      <c r="I137" s="751">
        <f>ITECountywide!$B$9*E137</f>
        <v>311.78197606933963</v>
      </c>
      <c r="J137" s="752">
        <f t="shared" si="76"/>
        <v>1.67</v>
      </c>
      <c r="K137" s="753">
        <f t="shared" si="77"/>
        <v>0.64373267284932234</v>
      </c>
      <c r="L137" s="754">
        <f>Passby_Length_Adj!H132</f>
        <v>0.32930513595166166</v>
      </c>
      <c r="M137" s="754">
        <f>Passby_Length_Adj!J132</f>
        <v>0.67700000000000005</v>
      </c>
      <c r="N137" s="753">
        <v>0.5</v>
      </c>
      <c r="O137" s="755">
        <f t="shared" si="78"/>
        <v>0.11146978851963749</v>
      </c>
      <c r="P137" s="756">
        <f t="shared" si="79"/>
        <v>165.85061966613083</v>
      </c>
      <c r="Q137" s="757">
        <f t="shared" si="63"/>
        <v>99.311748303072349</v>
      </c>
      <c r="R137" s="758">
        <f t="shared" si="80"/>
        <v>261.71052631578948</v>
      </c>
      <c r="S137" s="759">
        <f t="shared" si="81"/>
        <v>25990.929917738278</v>
      </c>
      <c r="T137" s="756">
        <f t="shared" si="82"/>
        <v>21.801688843106007</v>
      </c>
      <c r="U137" s="760">
        <f t="shared" si="83"/>
        <v>405.42115030277023</v>
      </c>
      <c r="V137" s="759">
        <f t="shared" si="84"/>
        <v>8838.865769315109</v>
      </c>
      <c r="W137" s="756">
        <f t="shared" si="85"/>
        <v>14.649980738295241</v>
      </c>
      <c r="X137" s="760">
        <f t="shared" si="86"/>
        <v>37.9060089869281</v>
      </c>
      <c r="Y137" s="761">
        <f t="shared" si="87"/>
        <v>555.32230152414297</v>
      </c>
      <c r="Z137" s="381"/>
      <c r="AB137" s="11"/>
    </row>
    <row r="138" spans="1:28" ht="17.100000000000001" customHeight="1" x14ac:dyDescent="0.25">
      <c r="A138" s="90"/>
      <c r="E138" s="371"/>
      <c r="H138" s="105"/>
      <c r="I138" s="381"/>
      <c r="J138" s="496"/>
      <c r="K138" s="23"/>
      <c r="L138" s="23"/>
      <c r="M138" s="23"/>
      <c r="N138" s="23"/>
      <c r="O138" s="369"/>
      <c r="P138" s="23"/>
      <c r="Q138" s="381"/>
      <c r="R138" s="379"/>
      <c r="S138" s="379"/>
      <c r="T138" s="497"/>
      <c r="U138" s="381"/>
      <c r="V138" s="381"/>
      <c r="W138" s="381"/>
      <c r="X138" s="381"/>
      <c r="Y138" s="498"/>
      <c r="Z138" s="381"/>
      <c r="AB138" s="11"/>
    </row>
    <row r="139" spans="1:28" x14ac:dyDescent="0.25">
      <c r="H139" s="105"/>
      <c r="I139" s="381"/>
      <c r="J139" s="496"/>
      <c r="K139" s="23"/>
      <c r="L139" s="23"/>
      <c r="M139" s="23"/>
      <c r="N139" s="23"/>
      <c r="O139" s="369"/>
      <c r="P139" s="23"/>
      <c r="Q139" s="381"/>
      <c r="R139" s="379"/>
      <c r="S139" s="379"/>
      <c r="T139" s="497"/>
      <c r="U139" s="381"/>
      <c r="V139" s="381"/>
      <c r="W139" s="381"/>
      <c r="X139" s="381"/>
      <c r="Y139" s="498"/>
      <c r="Z139" s="494"/>
    </row>
    <row r="140" spans="1:28" x14ac:dyDescent="0.25">
      <c r="H140" s="381"/>
      <c r="I140" s="381"/>
      <c r="J140" s="496"/>
      <c r="K140" s="23"/>
      <c r="L140" s="23"/>
      <c r="M140" s="23"/>
      <c r="N140" s="23"/>
      <c r="O140" s="369"/>
      <c r="P140" s="23"/>
      <c r="Q140" s="381"/>
      <c r="R140" s="379"/>
      <c r="S140" s="379"/>
      <c r="T140" s="497"/>
      <c r="U140" s="381"/>
      <c r="V140" s="381"/>
      <c r="W140" s="381"/>
      <c r="X140" s="381"/>
      <c r="Y140" s="498"/>
      <c r="Z140" s="494"/>
    </row>
    <row r="141" spans="1:28" x14ac:dyDescent="0.25">
      <c r="Y141" s="377"/>
      <c r="Z141" s="58"/>
    </row>
    <row r="142" spans="1:28" x14ac:dyDescent="0.25">
      <c r="Y142" s="377"/>
      <c r="Z142" s="58"/>
    </row>
    <row r="143" spans="1:28" x14ac:dyDescent="0.25">
      <c r="Y143" s="377"/>
      <c r="Z143" s="58"/>
    </row>
    <row r="144" spans="1:28" x14ac:dyDescent="0.25">
      <c r="Y144" s="377"/>
      <c r="Z144" s="58"/>
    </row>
    <row r="145" spans="25:26" x14ac:dyDescent="0.25">
      <c r="Y145" s="377"/>
      <c r="Z145" s="58"/>
    </row>
    <row r="146" spans="25:26" x14ac:dyDescent="0.25">
      <c r="Y146" s="377"/>
      <c r="Z146" s="58"/>
    </row>
    <row r="147" spans="25:26" x14ac:dyDescent="0.25">
      <c r="Y147" s="377"/>
      <c r="Z147" s="58"/>
    </row>
    <row r="148" spans="25:26" x14ac:dyDescent="0.25">
      <c r="Y148" s="377"/>
      <c r="Z148" s="58"/>
    </row>
    <row r="149" spans="25:26" x14ac:dyDescent="0.25">
      <c r="Y149" s="377"/>
      <c r="Z149" s="58"/>
    </row>
    <row r="150" spans="25:26" x14ac:dyDescent="0.25">
      <c r="Y150" s="377"/>
      <c r="Z150" s="58"/>
    </row>
    <row r="151" spans="25:26" x14ac:dyDescent="0.25">
      <c r="Y151" s="377"/>
      <c r="Z151" s="58"/>
    </row>
    <row r="152" spans="25:26" x14ac:dyDescent="0.25">
      <c r="Y152" s="377"/>
    </row>
    <row r="153" spans="25:26" x14ac:dyDescent="0.25">
      <c r="Y153" s="377"/>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2.5703125" style="11" customWidth="1"/>
    <col min="10" max="10" width="11.42578125" style="60" customWidth="1"/>
    <col min="11" max="11" width="11.140625" style="12" customWidth="1"/>
    <col min="12" max="12" width="11" style="12" customWidth="1"/>
    <col min="13" max="13" width="12.140625" style="12" customWidth="1"/>
    <col min="14" max="14" width="11.5703125" style="12" customWidth="1"/>
    <col min="15" max="15" width="8.5703125" style="368" customWidth="1"/>
    <col min="16" max="16" width="8.5703125" style="12" customWidth="1"/>
    <col min="17" max="17" width="9.5703125" style="11" customWidth="1"/>
    <col min="18" max="18" width="8.5703125" style="13" customWidth="1"/>
    <col min="19" max="19" width="8.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2</v>
      </c>
      <c r="E4" s="396" t="s">
        <v>69</v>
      </c>
      <c r="F4" s="461">
        <f>'2045_24hr_all_productions'!$Q$36</f>
        <v>0.85017405200500473</v>
      </c>
      <c r="G4" s="461">
        <f>'2045_24hr_all_productions'!$S$36</f>
        <v>7.1139576081166458E-2</v>
      </c>
      <c r="H4" s="462">
        <f>'2045_24hr_all_productions'!$T$36</f>
        <v>4.1143168613654101E-2</v>
      </c>
      <c r="I4" s="461">
        <f>'2045_24hr_all_productions'!$R$36</f>
        <v>3.7543203300174674E-2</v>
      </c>
      <c r="J4" s="463">
        <f>+H4+I4</f>
        <v>7.8686371913828768E-2</v>
      </c>
      <c r="K4" s="60"/>
      <c r="L4" s="395" t="s">
        <v>73</v>
      </c>
      <c r="M4" s="393">
        <f>ITECountywide!B4</f>
        <v>1.67</v>
      </c>
      <c r="O4" s="472" t="s">
        <v>388</v>
      </c>
      <c r="P4" s="603"/>
      <c r="Q4" s="604">
        <f>+RoadCapCost!L15</f>
        <v>261.71052631578948</v>
      </c>
      <c r="R4" s="604">
        <f>+TransitCapCost!AB13</f>
        <v>405.42115030277023</v>
      </c>
      <c r="S4" s="471">
        <f>+WalkBikeCapCost!$V$7</f>
        <v>37.9060089869281</v>
      </c>
      <c r="T4" s="11"/>
    </row>
    <row r="5" spans="1:36" ht="17.100000000000001" customHeight="1" thickBot="1" x14ac:dyDescent="0.3">
      <c r="B5" s="960"/>
      <c r="C5" s="958"/>
      <c r="E5" s="396" t="s">
        <v>72</v>
      </c>
      <c r="F5" s="461">
        <f>'2045_24hr_all_attractions'!$Q$36</f>
        <v>0.85014347095642351</v>
      </c>
      <c r="G5" s="461">
        <f>'2045_24hr_all_attractions'!$S$36</f>
        <v>7.11482136750866E-2</v>
      </c>
      <c r="H5" s="462">
        <f>'2045_24hr_all_attractions'!$T$36</f>
        <v>4.1155597845209953E-2</v>
      </c>
      <c r="I5" s="461">
        <f>'2045_24hr_all_attractions'!$R$36</f>
        <v>3.755271752327996E-2</v>
      </c>
      <c r="J5" s="463">
        <f>+H5+I5</f>
        <v>7.8708315368489906E-2</v>
      </c>
      <c r="K5" s="60"/>
      <c r="S5" s="380"/>
      <c r="T5" s="11"/>
    </row>
    <row r="6" spans="1:36" ht="17.100000000000001" customHeight="1" x14ac:dyDescent="0.25">
      <c r="B6" s="955" t="s">
        <v>56</v>
      </c>
      <c r="C6" s="957" t="s">
        <v>58</v>
      </c>
      <c r="E6" s="396" t="s">
        <v>74</v>
      </c>
      <c r="F6" s="646">
        <f>'2045_24hr_all_productions'!$M$36</f>
        <v>7.5651945690280726</v>
      </c>
      <c r="G6" s="385">
        <f>'2045_24hr_all_productions'!$O$36</f>
        <v>6.9159276286002855</v>
      </c>
      <c r="H6" s="386">
        <f>'2045_24hr_all_productions'!$P$36</f>
        <v>0.96266710827411783</v>
      </c>
      <c r="I6" s="385">
        <f>'2045_24hr_all_productions'!$N$36</f>
        <v>4.9788028773180226</v>
      </c>
      <c r="J6" s="398">
        <f>+((H4/J4)*H6)+(I4/J4*I6)</f>
        <v>2.8788642589502191</v>
      </c>
      <c r="K6" s="60"/>
      <c r="O6" s="60"/>
      <c r="P6" s="11"/>
      <c r="S6" s="380"/>
    </row>
    <row r="7" spans="1:36" ht="17.100000000000001" customHeight="1" thickBot="1" x14ac:dyDescent="0.3">
      <c r="B7" s="956"/>
      <c r="C7" s="958"/>
      <c r="E7" s="399" t="s">
        <v>75</v>
      </c>
      <c r="F7" s="647">
        <f>'2045_24hr_all_attractions'!$M$36</f>
        <v>7.5379006030505211</v>
      </c>
      <c r="G7" s="400">
        <f>'2045_24hr_all_attractions'!$O$36</f>
        <v>6.8701671716644022</v>
      </c>
      <c r="H7" s="402">
        <f>'2045_24hr_all_attractions'!$P$36</f>
        <v>0.96015654163405395</v>
      </c>
      <c r="I7" s="400">
        <f>'2045_24hr_all_attractions'!$N$36</f>
        <v>4.9630735730781925</v>
      </c>
      <c r="J7" s="401">
        <f>+((H5/J5)*H7)+(I5/J5*I7)</f>
        <v>2.8699981110691359</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68</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10810.505844536758</v>
      </c>
      <c r="I12" s="487">
        <f>ITECountywide!$B$9*E12</f>
        <v>17.853918169193626</v>
      </c>
      <c r="J12" s="488">
        <f>IF(F12="Prod",$M$3,$M$4)</f>
        <v>1.67</v>
      </c>
      <c r="K12" s="372">
        <f>IF(F12="Prod",$F$4,$F$5)</f>
        <v>0.85014347095642351</v>
      </c>
      <c r="L12" s="488">
        <f>Passby_Length_Adj!H7</f>
        <v>1</v>
      </c>
      <c r="M12" s="488">
        <f>Passby_Length_Adj!J7</f>
        <v>1</v>
      </c>
      <c r="N12" s="372">
        <v>0.5</v>
      </c>
      <c r="O12" s="481">
        <f>L12*M12*N12</f>
        <v>0.5</v>
      </c>
      <c r="P12" s="489">
        <f>IF($F12="Prod",$I12*$O12*$F$4*$F$6,$I12*O12*$F$5*$F$7)</f>
        <v>57.206604963846878</v>
      </c>
      <c r="Q12" s="490">
        <f>+P12/J12</f>
        <v>34.255452074159805</v>
      </c>
      <c r="R12" s="491">
        <f>$Q$4</f>
        <v>261.71052631578948</v>
      </c>
      <c r="S12" s="500">
        <f>Q12*R12</f>
        <v>8965.0123915136646</v>
      </c>
      <c r="T12" s="489">
        <f>IF($F12="Prod",$I12*$O12*$G$4*$G$6,$I12*$O12*$G$5*$G$7)</f>
        <v>4.3634986888645724</v>
      </c>
      <c r="U12" s="493">
        <f>+$R$4</f>
        <v>405.42115030277023</v>
      </c>
      <c r="V12" s="500">
        <f>+T12*U12</f>
        <v>1769.0546577841046</v>
      </c>
      <c r="W12" s="489">
        <f>IF($F12="Prod",$I12*$O12*$J$4*$J$6,$I12*$O12*$J$5*$J$7)</f>
        <v>2.0165350371058199</v>
      </c>
      <c r="X12" s="493">
        <f>+$S$4</f>
        <v>37.9060089869281</v>
      </c>
      <c r="Y12" s="763">
        <f>+W12*X12</f>
        <v>76.438795238988604</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5443.6658871982054</v>
      </c>
      <c r="I14" s="487">
        <f>ITECountywide!$B$9*E14</f>
        <v>8.9903994029645062</v>
      </c>
      <c r="J14" s="488">
        <f t="shared" ref="J14:J20" si="1">IF(F14="Prod",$M$3,$M$4)</f>
        <v>1.67</v>
      </c>
      <c r="K14" s="372">
        <f t="shared" ref="K14:K20" si="2">IF(F14="Prod",$F$4,$F$5)</f>
        <v>0.85014347095642351</v>
      </c>
      <c r="L14" s="488">
        <f>Passby_Length_Adj!H9</f>
        <v>1</v>
      </c>
      <c r="M14" s="488">
        <f>Passby_Length_Adj!J9</f>
        <v>1</v>
      </c>
      <c r="N14" s="372">
        <v>0.5</v>
      </c>
      <c r="O14" s="481">
        <f t="shared" ref="O14:O20" si="3">L14*M14*N14</f>
        <v>0.5</v>
      </c>
      <c r="P14" s="489">
        <f t="shared" ref="P14:P20" si="4">IF($F14="Prod",$I14*$O14*$F$4*$F$6,$I14*O14*$F$5*$F$7)</f>
        <v>28.806574682302589</v>
      </c>
      <c r="Q14" s="490">
        <f t="shared" ref="Q14:Q79" si="5">+P14/J14</f>
        <v>17.24944591754646</v>
      </c>
      <c r="R14" s="491">
        <f t="shared" ref="R14:R20" si="6">$Q$4</f>
        <v>261.71052631578948</v>
      </c>
      <c r="S14" s="500">
        <f t="shared" ref="S14:S20" si="7">Q14*R14</f>
        <v>4514.3615697368305</v>
      </c>
      <c r="T14" s="489">
        <f t="shared" ref="T14:T20" si="8">IF($F14="Prod",$I14*$O14*$G$4*$G$6,$I14*$O14*$G$5*$G$7)</f>
        <v>2.1972541621084547</v>
      </c>
      <c r="U14" s="493">
        <f t="shared" ref="U14:U20" si="9">+$R$4</f>
        <v>405.42115030277023</v>
      </c>
      <c r="V14" s="500">
        <f t="shared" ref="V14:V20" si="10">+T14*U14</f>
        <v>890.81330990955928</v>
      </c>
      <c r="W14" s="489">
        <f t="shared" ref="W14:W20" si="11">IF($F14="Prod",$I14*$O14*$J$4*$J$6,$I14*$O14*$J$5*$J$7)</f>
        <v>1.0154328714766363</v>
      </c>
      <c r="X14" s="493">
        <f t="shared" ref="X14:X20" si="12">+$S$4</f>
        <v>37.9060089869281</v>
      </c>
      <c r="Y14" s="763">
        <f t="shared" ref="Y14:Y20" si="13">+W14*X14</f>
        <v>38.491007551815585</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3698.6197661003939</v>
      </c>
      <c r="I15" s="487">
        <f>ITECountywide!$B$9*E15</f>
        <v>6.1083963685464484</v>
      </c>
      <c r="J15" s="488">
        <f t="shared" si="1"/>
        <v>1.67</v>
      </c>
      <c r="K15" s="372">
        <f t="shared" si="2"/>
        <v>0.85014347095642351</v>
      </c>
      <c r="L15" s="488">
        <f>Passby_Length_Adj!H10</f>
        <v>1</v>
      </c>
      <c r="M15" s="488">
        <f>Passby_Length_Adj!J10</f>
        <v>1</v>
      </c>
      <c r="N15" s="372">
        <v>0.5</v>
      </c>
      <c r="O15" s="481">
        <f t="shared" si="3"/>
        <v>0.5</v>
      </c>
      <c r="P15" s="489">
        <f t="shared" si="4"/>
        <v>19.572209007935427</v>
      </c>
      <c r="Q15" s="490">
        <f t="shared" si="5"/>
        <v>11.719885633494268</v>
      </c>
      <c r="R15" s="491">
        <f t="shared" si="6"/>
        <v>261.71052631578948</v>
      </c>
      <c r="S15" s="500">
        <f t="shared" si="7"/>
        <v>3067.2174375026448</v>
      </c>
      <c r="T15" s="489">
        <f t="shared" si="8"/>
        <v>1.4928924448196559</v>
      </c>
      <c r="U15" s="493">
        <f t="shared" si="9"/>
        <v>405.42115030277023</v>
      </c>
      <c r="V15" s="500">
        <f t="shared" si="10"/>
        <v>605.25017225709985</v>
      </c>
      <c r="W15" s="489">
        <f t="shared" si="11"/>
        <v>0.68992112437021458</v>
      </c>
      <c r="X15" s="493">
        <f t="shared" si="12"/>
        <v>37.9060089869281</v>
      </c>
      <c r="Y15" s="763">
        <f t="shared" si="13"/>
        <v>26.152156340648894</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4313.2272049776102</v>
      </c>
      <c r="I16" s="487">
        <f>ITECountywide!$B$9*E16</f>
        <v>7.1234414624295379</v>
      </c>
      <c r="J16" s="488">
        <f t="shared" si="1"/>
        <v>1.67</v>
      </c>
      <c r="K16" s="372">
        <f t="shared" si="2"/>
        <v>0.85014347095642351</v>
      </c>
      <c r="L16" s="488">
        <f>Passby_Length_Adj!H11</f>
        <v>1</v>
      </c>
      <c r="M16" s="488">
        <f>Passby_Length_Adj!J11</f>
        <v>1</v>
      </c>
      <c r="N16" s="372">
        <v>0.5</v>
      </c>
      <c r="O16" s="481">
        <f t="shared" si="3"/>
        <v>0.5</v>
      </c>
      <c r="P16" s="489">
        <f t="shared" si="4"/>
        <v>22.82456421400185</v>
      </c>
      <c r="Q16" s="490">
        <f t="shared" si="5"/>
        <v>13.667403720959191</v>
      </c>
      <c r="R16" s="491">
        <f t="shared" si="6"/>
        <v>261.71052631578948</v>
      </c>
      <c r="S16" s="500">
        <f t="shared" si="7"/>
        <v>3576.9034211826097</v>
      </c>
      <c r="T16" s="489">
        <f t="shared" si="8"/>
        <v>1.7409695276383526</v>
      </c>
      <c r="U16" s="493">
        <f t="shared" si="9"/>
        <v>405.42115030277023</v>
      </c>
      <c r="V16" s="500">
        <f t="shared" si="10"/>
        <v>705.82586853721136</v>
      </c>
      <c r="W16" s="489">
        <f t="shared" si="11"/>
        <v>0.80456677114983488</v>
      </c>
      <c r="X16" s="493">
        <f t="shared" si="12"/>
        <v>37.9060089869281</v>
      </c>
      <c r="Y16" s="763">
        <f t="shared" si="13"/>
        <v>30.497915257789366</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1909.6731136542091</v>
      </c>
      <c r="I17" s="487">
        <f>ITECountywide!$B$9*E17</f>
        <v>3.1538901131367418</v>
      </c>
      <c r="J17" s="488">
        <f t="shared" si="1"/>
        <v>1.67</v>
      </c>
      <c r="K17" s="372">
        <f t="shared" si="2"/>
        <v>0.85014347095642351</v>
      </c>
      <c r="L17" s="488">
        <f>Passby_Length_Adj!H12</f>
        <v>1</v>
      </c>
      <c r="M17" s="488">
        <f>Passby_Length_Adj!J12</f>
        <v>1</v>
      </c>
      <c r="N17" s="372">
        <v>0.5</v>
      </c>
      <c r="O17" s="481">
        <f t="shared" si="3"/>
        <v>0.5</v>
      </c>
      <c r="P17" s="489">
        <f t="shared" si="4"/>
        <v>10.105532247420665</v>
      </c>
      <c r="Q17" s="490">
        <f t="shared" si="5"/>
        <v>6.0512169146231534</v>
      </c>
      <c r="R17" s="491">
        <f t="shared" si="6"/>
        <v>261.71052631578948</v>
      </c>
      <c r="S17" s="500">
        <f t="shared" si="7"/>
        <v>1583.6671635770333</v>
      </c>
      <c r="T17" s="489">
        <f t="shared" si="8"/>
        <v>0.77081093590094985</v>
      </c>
      <c r="U17" s="493">
        <f t="shared" si="9"/>
        <v>405.42115030277023</v>
      </c>
      <c r="V17" s="500">
        <f t="shared" si="10"/>
        <v>312.50305629891795</v>
      </c>
      <c r="W17" s="489">
        <f t="shared" si="11"/>
        <v>0.35622040249381992</v>
      </c>
      <c r="X17" s="493">
        <f t="shared" si="12"/>
        <v>37.9060089869281</v>
      </c>
      <c r="Y17" s="763">
        <f t="shared" si="13"/>
        <v>13.502893778257883</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1657.2450584010669</v>
      </c>
      <c r="I18" s="487">
        <f>ITECountywide!$B$9*E18</f>
        <v>2.736996592434759</v>
      </c>
      <c r="J18" s="495">
        <f t="shared" si="1"/>
        <v>1.67</v>
      </c>
      <c r="K18" s="372">
        <f t="shared" si="2"/>
        <v>0.85014347095642351</v>
      </c>
      <c r="L18" s="488">
        <f>Passby_Length_Adj!H13</f>
        <v>1</v>
      </c>
      <c r="M18" s="488">
        <f>Passby_Length_Adj!J13</f>
        <v>1</v>
      </c>
      <c r="N18" s="372">
        <v>0.5</v>
      </c>
      <c r="O18" s="481">
        <f t="shared" si="3"/>
        <v>0.5</v>
      </c>
      <c r="P18" s="489">
        <f t="shared" si="4"/>
        <v>8.7697435020719592</v>
      </c>
      <c r="Q18" s="490">
        <f t="shared" si="5"/>
        <v>5.2513434144143467</v>
      </c>
      <c r="R18" s="491">
        <f t="shared" si="6"/>
        <v>261.71052631578948</v>
      </c>
      <c r="S18" s="500">
        <f t="shared" si="7"/>
        <v>1374.3318488513337</v>
      </c>
      <c r="T18" s="489">
        <f t="shared" si="8"/>
        <v>0.66892213402898537</v>
      </c>
      <c r="U18" s="493">
        <f t="shared" si="9"/>
        <v>405.42115030277023</v>
      </c>
      <c r="V18" s="500">
        <f t="shared" si="10"/>
        <v>271.19518104101508</v>
      </c>
      <c r="W18" s="489">
        <f t="shared" si="11"/>
        <v>0.30913379756647597</v>
      </c>
      <c r="X18" s="493">
        <f t="shared" si="12"/>
        <v>37.9060089869281</v>
      </c>
      <c r="Y18" s="763">
        <f t="shared" si="13"/>
        <v>11.718028508718049</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1086.5381508722226</v>
      </c>
      <c r="I19" s="487">
        <f>ITECountywide!$B$9*E19</f>
        <v>1.7944547195433187</v>
      </c>
      <c r="J19" s="488">
        <f t="shared" si="1"/>
        <v>1.67</v>
      </c>
      <c r="K19" s="372">
        <f t="shared" si="2"/>
        <v>0.85014347095642351</v>
      </c>
      <c r="L19" s="488">
        <f>Passby_Length_Adj!H14</f>
        <v>1</v>
      </c>
      <c r="M19" s="488">
        <f>Passby_Length_Adj!J14</f>
        <v>1</v>
      </c>
      <c r="N19" s="372">
        <v>0.5</v>
      </c>
      <c r="O19" s="481">
        <f t="shared" si="3"/>
        <v>0.5</v>
      </c>
      <c r="P19" s="489">
        <f t="shared" si="4"/>
        <v>5.7496993821531381</v>
      </c>
      <c r="Q19" s="490">
        <f t="shared" si="5"/>
        <v>3.4429337617683462</v>
      </c>
      <c r="R19" s="491">
        <f t="shared" si="6"/>
        <v>261.71052631578948</v>
      </c>
      <c r="S19" s="500">
        <f t="shared" si="7"/>
        <v>901.05200686279488</v>
      </c>
      <c r="T19" s="489">
        <f t="shared" si="8"/>
        <v>0.43856484284019559</v>
      </c>
      <c r="U19" s="493">
        <f t="shared" si="9"/>
        <v>405.42115030277023</v>
      </c>
      <c r="V19" s="500">
        <f t="shared" si="10"/>
        <v>177.80346306662574</v>
      </c>
      <c r="W19" s="489">
        <f t="shared" si="11"/>
        <v>0.2026771255568286</v>
      </c>
      <c r="X19" s="493">
        <f t="shared" si="12"/>
        <v>37.9060089869281</v>
      </c>
      <c r="Y19" s="763">
        <f t="shared" si="13"/>
        <v>7.6826809428019001</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14531.075876311341</v>
      </c>
      <c r="I20" s="487">
        <f>ITECountywide!$B$9*E20</f>
        <v>23.998566148235899</v>
      </c>
      <c r="J20" s="488">
        <f t="shared" si="1"/>
        <v>1.67</v>
      </c>
      <c r="K20" s="372">
        <f t="shared" si="2"/>
        <v>0.85014347095642351</v>
      </c>
      <c r="L20" s="488">
        <f>Passby_Length_Adj!H15</f>
        <v>1</v>
      </c>
      <c r="M20" s="488">
        <f>Passby_Length_Adj!J15</f>
        <v>1</v>
      </c>
      <c r="N20" s="372">
        <v>0.5</v>
      </c>
      <c r="O20" s="481">
        <f t="shared" si="3"/>
        <v>0.5</v>
      </c>
      <c r="P20" s="489">
        <f t="shared" si="4"/>
        <v>76.894969514856115</v>
      </c>
      <c r="Q20" s="490">
        <f t="shared" si="5"/>
        <v>46.044891925063546</v>
      </c>
      <c r="R20" s="491">
        <f t="shared" si="6"/>
        <v>261.71052631578948</v>
      </c>
      <c r="S20" s="500">
        <f t="shared" si="7"/>
        <v>12050.432899862026</v>
      </c>
      <c r="T20" s="489">
        <f t="shared" si="8"/>
        <v>5.8652510294991815</v>
      </c>
      <c r="U20" s="493">
        <f t="shared" si="9"/>
        <v>405.42115030277023</v>
      </c>
      <c r="V20" s="500">
        <f t="shared" si="10"/>
        <v>2377.8968191940653</v>
      </c>
      <c r="W20" s="489">
        <f t="shared" si="11"/>
        <v>2.7105506488610209</v>
      </c>
      <c r="X20" s="493">
        <f t="shared" si="12"/>
        <v>37.9060089869281</v>
      </c>
      <c r="Y20" s="763">
        <f t="shared" si="13"/>
        <v>102.74615725524966</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10403.237169188493</v>
      </c>
      <c r="I22" s="487">
        <f>ITECountywide!$B$9*E22</f>
        <v>17.110760154029219</v>
      </c>
      <c r="J22" s="488">
        <f t="shared" ref="J22:J35" si="14">IF(F22="Prod",$M$3,$M$4)</f>
        <v>1.67</v>
      </c>
      <c r="K22" s="372">
        <f t="shared" ref="K22:K35" si="15">IF(F22="Prod",$F$4,$F$5)</f>
        <v>0.85017405200500473</v>
      </c>
      <c r="L22" s="488">
        <f>Passby_Length_Adj!H17</f>
        <v>1</v>
      </c>
      <c r="M22" s="488">
        <f>Passby_Length_Adj!J17</f>
        <v>1</v>
      </c>
      <c r="N22" s="372">
        <v>0.5</v>
      </c>
      <c r="O22" s="481">
        <f t="shared" ref="O22:O35" si="16">L22*M22*N22</f>
        <v>0.5</v>
      </c>
      <c r="P22" s="489">
        <f t="shared" ref="P22:P35" si="17">IF($F22="Prod",$I22*$O22*$F$4*$F$6,$I22*O22*$F$5*$F$7)</f>
        <v>55.02591284832917</v>
      </c>
      <c r="Q22" s="490">
        <f t="shared" si="5"/>
        <v>32.949648412173154</v>
      </c>
      <c r="R22" s="491">
        <f t="shared" ref="R22:R35" si="18">$Q$4</f>
        <v>261.71052631578948</v>
      </c>
      <c r="S22" s="500">
        <f t="shared" ref="S22:S35" si="19">Q22*R22</f>
        <v>8623.2698278700536</v>
      </c>
      <c r="T22" s="489">
        <f>IF($F22="Prod",$I22*$O22*$G$4*$G$6,$I22*$O22*$G$5*$G$7)</f>
        <v>4.2092141427219811</v>
      </c>
      <c r="U22" s="493">
        <f t="shared" ref="U22:U35" si="20">+$R$4</f>
        <v>405.42115030277023</v>
      </c>
      <c r="V22" s="500">
        <f t="shared" ref="V22:V35" si="21">+T22*U22</f>
        <v>1706.5044396130345</v>
      </c>
      <c r="W22" s="489">
        <f t="shared" ref="W22:W35" si="22">IF($F22="Prod",$I22*$O22*$J$4*$J$6,$I22*$O22*$J$5*$J$7)</f>
        <v>1.9380278659971364</v>
      </c>
      <c r="X22" s="493">
        <f t="shared" ref="X22:X35" si="23">+$S$4</f>
        <v>37.9060089869281</v>
      </c>
      <c r="Y22" s="763">
        <f t="shared" ref="Y22:Y35" si="24">+W22*X22</f>
        <v>73.462901705404533</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8066.91695746396</v>
      </c>
      <c r="I23" s="487">
        <f>ITECountywide!$B$9*E23</f>
        <v>13.268089441471812</v>
      </c>
      <c r="J23" s="488">
        <f t="shared" si="14"/>
        <v>1.67</v>
      </c>
      <c r="K23" s="372">
        <f t="shared" si="15"/>
        <v>0.85017405200500473</v>
      </c>
      <c r="L23" s="488">
        <f>Passby_Length_Adj!H18</f>
        <v>1</v>
      </c>
      <c r="M23" s="488">
        <f>Passby_Length_Adj!J18</f>
        <v>1</v>
      </c>
      <c r="N23" s="372">
        <v>0.5</v>
      </c>
      <c r="O23" s="481">
        <f t="shared" si="16"/>
        <v>0.5</v>
      </c>
      <c r="P23" s="489">
        <f t="shared" si="17"/>
        <v>42.668398522221359</v>
      </c>
      <c r="Q23" s="490">
        <f t="shared" si="5"/>
        <v>25.549939234863089</v>
      </c>
      <c r="R23" s="491">
        <f t="shared" si="18"/>
        <v>261.71052631578948</v>
      </c>
      <c r="S23" s="500">
        <f t="shared" si="19"/>
        <v>6686.6880444924582</v>
      </c>
      <c r="T23" s="489">
        <f t="shared" ref="T23:T35" si="25">IF($F23="Prod",$I23*$O23*$G$4*$G$6,$I23*$O23*$G$5*$G$7)</f>
        <v>3.2639245259242484</v>
      </c>
      <c r="U23" s="493">
        <f t="shared" si="20"/>
        <v>405.42115030277023</v>
      </c>
      <c r="V23" s="500">
        <f t="shared" si="21"/>
        <v>1323.2640358016329</v>
      </c>
      <c r="W23" s="489">
        <f t="shared" si="22"/>
        <v>1.5027927943960848</v>
      </c>
      <c r="X23" s="493">
        <f t="shared" si="23"/>
        <v>37.9060089869281</v>
      </c>
      <c r="Y23" s="763">
        <f t="shared" si="24"/>
        <v>56.964877169868785</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5995.0858263120135</v>
      </c>
      <c r="I24" s="487">
        <f>ITECountywide!$B$9*E24</f>
        <v>9.8604380548642965</v>
      </c>
      <c r="J24" s="488">
        <f t="shared" si="14"/>
        <v>1.67</v>
      </c>
      <c r="K24" s="372">
        <f t="shared" si="15"/>
        <v>0.85017405200500473</v>
      </c>
      <c r="L24" s="488">
        <f>Passby_Length_Adj!H19</f>
        <v>1</v>
      </c>
      <c r="M24" s="488">
        <f>Passby_Length_Adj!J19</f>
        <v>1</v>
      </c>
      <c r="N24" s="372">
        <v>0.5</v>
      </c>
      <c r="O24" s="481">
        <f t="shared" si="16"/>
        <v>0.5</v>
      </c>
      <c r="P24" s="489">
        <f t="shared" si="17"/>
        <v>31.709848082087998</v>
      </c>
      <c r="Q24" s="490">
        <f t="shared" si="5"/>
        <v>18.987932983286228</v>
      </c>
      <c r="R24" s="491">
        <f t="shared" si="18"/>
        <v>261.71052631578948</v>
      </c>
      <c r="S24" s="500">
        <f t="shared" si="19"/>
        <v>4969.3419347047775</v>
      </c>
      <c r="T24" s="489">
        <f t="shared" si="25"/>
        <v>2.4256488280092778</v>
      </c>
      <c r="U24" s="493">
        <f t="shared" si="20"/>
        <v>405.42115030277023</v>
      </c>
      <c r="V24" s="500">
        <f t="shared" si="21"/>
        <v>983.40933808208786</v>
      </c>
      <c r="W24" s="489">
        <f t="shared" si="22"/>
        <v>1.1168296176932653</v>
      </c>
      <c r="X24" s="493">
        <f t="shared" si="23"/>
        <v>37.9060089869281</v>
      </c>
      <c r="Y24" s="763">
        <f t="shared" si="24"/>
        <v>42.334553525148387</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4904.0683689500847</v>
      </c>
      <c r="I25" s="487">
        <f>ITECountywide!$B$9*E25</f>
        <v>8.0659833353209791</v>
      </c>
      <c r="J25" s="488">
        <f t="shared" si="14"/>
        <v>1.67</v>
      </c>
      <c r="K25" s="372">
        <f t="shared" si="15"/>
        <v>0.85017405200500473</v>
      </c>
      <c r="L25" s="488">
        <f>Passby_Length_Adj!H20</f>
        <v>1</v>
      </c>
      <c r="M25" s="488">
        <f>Passby_Length_Adj!J20</f>
        <v>1</v>
      </c>
      <c r="N25" s="372">
        <v>0.5</v>
      </c>
      <c r="O25" s="481">
        <f t="shared" si="16"/>
        <v>0.5</v>
      </c>
      <c r="P25" s="489">
        <f t="shared" si="17"/>
        <v>25.939122052443313</v>
      </c>
      <c r="Q25" s="490">
        <f t="shared" si="5"/>
        <v>15.532408414636715</v>
      </c>
      <c r="R25" s="491">
        <f t="shared" si="18"/>
        <v>261.71052631578948</v>
      </c>
      <c r="S25" s="500">
        <f t="shared" si="19"/>
        <v>4064.9947811463717</v>
      </c>
      <c r="T25" s="489">
        <f t="shared" si="25"/>
        <v>1.9842164126178834</v>
      </c>
      <c r="U25" s="493">
        <f t="shared" si="20"/>
        <v>405.42115030277023</v>
      </c>
      <c r="V25" s="500">
        <f t="shared" si="21"/>
        <v>804.44330045317849</v>
      </c>
      <c r="W25" s="489">
        <f t="shared" si="22"/>
        <v>0.91358305123805716</v>
      </c>
      <c r="X25" s="493">
        <f t="shared" si="23"/>
        <v>37.9060089869281</v>
      </c>
      <c r="Y25" s="763">
        <f t="shared" si="24"/>
        <v>34.630287350534992</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6457.9417173140455</v>
      </c>
      <c r="I26" s="487">
        <f>ITECountywide!$B$9*E26</f>
        <v>10.621721875276615</v>
      </c>
      <c r="J26" s="488">
        <f t="shared" si="14"/>
        <v>1.67</v>
      </c>
      <c r="K26" s="372">
        <f t="shared" si="15"/>
        <v>0.85017405200500473</v>
      </c>
      <c r="L26" s="488">
        <f>Passby_Length_Adj!H22</f>
        <v>1</v>
      </c>
      <c r="M26" s="488">
        <f>Passby_Length_Adj!J22</f>
        <v>1</v>
      </c>
      <c r="N26" s="372">
        <v>0.5</v>
      </c>
      <c r="O26" s="481">
        <f t="shared" si="16"/>
        <v>0.5</v>
      </c>
      <c r="P26" s="489">
        <f t="shared" si="17"/>
        <v>34.158034882543326</v>
      </c>
      <c r="Q26" s="490">
        <f>+P26/J26</f>
        <v>20.453913103319358</v>
      </c>
      <c r="R26" s="491">
        <f t="shared" si="18"/>
        <v>261.71052631578948</v>
      </c>
      <c r="S26" s="500">
        <f t="shared" si="19"/>
        <v>5353.0043634871327</v>
      </c>
      <c r="T26" s="489">
        <f t="shared" si="25"/>
        <v>2.6129231860541116</v>
      </c>
      <c r="U26" s="493">
        <f t="shared" si="20"/>
        <v>405.42115030277023</v>
      </c>
      <c r="V26" s="500">
        <f t="shared" si="21"/>
        <v>1059.3343237428371</v>
      </c>
      <c r="W26" s="489">
        <f t="shared" si="22"/>
        <v>1.2030554337651718</v>
      </c>
      <c r="X26" s="493">
        <f t="shared" si="23"/>
        <v>37.9060089869281</v>
      </c>
      <c r="Y26" s="763">
        <f t="shared" si="24"/>
        <v>45.603030084075286</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3791.0101548737725</v>
      </c>
      <c r="I27" s="487">
        <f>ITECountywide!$B$9*E27</f>
        <v>6.2352770052818345</v>
      </c>
      <c r="J27" s="488">
        <f t="shared" si="14"/>
        <v>1.67</v>
      </c>
      <c r="K27" s="372">
        <f t="shared" si="15"/>
        <v>0.85017405200500473</v>
      </c>
      <c r="L27" s="488">
        <f>Passby_Length_Adj!H22</f>
        <v>1</v>
      </c>
      <c r="M27" s="488">
        <f>Passby_Length_Adj!J22</f>
        <v>1</v>
      </c>
      <c r="N27" s="372">
        <v>0.5</v>
      </c>
      <c r="O27" s="481">
        <f t="shared" si="16"/>
        <v>0.5</v>
      </c>
      <c r="P27" s="489">
        <f t="shared" si="17"/>
        <v>20.05181569896741</v>
      </c>
      <c r="Q27" s="490">
        <f t="shared" si="5"/>
        <v>12.00707526884276</v>
      </c>
      <c r="R27" s="491">
        <f t="shared" si="18"/>
        <v>261.71052631578948</v>
      </c>
      <c r="S27" s="500">
        <f t="shared" si="19"/>
        <v>3142.377988122138</v>
      </c>
      <c r="T27" s="489">
        <f t="shared" si="25"/>
        <v>1.5338661706529253</v>
      </c>
      <c r="U27" s="493">
        <f t="shared" si="20"/>
        <v>405.42115030277023</v>
      </c>
      <c r="V27" s="500">
        <f t="shared" si="21"/>
        <v>621.86178731661425</v>
      </c>
      <c r="W27" s="489">
        <f t="shared" si="22"/>
        <v>0.7062304935413295</v>
      </c>
      <c r="X27" s="493">
        <f t="shared" si="23"/>
        <v>37.9060089869281</v>
      </c>
      <c r="Y27" s="763">
        <f t="shared" si="24"/>
        <v>26.770379435020303</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5510.1891785956004</v>
      </c>
      <c r="I28" s="487">
        <f>ITECountywide!$B$9*E28</f>
        <v>9.0629026239561554</v>
      </c>
      <c r="J28" s="488">
        <f t="shared" si="14"/>
        <v>1.67</v>
      </c>
      <c r="K28" s="372">
        <f t="shared" si="15"/>
        <v>0.85017405200500473</v>
      </c>
      <c r="L28" s="488">
        <f>Passby_Length_Adj!H23</f>
        <v>1</v>
      </c>
      <c r="M28" s="488">
        <f>Passby_Length_Adj!J23</f>
        <v>1</v>
      </c>
      <c r="N28" s="372">
        <v>0.5</v>
      </c>
      <c r="O28" s="481">
        <f t="shared" si="16"/>
        <v>0.5</v>
      </c>
      <c r="P28" s="489">
        <f t="shared" si="17"/>
        <v>29.145080957801468</v>
      </c>
      <c r="Q28" s="490">
        <f t="shared" si="5"/>
        <v>17.452144286108666</v>
      </c>
      <c r="R28" s="491">
        <f t="shared" si="18"/>
        <v>261.71052631578948</v>
      </c>
      <c r="S28" s="500">
        <f t="shared" si="19"/>
        <v>4567.4098664565972</v>
      </c>
      <c r="T28" s="489">
        <f t="shared" si="25"/>
        <v>2.2294566433908805</v>
      </c>
      <c r="U28" s="493">
        <f t="shared" si="20"/>
        <v>405.42115030277023</v>
      </c>
      <c r="V28" s="500">
        <f t="shared" si="21"/>
        <v>903.86887691368372</v>
      </c>
      <c r="W28" s="489">
        <f t="shared" si="22"/>
        <v>1.0264978103798394</v>
      </c>
      <c r="X28" s="493">
        <f t="shared" si="23"/>
        <v>37.9060089869281</v>
      </c>
      <c r="Y28" s="763">
        <f t="shared" si="24"/>
        <v>38.910435225320214</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4705.7015585206427</v>
      </c>
      <c r="I29" s="487">
        <f>ITECountywide!$B$9*E29</f>
        <v>7.739718840858556</v>
      </c>
      <c r="J29" s="488">
        <f t="shared" si="14"/>
        <v>1.67</v>
      </c>
      <c r="K29" s="372">
        <f t="shared" si="15"/>
        <v>0.85017405200500473</v>
      </c>
      <c r="L29" s="488">
        <f>Passby_Length_Adj!H24</f>
        <v>1</v>
      </c>
      <c r="M29" s="488">
        <f>Passby_Length_Adj!J24</f>
        <v>1</v>
      </c>
      <c r="N29" s="372">
        <v>0.5</v>
      </c>
      <c r="O29" s="481">
        <f t="shared" si="16"/>
        <v>0.5</v>
      </c>
      <c r="P29" s="489">
        <f t="shared" si="17"/>
        <v>24.889899137962452</v>
      </c>
      <c r="Q29" s="490">
        <f t="shared" si="5"/>
        <v>14.904131220336799</v>
      </c>
      <c r="R29" s="491">
        <f t="shared" si="18"/>
        <v>261.71052631578948</v>
      </c>
      <c r="S29" s="500">
        <f t="shared" si="19"/>
        <v>3900.5680259539336</v>
      </c>
      <c r="T29" s="489">
        <f t="shared" si="25"/>
        <v>1.9039559734558114</v>
      </c>
      <c r="U29" s="493">
        <f t="shared" si="20"/>
        <v>405.42115030277023</v>
      </c>
      <c r="V29" s="500">
        <f t="shared" si="21"/>
        <v>771.90402088428573</v>
      </c>
      <c r="W29" s="489">
        <f t="shared" si="22"/>
        <v>0.8766291300643827</v>
      </c>
      <c r="X29" s="493">
        <f t="shared" si="23"/>
        <v>37.9060089869281</v>
      </c>
      <c r="Y29" s="763">
        <f t="shared" si="24"/>
        <v>33.22951168242345</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4077.5399921607445</v>
      </c>
      <c r="I30" s="487">
        <f>ITECountywide!$B$9*E30</f>
        <v>6.7065479417275551</v>
      </c>
      <c r="J30" s="488">
        <f t="shared" si="14"/>
        <v>1.67</v>
      </c>
      <c r="K30" s="372">
        <f t="shared" si="15"/>
        <v>0.85017405200500473</v>
      </c>
      <c r="L30" s="488">
        <f>Passby_Length_Adj!H25</f>
        <v>1</v>
      </c>
      <c r="M30" s="488">
        <f>Passby_Length_Adj!J25</f>
        <v>1</v>
      </c>
      <c r="N30" s="372">
        <v>0.5</v>
      </c>
      <c r="O30" s="481">
        <f t="shared" si="16"/>
        <v>0.5</v>
      </c>
      <c r="P30" s="489">
        <f t="shared" si="17"/>
        <v>21.567359908773089</v>
      </c>
      <c r="Q30" s="490">
        <f t="shared" si="5"/>
        <v>12.914586771720414</v>
      </c>
      <c r="R30" s="491">
        <f t="shared" si="18"/>
        <v>261.71052631578948</v>
      </c>
      <c r="S30" s="500">
        <f t="shared" si="19"/>
        <v>3379.883301177882</v>
      </c>
      <c r="T30" s="489">
        <f t="shared" si="25"/>
        <v>1.6497979161092513</v>
      </c>
      <c r="U30" s="493">
        <f t="shared" si="20"/>
        <v>405.42115030277023</v>
      </c>
      <c r="V30" s="500">
        <f t="shared" si="21"/>
        <v>668.86296891612585</v>
      </c>
      <c r="W30" s="489">
        <f t="shared" si="22"/>
        <v>0.75960837968108108</v>
      </c>
      <c r="X30" s="493">
        <f t="shared" si="23"/>
        <v>37.9060089869281</v>
      </c>
      <c r="Y30" s="763">
        <f t="shared" si="24"/>
        <v>28.793722066736951</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741.57251309311414</v>
      </c>
      <c r="I31" s="487">
        <f>ITECountywide!$B$9*E31</f>
        <v>3.6614126600782866</v>
      </c>
      <c r="J31" s="488">
        <f t="shared" si="14"/>
        <v>1.67</v>
      </c>
      <c r="K31" s="372">
        <f t="shared" si="15"/>
        <v>0.85017405200500473</v>
      </c>
      <c r="L31" s="488">
        <f>Passby_Length_Adj!H26</f>
        <v>0.46525679758308158</v>
      </c>
      <c r="M31" s="488">
        <f>Passby_Length_Adj!J26</f>
        <v>0.71599999999999997</v>
      </c>
      <c r="N31" s="372">
        <v>0.5</v>
      </c>
      <c r="O31" s="481">
        <f t="shared" si="16"/>
        <v>0.16656193353474319</v>
      </c>
      <c r="P31" s="489">
        <f t="shared" si="17"/>
        <v>3.9224045181852949</v>
      </c>
      <c r="Q31" s="490">
        <f t="shared" si="5"/>
        <v>2.3487452204702364</v>
      </c>
      <c r="R31" s="491">
        <f t="shared" si="18"/>
        <v>261.71052631578948</v>
      </c>
      <c r="S31" s="500">
        <f t="shared" si="19"/>
        <v>614.69134783096058</v>
      </c>
      <c r="T31" s="489">
        <f t="shared" si="25"/>
        <v>0.30004482827809126</v>
      </c>
      <c r="U31" s="493">
        <f t="shared" si="20"/>
        <v>405.42115030277023</v>
      </c>
      <c r="V31" s="500">
        <f t="shared" si="21"/>
        <v>121.64451942290091</v>
      </c>
      <c r="W31" s="489">
        <f t="shared" si="22"/>
        <v>0.13814817173336535</v>
      </c>
      <c r="X31" s="493">
        <f t="shared" si="23"/>
        <v>37.9060089869281</v>
      </c>
      <c r="Y31" s="763">
        <f t="shared" si="24"/>
        <v>5.2366458392526338</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954.49927427826583</v>
      </c>
      <c r="I32" s="487">
        <f>ITECountywide!$B$9*E32</f>
        <v>4.7127093644572007</v>
      </c>
      <c r="J32" s="495">
        <f t="shared" si="14"/>
        <v>1.67</v>
      </c>
      <c r="K32" s="372">
        <f t="shared" si="15"/>
        <v>0.85017405200500473</v>
      </c>
      <c r="L32" s="488">
        <f>Passby_Length_Adj!H27</f>
        <v>0.46525679758308158</v>
      </c>
      <c r="M32" s="488">
        <f>Passby_Length_Adj!J27</f>
        <v>0.71599999999999997</v>
      </c>
      <c r="N32" s="372">
        <v>0.5</v>
      </c>
      <c r="O32" s="481">
        <f t="shared" si="16"/>
        <v>0.16656193353474319</v>
      </c>
      <c r="P32" s="489">
        <f t="shared" si="17"/>
        <v>5.0486394788523601</v>
      </c>
      <c r="Q32" s="490">
        <f t="shared" si="5"/>
        <v>3.0231374124864434</v>
      </c>
      <c r="R32" s="491">
        <f t="shared" si="18"/>
        <v>261.71052631578948</v>
      </c>
      <c r="S32" s="500">
        <f t="shared" si="19"/>
        <v>791.18688334678109</v>
      </c>
      <c r="T32" s="489">
        <f t="shared" si="25"/>
        <v>0.38619631362526596</v>
      </c>
      <c r="U32" s="493">
        <f t="shared" si="20"/>
        <v>405.42115030277023</v>
      </c>
      <c r="V32" s="500">
        <f t="shared" si="21"/>
        <v>156.57215371264473</v>
      </c>
      <c r="W32" s="489">
        <f t="shared" si="22"/>
        <v>0.17781447846868809</v>
      </c>
      <c r="X32" s="493">
        <f t="shared" si="23"/>
        <v>37.9060089869281</v>
      </c>
      <c r="Y32" s="763">
        <f t="shared" si="24"/>
        <v>6.7402372188400239</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881.07625317993757</v>
      </c>
      <c r="I33" s="487">
        <f>ITECountywide!$B$9*E33</f>
        <v>4.3501932594989539</v>
      </c>
      <c r="J33" s="495">
        <f t="shared" si="14"/>
        <v>1.67</v>
      </c>
      <c r="K33" s="372">
        <f t="shared" si="15"/>
        <v>0.85017405200500473</v>
      </c>
      <c r="L33" s="488">
        <f>Passby_Length_Adj!H28</f>
        <v>0.46525679758308158</v>
      </c>
      <c r="M33" s="488">
        <f>Passby_Length_Adj!J28</f>
        <v>0.71599999999999997</v>
      </c>
      <c r="N33" s="372">
        <v>0.5</v>
      </c>
      <c r="O33" s="481">
        <f t="shared" si="16"/>
        <v>0.16656193353474319</v>
      </c>
      <c r="P33" s="489">
        <f t="shared" si="17"/>
        <v>4.6602825958637162</v>
      </c>
      <c r="Q33" s="490">
        <f t="shared" si="5"/>
        <v>2.7905883807567164</v>
      </c>
      <c r="R33" s="491">
        <f t="shared" si="18"/>
        <v>261.71052631578948</v>
      </c>
      <c r="S33" s="500">
        <f t="shared" si="19"/>
        <v>730.32635385856702</v>
      </c>
      <c r="T33" s="489">
        <f t="shared" si="25"/>
        <v>0.35648890488486085</v>
      </c>
      <c r="U33" s="493">
        <f t="shared" si="20"/>
        <v>405.42115030277023</v>
      </c>
      <c r="V33" s="500">
        <f t="shared" si="21"/>
        <v>144.52814188859512</v>
      </c>
      <c r="W33" s="489">
        <f t="shared" si="22"/>
        <v>0.16413644166340435</v>
      </c>
      <c r="X33" s="493">
        <f t="shared" si="23"/>
        <v>37.9060089869281</v>
      </c>
      <c r="Y33" s="763">
        <f t="shared" si="24"/>
        <v>6.2217574327754051</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9510.5865222560078</v>
      </c>
      <c r="I34" s="487">
        <f>ITECountywide!$B$9*E34</f>
        <v>15.642569928948324</v>
      </c>
      <c r="J34" s="495">
        <f t="shared" si="14"/>
        <v>1.67</v>
      </c>
      <c r="K34" s="372">
        <f t="shared" si="15"/>
        <v>0.85017405200500473</v>
      </c>
      <c r="L34" s="488">
        <f>Passby_Length_Adj!H29</f>
        <v>1</v>
      </c>
      <c r="M34" s="488">
        <f>Passby_Length_Adj!J29</f>
        <v>1</v>
      </c>
      <c r="N34" s="372">
        <v>0.5</v>
      </c>
      <c r="O34" s="481">
        <f t="shared" si="16"/>
        <v>0.5</v>
      </c>
      <c r="P34" s="489">
        <f t="shared" si="17"/>
        <v>50.304409733165336</v>
      </c>
      <c r="Q34" s="490">
        <f t="shared" si="5"/>
        <v>30.122401037823558</v>
      </c>
      <c r="R34" s="491">
        <f t="shared" si="18"/>
        <v>261.71052631578948</v>
      </c>
      <c r="S34" s="500">
        <f t="shared" si="19"/>
        <v>7883.3494295040864</v>
      </c>
      <c r="T34" s="489">
        <f t="shared" si="25"/>
        <v>3.8480421664926592</v>
      </c>
      <c r="U34" s="493">
        <f t="shared" si="20"/>
        <v>405.42115030277023</v>
      </c>
      <c r="V34" s="500">
        <f t="shared" si="21"/>
        <v>1560.077681553018</v>
      </c>
      <c r="W34" s="489">
        <f t="shared" si="22"/>
        <v>1.7717352207156025</v>
      </c>
      <c r="X34" s="493">
        <f t="shared" si="23"/>
        <v>37.9060089869281</v>
      </c>
      <c r="Y34" s="763">
        <f t="shared" si="24"/>
        <v>67.159411198902674</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8628.9562536807098</v>
      </c>
      <c r="I35" s="487">
        <f>ITECountywide!$B$9*E35</f>
        <v>14.192505509115339</v>
      </c>
      <c r="J35" s="495">
        <f t="shared" si="14"/>
        <v>1.67</v>
      </c>
      <c r="K35" s="372">
        <f t="shared" si="15"/>
        <v>0.85017405200500473</v>
      </c>
      <c r="L35" s="488">
        <f>Passby_Length_Adj!H30</f>
        <v>1</v>
      </c>
      <c r="M35" s="488">
        <f>Passby_Length_Adj!J30</f>
        <v>1</v>
      </c>
      <c r="N35" s="372">
        <v>0.5</v>
      </c>
      <c r="O35" s="481">
        <f t="shared" si="16"/>
        <v>0.5</v>
      </c>
      <c r="P35" s="489">
        <f t="shared" si="17"/>
        <v>45.641196779917102</v>
      </c>
      <c r="Q35" s="490">
        <f t="shared" si="5"/>
        <v>27.330057952046172</v>
      </c>
      <c r="R35" s="491">
        <f t="shared" si="18"/>
        <v>261.71052631578948</v>
      </c>
      <c r="S35" s="500">
        <f t="shared" si="19"/>
        <v>7152.5638508710308</v>
      </c>
      <c r="T35" s="489">
        <f t="shared" si="25"/>
        <v>3.4913291035501177</v>
      </c>
      <c r="U35" s="493">
        <f t="shared" si="20"/>
        <v>405.42115030277023</v>
      </c>
      <c r="V35" s="500">
        <f t="shared" si="21"/>
        <v>1415.4586612468283</v>
      </c>
      <c r="W35" s="489">
        <f t="shared" si="22"/>
        <v>1.6074955710548284</v>
      </c>
      <c r="X35" s="493">
        <f t="shared" si="23"/>
        <v>37.9060089869281</v>
      </c>
      <c r="Y35" s="763">
        <f t="shared" si="24"/>
        <v>60.933741562851445</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5766.8457999279199</v>
      </c>
      <c r="I37" s="487">
        <f>ITECountywide!$B$9*E37</f>
        <v>15.153173187254691</v>
      </c>
      <c r="J37" s="495">
        <f>IF(F37="Prod",$M$3,$M$4)</f>
        <v>1.67</v>
      </c>
      <c r="K37" s="372">
        <f>IF(F37="Prod",$F$4,$F$5)</f>
        <v>0.85017405200500473</v>
      </c>
      <c r="L37" s="488">
        <f>Passby_Length_Adj!H32</f>
        <v>0.9441087613293051</v>
      </c>
      <c r="M37" s="488">
        <f>Passby_Length_Adj!J32</f>
        <v>0.66300000000000003</v>
      </c>
      <c r="N37" s="372">
        <v>0.5</v>
      </c>
      <c r="O37" s="481">
        <f>L37*M37*N37</f>
        <v>0.31297205438066467</v>
      </c>
      <c r="P37" s="489">
        <f>IF($F37="Prod",$I37*$O37*$F$4*$F$6,$I37*O37*$F$5*$F$7)</f>
        <v>30.502616564045898</v>
      </c>
      <c r="Q37" s="490">
        <f t="shared" si="5"/>
        <v>18.265039858710118</v>
      </c>
      <c r="R37" s="491">
        <f>$Q$4</f>
        <v>261.71052631578948</v>
      </c>
      <c r="S37" s="500">
        <f>Q37*R37</f>
        <v>4780.1531946018977</v>
      </c>
      <c r="T37" s="489">
        <f>IF($F37="Prod",$I37*$O37*$G$4*$G$6,$I37*$O37*$G$5*$G$7)</f>
        <v>2.3333015007911184</v>
      </c>
      <c r="U37" s="493">
        <f>+$R$4</f>
        <v>405.42115030277023</v>
      </c>
      <c r="V37" s="500">
        <f>+T37*U37</f>
        <v>945.96977845391541</v>
      </c>
      <c r="W37" s="489">
        <f>IF($F37="Prod",$I37*$O37*$J$4*$J$6,$I37*$O37*$J$5*$J$7)</f>
        <v>1.074310589810447</v>
      </c>
      <c r="X37" s="493">
        <f>+$S$4</f>
        <v>37.9060089869281</v>
      </c>
      <c r="Y37" s="763">
        <f>+W37*X37</f>
        <v>40.722826872106836</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3076.5708454160913</v>
      </c>
      <c r="I38" s="487">
        <f>ITECountywide!$B$9*E38</f>
        <v>8.0841091405688896</v>
      </c>
      <c r="J38" s="495">
        <f>IF(F38="Prod",$M$3,$M$4)</f>
        <v>1.67</v>
      </c>
      <c r="K38" s="372">
        <f>IF(F38="Prod",$F$4,$F$5)</f>
        <v>0.85017405200500473</v>
      </c>
      <c r="L38" s="488">
        <f>Passby_Length_Adj!H33</f>
        <v>0.9441087613293051</v>
      </c>
      <c r="M38" s="488">
        <f>Passby_Length_Adj!J33</f>
        <v>0.66300000000000003</v>
      </c>
      <c r="N38" s="372">
        <v>0.5</v>
      </c>
      <c r="O38" s="481">
        <f>L38*M38*N38</f>
        <v>0.31297205438066467</v>
      </c>
      <c r="P38" s="489">
        <f>IF($F38="Prod",$I38*$O38*$F$4*$F$6,$I38*O38*$F$5*$F$7)</f>
        <v>16.272927018617786</v>
      </c>
      <c r="Q38" s="490">
        <f t="shared" si="5"/>
        <v>9.7442676758190334</v>
      </c>
      <c r="R38" s="491">
        <f>$Q$4</f>
        <v>261.71052631578948</v>
      </c>
      <c r="S38" s="500">
        <f>Q38*R38</f>
        <v>2550.1774220005341</v>
      </c>
      <c r="T38" s="489">
        <f>IF($F38="Prod",$I38*$O38*$G$4*$G$6,$I38*$O38*$G$5*$G$7)</f>
        <v>1.2447996044890417</v>
      </c>
      <c r="U38" s="493">
        <f>+$R$4</f>
        <v>405.42115030277023</v>
      </c>
      <c r="V38" s="500">
        <f>+T38*U38</f>
        <v>504.6680875483807</v>
      </c>
      <c r="W38" s="489">
        <f>IF($F38="Prod",$I38*$O38*$J$4*$J$6,$I38*$O38*$J$5*$J$7)</f>
        <v>0.57313698930078871</v>
      </c>
      <c r="X38" s="493">
        <f>+$S$4</f>
        <v>37.9060089869281</v>
      </c>
      <c r="Y38" s="763">
        <f>+W38*X38</f>
        <v>21.725335867176611</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1853.9662416369392</v>
      </c>
      <c r="I39" s="487">
        <f>ITECountywide!$B$9*E39</f>
        <v>6.0721447580506238</v>
      </c>
      <c r="J39" s="495">
        <f>IF(F39="Prod",$M$3,$M$4)</f>
        <v>1.67</v>
      </c>
      <c r="K39" s="372">
        <f>IF(F39="Prod",$F$4,$F$5)</f>
        <v>0.85017405200500473</v>
      </c>
      <c r="L39" s="488">
        <f>Passby_Length_Adj!H34</f>
        <v>0.65558912386706947</v>
      </c>
      <c r="M39" s="488">
        <f>Passby_Length_Adj!J34</f>
        <v>0.76600000000000001</v>
      </c>
      <c r="N39" s="372">
        <v>0.5</v>
      </c>
      <c r="O39" s="481">
        <f>L39*M39*N39</f>
        <v>0.25109063444108759</v>
      </c>
      <c r="P39" s="489">
        <f>IF($F39="Prod",$I39*$O39*$F$4*$F$6,$I39*O39*$F$5*$F$7)</f>
        <v>9.8061962038318491</v>
      </c>
      <c r="Q39" s="490">
        <f t="shared" si="5"/>
        <v>5.8719737747496108</v>
      </c>
      <c r="R39" s="491">
        <f>$Q$4</f>
        <v>261.71052631578948</v>
      </c>
      <c r="S39" s="500">
        <f>Q39*R39</f>
        <v>1536.7573471022338</v>
      </c>
      <c r="T39" s="489">
        <f>IF($F39="Prod",$I39*$O39*$G$4*$G$6,$I39*$O39*$G$5*$G$7)</f>
        <v>0.75012621528420431</v>
      </c>
      <c r="U39" s="493">
        <f>+$R$4</f>
        <v>405.42115030277023</v>
      </c>
      <c r="V39" s="500">
        <f>+T39*U39</f>
        <v>304.1170330727856</v>
      </c>
      <c r="W39" s="489">
        <f>IF($F39="Prod",$I39*$O39*$J$4*$J$6,$I39*$O39*$J$5*$J$7)</f>
        <v>0.34537694185728585</v>
      </c>
      <c r="X39" s="493">
        <f>+$S$4</f>
        <v>37.9060089869281</v>
      </c>
      <c r="Y39" s="763">
        <f>+W39*X39</f>
        <v>13.091861461920022</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2773.0526454198844</v>
      </c>
      <c r="I40" s="487">
        <f>ITECountywide!$B$9*E40</f>
        <v>7.2865737096607477</v>
      </c>
      <c r="J40" s="495">
        <f>IF(F40="Prod",$M$3,$M$4)</f>
        <v>1.67</v>
      </c>
      <c r="K40" s="372">
        <f>IF(F40="Prod",$F$4,$F$5)</f>
        <v>0.85017405200500473</v>
      </c>
      <c r="L40" s="488">
        <f>Passby_Length_Adj!H35</f>
        <v>0.9441087613293051</v>
      </c>
      <c r="M40" s="488">
        <f>Passby_Length_Adj!J35</f>
        <v>0.66300000000000003</v>
      </c>
      <c r="N40" s="372">
        <v>0.5</v>
      </c>
      <c r="O40" s="481">
        <f>L40*M40*N40</f>
        <v>0.31297205438066467</v>
      </c>
      <c r="P40" s="489">
        <f>IF($F40="Prod",$I40*$O40*$F$4*$F$6,$I40*O40*$F$5*$F$7)</f>
        <v>14.667526146825894</v>
      </c>
      <c r="Q40" s="490">
        <f t="shared" si="5"/>
        <v>8.7829497885185006</v>
      </c>
      <c r="R40" s="491">
        <f>$Q$4</f>
        <v>261.71052631578948</v>
      </c>
      <c r="S40" s="500">
        <f>Q40*R40</f>
        <v>2298.5904117583286</v>
      </c>
      <c r="T40" s="489">
        <f>IF($F40="Prod",$I40*$O40*$G$4*$G$6,$I40*$O40*$G$5*$G$7)</f>
        <v>1.1219942623421404</v>
      </c>
      <c r="U40" s="493">
        <f>+$R$4</f>
        <v>405.42115030277023</v>
      </c>
      <c r="V40" s="500">
        <f>+T40*U40</f>
        <v>454.88020447185869</v>
      </c>
      <c r="W40" s="489">
        <f>IF($F40="Prod",$I40*$O40*$J$4*$J$6,$I40*$O40*$J$5*$J$7)</f>
        <v>0.51659432667918614</v>
      </c>
      <c r="X40" s="493">
        <f>+$S$4</f>
        <v>37.9060089869281</v>
      </c>
      <c r="Y40" s="763">
        <f>+W40*X40</f>
        <v>19.582029189697302</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2497.1742954488773</v>
      </c>
      <c r="I42" s="487">
        <f>ITECountywide!$B$9*E42</f>
        <v>4.368319064746867</v>
      </c>
      <c r="J42" s="495">
        <f t="shared" ref="J42:J50" si="26">IF(F42="Prod",$M$3,$M$4)</f>
        <v>1.67</v>
      </c>
      <c r="K42" s="372">
        <f t="shared" ref="K42:K50" si="27">IF(F42="Prod",$F$4,$F$5)</f>
        <v>0.85014347095642351</v>
      </c>
      <c r="L42" s="488">
        <f>Passby_Length_Adj!H37</f>
        <v>0.9441087613293051</v>
      </c>
      <c r="M42" s="488">
        <f>Passby_Length_Adj!J37</f>
        <v>1</v>
      </c>
      <c r="N42" s="372">
        <v>0.5</v>
      </c>
      <c r="O42" s="481">
        <f t="shared" ref="O42:O50" si="28">L42*M42*N42</f>
        <v>0.47205438066465255</v>
      </c>
      <c r="P42" s="489">
        <f t="shared" ref="P42:P50" si="29">IF($F42="Prod",$I42*$O42*$F$4*$F$6,$I42*O42*$F$5*$F$7)</f>
        <v>13.214447640099126</v>
      </c>
      <c r="Q42" s="490">
        <f t="shared" si="5"/>
        <v>7.9128428982629497</v>
      </c>
      <c r="R42" s="491">
        <f t="shared" ref="R42:R50" si="30">$Q$4</f>
        <v>261.71052631578948</v>
      </c>
      <c r="S42" s="500">
        <f t="shared" ref="S42:S104" si="31">Q42*R42</f>
        <v>2070.8742795585536</v>
      </c>
      <c r="T42" s="489">
        <f t="shared" ref="T42:T50" si="32">IF($F42="Prod",$I42*$O42*$G$4*$G$6,$I42*$O42*$G$5*$G$7)</f>
        <v>1.0079469842351685</v>
      </c>
      <c r="U42" s="493">
        <f t="shared" ref="U42:U50" si="33">+$R$4</f>
        <v>405.42115030277023</v>
      </c>
      <c r="V42" s="500">
        <f t="shared" ref="V42:V50" si="34">+T42*U42</f>
        <v>408.6430257928302</v>
      </c>
      <c r="W42" s="489">
        <f t="shared" ref="W42:W50" si="35">IF($F42="Prod",$I42*$O42*$J$4*$J$6,$I42*$O42*$J$5*$J$7)</f>
        <v>0.46580979030482028</v>
      </c>
      <c r="X42" s="493">
        <f t="shared" ref="X42:X50" si="36">+$S$4</f>
        <v>37.9060089869281</v>
      </c>
      <c r="Y42" s="763">
        <f t="shared" ref="Y42:Y50" si="37">+W42*X42</f>
        <v>17.656990097493612</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21282.340009063264</v>
      </c>
      <c r="I43" s="487">
        <f>ITECountywide!$B$9*E43</f>
        <v>55.066196343157593</v>
      </c>
      <c r="J43" s="495">
        <f t="shared" si="26"/>
        <v>1.67</v>
      </c>
      <c r="K43" s="372">
        <f t="shared" si="27"/>
        <v>0.85014347095642351</v>
      </c>
      <c r="L43" s="488">
        <f>Passby_Length_Adj!H38</f>
        <v>0.63829555828418605</v>
      </c>
      <c r="M43" s="488">
        <f>Passby_Length_Adj!J38</f>
        <v>1</v>
      </c>
      <c r="N43" s="372">
        <v>0.5</v>
      </c>
      <c r="O43" s="481">
        <f t="shared" si="28"/>
        <v>0.31914777914209302</v>
      </c>
      <c r="P43" s="489">
        <f t="shared" si="29"/>
        <v>112.6210405982095</v>
      </c>
      <c r="Q43" s="490">
        <f t="shared" si="5"/>
        <v>67.437748861203303</v>
      </c>
      <c r="R43" s="491">
        <f t="shared" si="30"/>
        <v>261.71052631578948</v>
      </c>
      <c r="S43" s="500">
        <f t="shared" si="31"/>
        <v>17649.16874801755</v>
      </c>
      <c r="T43" s="489">
        <f t="shared" si="32"/>
        <v>8.5902976290835138</v>
      </c>
      <c r="U43" s="493">
        <f t="shared" si="33"/>
        <v>405.42115030277023</v>
      </c>
      <c r="V43" s="500">
        <f t="shared" si="34"/>
        <v>3482.6883462261981</v>
      </c>
      <c r="W43" s="489">
        <f t="shared" si="35"/>
        <v>3.9698960360456739</v>
      </c>
      <c r="X43" s="493">
        <f t="shared" si="36"/>
        <v>37.9060089869281</v>
      </c>
      <c r="Y43" s="763">
        <f t="shared" si="37"/>
        <v>150.48291481951756</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25234.50030077418</v>
      </c>
      <c r="I44" s="487">
        <f>ITECountywide!$B$9*E44</f>
        <v>141.54441318094723</v>
      </c>
      <c r="J44" s="495">
        <f t="shared" si="26"/>
        <v>1.67</v>
      </c>
      <c r="K44" s="372">
        <f t="shared" si="27"/>
        <v>0.85014347095642351</v>
      </c>
      <c r="L44" s="488">
        <f>Passby_Length_Adj!H39</f>
        <v>0.33534743202416922</v>
      </c>
      <c r="M44" s="488">
        <f>Passby_Length_Adj!J39</f>
        <v>0.878</v>
      </c>
      <c r="N44" s="372">
        <v>0.5</v>
      </c>
      <c r="O44" s="481">
        <f t="shared" si="28"/>
        <v>0.14721752265861029</v>
      </c>
      <c r="P44" s="489">
        <f t="shared" si="29"/>
        <v>133.53492527789501</v>
      </c>
      <c r="Q44" s="490">
        <f t="shared" si="5"/>
        <v>79.961033100535943</v>
      </c>
      <c r="R44" s="491">
        <f t="shared" si="30"/>
        <v>261.71052631578948</v>
      </c>
      <c r="S44" s="500">
        <f t="shared" si="31"/>
        <v>20926.644057495527</v>
      </c>
      <c r="T44" s="489">
        <f t="shared" si="32"/>
        <v>10.185527907764536</v>
      </c>
      <c r="U44" s="493">
        <f t="shared" si="33"/>
        <v>405.42115030277023</v>
      </c>
      <c r="V44" s="500">
        <f t="shared" si="34"/>
        <v>4129.428440806867</v>
      </c>
      <c r="W44" s="489">
        <f t="shared" si="35"/>
        <v>4.7071112797265222</v>
      </c>
      <c r="X44" s="493">
        <f t="shared" si="36"/>
        <v>37.9060089869281</v>
      </c>
      <c r="Y44" s="763">
        <f t="shared" si="37"/>
        <v>178.42780247178419</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71092.202153544858</v>
      </c>
      <c r="I45" s="487">
        <f>ITECountywide!$B$9*E45</f>
        <v>398.76771545407081</v>
      </c>
      <c r="J45" s="495">
        <f t="shared" si="26"/>
        <v>1.67</v>
      </c>
      <c r="K45" s="372">
        <f t="shared" si="27"/>
        <v>0.85014347095642351</v>
      </c>
      <c r="L45" s="488">
        <f>Passby_Length_Adj!H40</f>
        <v>0.33534743202416922</v>
      </c>
      <c r="M45" s="488">
        <f>Passby_Length_Adj!J40</f>
        <v>0.878</v>
      </c>
      <c r="N45" s="372">
        <v>0.5</v>
      </c>
      <c r="O45" s="481">
        <f t="shared" si="28"/>
        <v>0.14721752265861029</v>
      </c>
      <c r="P45" s="489">
        <f t="shared" si="29"/>
        <v>376.20288847658986</v>
      </c>
      <c r="Q45" s="490">
        <f t="shared" si="5"/>
        <v>225.27119070454484</v>
      </c>
      <c r="R45" s="491">
        <f t="shared" si="30"/>
        <v>261.71052631578948</v>
      </c>
      <c r="S45" s="500">
        <f t="shared" si="31"/>
        <v>58955.841883071014</v>
      </c>
      <c r="T45" s="489">
        <f t="shared" si="32"/>
        <v>28.695302083598381</v>
      </c>
      <c r="U45" s="493">
        <f t="shared" si="33"/>
        <v>405.42115030277023</v>
      </c>
      <c r="V45" s="500">
        <f t="shared" si="34"/>
        <v>11633.682379017935</v>
      </c>
      <c r="W45" s="489">
        <f t="shared" si="35"/>
        <v>13.261166366241962</v>
      </c>
      <c r="X45" s="493">
        <f t="shared" si="36"/>
        <v>37.9060089869281</v>
      </c>
      <c r="Y45" s="763">
        <f t="shared" si="37"/>
        <v>502.67789145591649</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37415.726790127352</v>
      </c>
      <c r="I46" s="487">
        <f>ITECountywide!$B$9*E46</f>
        <v>96.80992582909964</v>
      </c>
      <c r="J46" s="495">
        <f t="shared" si="26"/>
        <v>1.67</v>
      </c>
      <c r="K46" s="372">
        <f t="shared" si="27"/>
        <v>0.85014347095642351</v>
      </c>
      <c r="L46" s="488">
        <f>Passby_Length_Adj!H41</f>
        <v>0.63829555828418605</v>
      </c>
      <c r="M46" s="488">
        <f>Passby_Length_Adj!J41</f>
        <v>1</v>
      </c>
      <c r="N46" s="372">
        <v>0.5</v>
      </c>
      <c r="O46" s="481">
        <f t="shared" si="28"/>
        <v>0.31914777914209302</v>
      </c>
      <c r="P46" s="489">
        <f t="shared" si="29"/>
        <v>197.99505524523929</v>
      </c>
      <c r="Q46" s="490">
        <f t="shared" si="5"/>
        <v>118.55991332050257</v>
      </c>
      <c r="R46" s="491">
        <f t="shared" si="30"/>
        <v>261.71052631578948</v>
      </c>
      <c r="S46" s="500">
        <f t="shared" si="31"/>
        <v>31028.37731506311</v>
      </c>
      <c r="T46" s="489">
        <f t="shared" si="32"/>
        <v>15.102297444679079</v>
      </c>
      <c r="U46" s="493">
        <f t="shared" si="33"/>
        <v>405.42115030277023</v>
      </c>
      <c r="V46" s="500">
        <f t="shared" si="34"/>
        <v>6122.7908022363799</v>
      </c>
      <c r="W46" s="489">
        <f t="shared" si="35"/>
        <v>6.9793333536931996</v>
      </c>
      <c r="X46" s="493">
        <f t="shared" si="36"/>
        <v>37.9060089869281</v>
      </c>
      <c r="Y46" s="763">
        <f t="shared" si="37"/>
        <v>264.55867282786147</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21240.307737814292</v>
      </c>
      <c r="I47" s="487">
        <f>ITECountywide!$B$9*E47</f>
        <v>54.957441511670126</v>
      </c>
      <c r="J47" s="495">
        <f t="shared" si="26"/>
        <v>1.67</v>
      </c>
      <c r="K47" s="372">
        <f t="shared" si="27"/>
        <v>0.85014347095642351</v>
      </c>
      <c r="L47" s="488">
        <f>Passby_Length_Adj!H42</f>
        <v>0.63829555828418605</v>
      </c>
      <c r="M47" s="488">
        <f>Passby_Length_Adj!J42</f>
        <v>1</v>
      </c>
      <c r="N47" s="372">
        <v>0.5</v>
      </c>
      <c r="O47" s="481">
        <f t="shared" si="28"/>
        <v>0.31914777914209302</v>
      </c>
      <c r="P47" s="489">
        <f t="shared" si="29"/>
        <v>112.39861589656722</v>
      </c>
      <c r="Q47" s="490">
        <f t="shared" si="5"/>
        <v>67.304560417106117</v>
      </c>
      <c r="R47" s="491">
        <f t="shared" si="30"/>
        <v>261.71052631578948</v>
      </c>
      <c r="S47" s="500">
        <f t="shared" si="31"/>
        <v>17614.311930213695</v>
      </c>
      <c r="T47" s="489">
        <f t="shared" si="32"/>
        <v>8.5733319326468767</v>
      </c>
      <c r="U47" s="493">
        <f t="shared" si="33"/>
        <v>405.42115030277023</v>
      </c>
      <c r="V47" s="500">
        <f t="shared" si="34"/>
        <v>3475.8100940611689</v>
      </c>
      <c r="W47" s="489">
        <f t="shared" si="35"/>
        <v>3.9620555567118112</v>
      </c>
      <c r="X47" s="493">
        <f t="shared" si="36"/>
        <v>37.9060089869281</v>
      </c>
      <c r="Y47" s="763">
        <f t="shared" si="37"/>
        <v>150.18571353942633</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27110.81495558751</v>
      </c>
      <c r="I48" s="487">
        <f>ITECountywide!$B$9*E48</f>
        <v>70.146866309420645</v>
      </c>
      <c r="J48" s="495">
        <f t="shared" si="26"/>
        <v>1.67</v>
      </c>
      <c r="K48" s="372">
        <f t="shared" si="27"/>
        <v>0.85014347095642351</v>
      </c>
      <c r="L48" s="488">
        <f>Passby_Length_Adj!H43</f>
        <v>0.63829555828418605</v>
      </c>
      <c r="M48" s="488">
        <f>Passby_Length_Adj!J43</f>
        <v>1</v>
      </c>
      <c r="N48" s="372">
        <v>0.5</v>
      </c>
      <c r="O48" s="481">
        <f t="shared" si="28"/>
        <v>0.31914777914209302</v>
      </c>
      <c r="P48" s="489">
        <f t="shared" si="29"/>
        <v>143.46393255927285</v>
      </c>
      <c r="Q48" s="490">
        <f t="shared" si="5"/>
        <v>85.906546442678362</v>
      </c>
      <c r="R48" s="491">
        <f t="shared" si="30"/>
        <v>261.71052631578948</v>
      </c>
      <c r="S48" s="500">
        <f t="shared" si="31"/>
        <v>22482.647483485165</v>
      </c>
      <c r="T48" s="489">
        <f t="shared" si="32"/>
        <v>10.942874201630417</v>
      </c>
      <c r="U48" s="493">
        <f t="shared" si="33"/>
        <v>405.42115030277023</v>
      </c>
      <c r="V48" s="500">
        <f t="shared" si="34"/>
        <v>4436.4726464435116</v>
      </c>
      <c r="W48" s="489">
        <f t="shared" si="35"/>
        <v>5.0571091703412643</v>
      </c>
      <c r="X48" s="493">
        <f t="shared" si="36"/>
        <v>37.9060089869281</v>
      </c>
      <c r="Y48" s="763">
        <f t="shared" si="37"/>
        <v>191.69482565883249</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2647.1924432603109</v>
      </c>
      <c r="I49" s="487">
        <f>ITECountywide!$B$9*E49</f>
        <v>7.2865737096607477</v>
      </c>
      <c r="J49" s="495">
        <f t="shared" si="26"/>
        <v>1.67</v>
      </c>
      <c r="K49" s="372">
        <f t="shared" si="27"/>
        <v>0.85014347095642351</v>
      </c>
      <c r="L49" s="488">
        <f>Passby_Length_Adj!H44</f>
        <v>0.63829555828418605</v>
      </c>
      <c r="M49" s="488">
        <f>Passby_Length_Adj!J44</f>
        <v>0.94</v>
      </c>
      <c r="N49" s="372">
        <v>0.5</v>
      </c>
      <c r="O49" s="481">
        <f t="shared" si="28"/>
        <v>0.29999891239356741</v>
      </c>
      <c r="P49" s="489">
        <f t="shared" si="29"/>
        <v>14.008307709431007</v>
      </c>
      <c r="Q49" s="490">
        <f t="shared" si="5"/>
        <v>8.3882082092401244</v>
      </c>
      <c r="R49" s="491">
        <f t="shared" si="30"/>
        <v>261.71052631578948</v>
      </c>
      <c r="S49" s="500">
        <f t="shared" si="31"/>
        <v>2195.2823852866591</v>
      </c>
      <c r="T49" s="489">
        <f t="shared" si="32"/>
        <v>1.068499561579354</v>
      </c>
      <c r="U49" s="493">
        <f t="shared" si="33"/>
        <v>405.42115030277023</v>
      </c>
      <c r="V49" s="500">
        <f t="shared" si="34"/>
        <v>433.1923213535074</v>
      </c>
      <c r="W49" s="489">
        <f t="shared" si="35"/>
        <v>0.49379338844665527</v>
      </c>
      <c r="X49" s="493">
        <f t="shared" si="36"/>
        <v>37.9060089869281</v>
      </c>
      <c r="Y49" s="763">
        <f t="shared" si="37"/>
        <v>18.717736620144592</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20189.500956589971</v>
      </c>
      <c r="I50" s="487">
        <f>ITECountywide!$B$9*E50</f>
        <v>52.238570724483274</v>
      </c>
      <c r="J50" s="495">
        <f t="shared" si="26"/>
        <v>1.67</v>
      </c>
      <c r="K50" s="372">
        <f t="shared" si="27"/>
        <v>0.85014347095642351</v>
      </c>
      <c r="L50" s="488">
        <f>Passby_Length_Adj!H45</f>
        <v>0.63829555828418605</v>
      </c>
      <c r="M50" s="488">
        <f>Passby_Length_Adj!J45</f>
        <v>1</v>
      </c>
      <c r="N50" s="372">
        <v>0.5</v>
      </c>
      <c r="O50" s="481">
        <f t="shared" si="28"/>
        <v>0.31914777914209302</v>
      </c>
      <c r="P50" s="489">
        <f t="shared" si="29"/>
        <v>106.83799835551014</v>
      </c>
      <c r="Q50" s="490">
        <f t="shared" si="5"/>
        <v>63.974849314676732</v>
      </c>
      <c r="R50" s="491">
        <f t="shared" si="30"/>
        <v>261.71052631578948</v>
      </c>
      <c r="S50" s="500">
        <f t="shared" si="31"/>
        <v>16742.891485117372</v>
      </c>
      <c r="T50" s="489">
        <f t="shared" si="32"/>
        <v>8.1491895217309693</v>
      </c>
      <c r="U50" s="493">
        <f t="shared" si="33"/>
        <v>405.42115030277023</v>
      </c>
      <c r="V50" s="500">
        <f t="shared" si="34"/>
        <v>3303.8537899354515</v>
      </c>
      <c r="W50" s="489">
        <f t="shared" si="35"/>
        <v>3.7660435733652506</v>
      </c>
      <c r="X50" s="493">
        <f t="shared" si="36"/>
        <v>37.9060089869281</v>
      </c>
      <c r="Y50" s="763">
        <f t="shared" si="37"/>
        <v>142.75568153714602</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966.7432923494614</v>
      </c>
      <c r="I52" s="487">
        <f>ITECountywide!$B$9*E52</f>
        <v>3.4257771918554263</v>
      </c>
      <c r="J52" s="495">
        <f t="shared" ref="J52:J60" si="38">IF(F52="Prod",$M$3,$M$4)</f>
        <v>1.67</v>
      </c>
      <c r="K52" s="372">
        <f t="shared" ref="K52:K60" si="39">IF(F52="Prod",$F$4,$F$5)</f>
        <v>0.85014347095642351</v>
      </c>
      <c r="L52" s="488">
        <f>Passby_Length_Adj!H47</f>
        <v>0.87013619005702103</v>
      </c>
      <c r="M52" s="488">
        <f>Passby_Length_Adj!J47</f>
        <v>0.53561452513966479</v>
      </c>
      <c r="N52" s="372">
        <v>0.5</v>
      </c>
      <c r="O52" s="481">
        <f t="shared" ref="O52:O60" si="40">L52*M52*N52</f>
        <v>0.23302879112211422</v>
      </c>
      <c r="P52" s="489">
        <f t="shared" ref="P52:P60" si="41">IF($F52="Prod",$I52*$O52*$F$4*$F$6,$I52*O52*$F$5*$F$7)</f>
        <v>5.1157737132932661</v>
      </c>
      <c r="Q52" s="490">
        <f t="shared" si="5"/>
        <v>3.0633375528702196</v>
      </c>
      <c r="R52" s="491">
        <f t="shared" ref="R52:R60" si="42">$Q$4</f>
        <v>261.71052631578948</v>
      </c>
      <c r="S52" s="500">
        <f t="shared" si="31"/>
        <v>801.70768324458777</v>
      </c>
      <c r="T52" s="489">
        <f t="shared" ref="T52:T60" si="43">IF($F52="Prod",$I52*$O52*$G$4*$G$6,$I52*$O52*$G$5*$G$7)</f>
        <v>0.39021144332180485</v>
      </c>
      <c r="U52" s="493">
        <f t="shared" ref="U52:U60" si="44">+$R$4</f>
        <v>405.42115030277023</v>
      </c>
      <c r="V52" s="500">
        <f t="shared" ref="V52:V60" si="45">+T52*U52</f>
        <v>158.19997221283035</v>
      </c>
      <c r="W52" s="489">
        <f t="shared" ref="W52:W60" si="46">IF($F52="Prod",$I52*$O52*$J$4*$J$6,$I52*$O52*$J$5*$J$7)</f>
        <v>0.18033122121615766</v>
      </c>
      <c r="X52" s="493">
        <f t="shared" ref="X52:X60" si="47">+$S$4</f>
        <v>37.9060089869281</v>
      </c>
      <c r="Y52" s="763">
        <f t="shared" ref="Y52:Y60" si="48">+W52*X52</f>
        <v>6.8356368920433912</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1038.3539065975697</v>
      </c>
      <c r="I53" s="487">
        <f>ITECountywide!$B$9*E53</f>
        <v>3.6795384653261984</v>
      </c>
      <c r="J53" s="495">
        <f t="shared" si="38"/>
        <v>1.67</v>
      </c>
      <c r="K53" s="372">
        <f t="shared" si="39"/>
        <v>0.85014347095642351</v>
      </c>
      <c r="L53" s="488">
        <f>Passby_Length_Adj!H48</f>
        <v>0.87013619005702103</v>
      </c>
      <c r="M53" s="488">
        <f>Passby_Length_Adj!J48</f>
        <v>0.53561452513966479</v>
      </c>
      <c r="N53" s="372">
        <v>0.5</v>
      </c>
      <c r="O53" s="481">
        <f t="shared" si="40"/>
        <v>0.23302879112211422</v>
      </c>
      <c r="P53" s="489">
        <f t="shared" si="41"/>
        <v>5.4947199142779519</v>
      </c>
      <c r="Q53" s="490">
        <f t="shared" si="5"/>
        <v>3.2902514456754206</v>
      </c>
      <c r="R53" s="491">
        <f t="shared" si="42"/>
        <v>261.71052631578948</v>
      </c>
      <c r="S53" s="500">
        <f t="shared" si="31"/>
        <v>861.09343755900159</v>
      </c>
      <c r="T53" s="489">
        <f t="shared" si="43"/>
        <v>0.41911599467897553</v>
      </c>
      <c r="U53" s="493">
        <f t="shared" si="44"/>
        <v>405.42115030277023</v>
      </c>
      <c r="V53" s="500">
        <f t="shared" si="45"/>
        <v>169.91848867303997</v>
      </c>
      <c r="W53" s="489">
        <f t="shared" si="46"/>
        <v>0.19368908945439156</v>
      </c>
      <c r="X53" s="493">
        <f t="shared" si="47"/>
        <v>37.9060089869281</v>
      </c>
      <c r="Y53" s="763">
        <f t="shared" si="48"/>
        <v>7.3419803655280873</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1851.2782015486468</v>
      </c>
      <c r="I54" s="487">
        <f>ITECountywide!$B$9*E54</f>
        <v>7.4497059568919601</v>
      </c>
      <c r="J54" s="495">
        <f t="shared" si="38"/>
        <v>1.67</v>
      </c>
      <c r="K54" s="372">
        <f t="shared" si="39"/>
        <v>0.85014347095642351</v>
      </c>
      <c r="L54" s="488">
        <f>Passby_Length_Adj!H49</f>
        <v>0.76624514210263772</v>
      </c>
      <c r="M54" s="488">
        <f>Passby_Length_Adj!J49</f>
        <v>0.53561452513966479</v>
      </c>
      <c r="N54" s="372">
        <v>0.5</v>
      </c>
      <c r="O54" s="481">
        <f t="shared" si="40"/>
        <v>0.20520601396393964</v>
      </c>
      <c r="P54" s="489">
        <f t="shared" si="41"/>
        <v>9.7965203735304485</v>
      </c>
      <c r="Q54" s="490">
        <f t="shared" si="5"/>
        <v>5.8661798643894905</v>
      </c>
      <c r="R54" s="491">
        <f t="shared" si="42"/>
        <v>261.71052631578948</v>
      </c>
      <c r="S54" s="500">
        <f t="shared" si="31"/>
        <v>1535.24101977246</v>
      </c>
      <c r="T54" s="489">
        <f t="shared" si="43"/>
        <v>0.74724070467650128</v>
      </c>
      <c r="U54" s="493">
        <f t="shared" si="44"/>
        <v>405.42115030277023</v>
      </c>
      <c r="V54" s="500">
        <f t="shared" si="45"/>
        <v>302.94718604299976</v>
      </c>
      <c r="W54" s="489">
        <f t="shared" si="46"/>
        <v>0.34532772198996631</v>
      </c>
      <c r="X54" s="493">
        <f t="shared" si="47"/>
        <v>37.9060089869281</v>
      </c>
      <c r="Y54" s="763">
        <f t="shared" si="48"/>
        <v>13.089995733187072</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1117.0729780634169</v>
      </c>
      <c r="I55" s="487">
        <f>ITECountywide!$B$9*E55</f>
        <v>4.4951997014822531</v>
      </c>
      <c r="J55" s="495">
        <f t="shared" si="38"/>
        <v>1.67</v>
      </c>
      <c r="K55" s="372">
        <f t="shared" si="39"/>
        <v>0.85014347095642351</v>
      </c>
      <c r="L55" s="488">
        <f>Passby_Length_Adj!H50</f>
        <v>0.76624514210263772</v>
      </c>
      <c r="M55" s="488">
        <f>Passby_Length_Adj!J50</f>
        <v>0.53561452513966479</v>
      </c>
      <c r="N55" s="372">
        <v>0.5</v>
      </c>
      <c r="O55" s="481">
        <f t="shared" si="40"/>
        <v>0.20520601396393964</v>
      </c>
      <c r="P55" s="489">
        <f t="shared" si="41"/>
        <v>5.9112823665098553</v>
      </c>
      <c r="Q55" s="490">
        <f t="shared" si="5"/>
        <v>3.5396900398262607</v>
      </c>
      <c r="R55" s="491">
        <f t="shared" si="42"/>
        <v>261.71052631578948</v>
      </c>
      <c r="S55" s="500">
        <f t="shared" si="31"/>
        <v>926.37414331768855</v>
      </c>
      <c r="T55" s="489">
        <f t="shared" si="43"/>
        <v>0.45088976827195215</v>
      </c>
      <c r="U55" s="493">
        <f t="shared" si="44"/>
        <v>405.42115030277023</v>
      </c>
      <c r="V55" s="500">
        <f t="shared" si="45"/>
        <v>182.80024851256437</v>
      </c>
      <c r="W55" s="489">
        <f t="shared" si="46"/>
        <v>0.20837293200367799</v>
      </c>
      <c r="X55" s="493">
        <f t="shared" si="47"/>
        <v>37.9060089869281</v>
      </c>
      <c r="Y55" s="763">
        <f t="shared" si="48"/>
        <v>7.898586233163976</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2030.3995748622344</v>
      </c>
      <c r="I56" s="487">
        <f>ITECountywide!$B$9*E56</f>
        <v>3.3532739708637775</v>
      </c>
      <c r="J56" s="495">
        <f t="shared" si="38"/>
        <v>1.67</v>
      </c>
      <c r="K56" s="372">
        <f t="shared" si="39"/>
        <v>0.85014347095642351</v>
      </c>
      <c r="L56" s="488">
        <f>Passby_Length_Adj!H51</f>
        <v>1</v>
      </c>
      <c r="M56" s="488">
        <f>Passby_Length_Adj!J51</f>
        <v>1</v>
      </c>
      <c r="N56" s="372">
        <v>0.5</v>
      </c>
      <c r="O56" s="481">
        <f t="shared" si="40"/>
        <v>0.5</v>
      </c>
      <c r="P56" s="489">
        <f t="shared" si="41"/>
        <v>10.744387734326573</v>
      </c>
      <c r="Q56" s="490">
        <f t="shared" si="5"/>
        <v>6.4337651103751936</v>
      </c>
      <c r="R56" s="491">
        <f t="shared" si="42"/>
        <v>261.71052631578948</v>
      </c>
      <c r="S56" s="500">
        <f t="shared" si="31"/>
        <v>1683.7840532284554</v>
      </c>
      <c r="T56" s="489">
        <f t="shared" si="43"/>
        <v>0.81954036288319387</v>
      </c>
      <c r="U56" s="493">
        <f t="shared" si="44"/>
        <v>405.42115030277023</v>
      </c>
      <c r="V56" s="500">
        <f t="shared" si="45"/>
        <v>332.25899663965419</v>
      </c>
      <c r="W56" s="489">
        <f t="shared" si="46"/>
        <v>0.37874008311124541</v>
      </c>
      <c r="X56" s="493">
        <f t="shared" si="47"/>
        <v>37.9060089869281</v>
      </c>
      <c r="Y56" s="763">
        <f t="shared" si="48"/>
        <v>14.356524994124763</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517.99755031166501</v>
      </c>
      <c r="I57" s="487">
        <f>ITECountywide!$B$9*E57</f>
        <v>2.0844676035099154</v>
      </c>
      <c r="J57" s="495">
        <f t="shared" si="38"/>
        <v>1.67</v>
      </c>
      <c r="K57" s="372">
        <f t="shared" si="39"/>
        <v>0.85014347095642351</v>
      </c>
      <c r="L57" s="488">
        <f>Passby_Length_Adj!H52</f>
        <v>0.76624514210263772</v>
      </c>
      <c r="M57" s="488">
        <f>Passby_Length_Adj!J52</f>
        <v>0.53561452513966479</v>
      </c>
      <c r="N57" s="372">
        <v>0.5</v>
      </c>
      <c r="O57" s="481">
        <f t="shared" si="40"/>
        <v>0.20520601396393964</v>
      </c>
      <c r="P57" s="489">
        <f t="shared" si="41"/>
        <v>2.7411188393090056</v>
      </c>
      <c r="Q57" s="490">
        <f t="shared" si="5"/>
        <v>1.6413885265323387</v>
      </c>
      <c r="R57" s="491">
        <f t="shared" si="42"/>
        <v>261.71052631578948</v>
      </c>
      <c r="S57" s="500">
        <f t="shared" si="31"/>
        <v>429.56865516747655</v>
      </c>
      <c r="T57" s="489">
        <f t="shared" si="43"/>
        <v>0.20908194899707452</v>
      </c>
      <c r="U57" s="493">
        <f t="shared" si="44"/>
        <v>405.42115030277023</v>
      </c>
      <c r="V57" s="500">
        <f t="shared" si="45"/>
        <v>84.766244269939094</v>
      </c>
      <c r="W57" s="489">
        <f t="shared" si="46"/>
        <v>9.6624545082350646E-2</v>
      </c>
      <c r="X57" s="493">
        <f t="shared" si="47"/>
        <v>37.9060089869281</v>
      </c>
      <c r="Y57" s="763">
        <f t="shared" si="48"/>
        <v>3.6626508742494228</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702.67493781408473</v>
      </c>
      <c r="I58" s="487">
        <f>ITECountywide!$B$9*E58</f>
        <v>2.8276256186743205</v>
      </c>
      <c r="J58" s="495">
        <f t="shared" si="38"/>
        <v>1.67</v>
      </c>
      <c r="K58" s="372">
        <f t="shared" si="39"/>
        <v>0.85014347095642351</v>
      </c>
      <c r="L58" s="488">
        <f>Passby_Length_Adj!H53</f>
        <v>0.76624514210263772</v>
      </c>
      <c r="M58" s="488">
        <f>Passby_Length_Adj!J53</f>
        <v>0.53561452513966479</v>
      </c>
      <c r="N58" s="372">
        <v>0.5</v>
      </c>
      <c r="O58" s="481">
        <f t="shared" si="40"/>
        <v>0.20520601396393964</v>
      </c>
      <c r="P58" s="489">
        <f t="shared" si="41"/>
        <v>3.7183872950626511</v>
      </c>
      <c r="Q58" s="490">
        <f t="shared" si="5"/>
        <v>2.2265792186003899</v>
      </c>
      <c r="R58" s="491">
        <f t="shared" si="42"/>
        <v>261.71052631578948</v>
      </c>
      <c r="S58" s="500">
        <f t="shared" si="31"/>
        <v>582.71921918370731</v>
      </c>
      <c r="T58" s="489">
        <f t="shared" si="43"/>
        <v>0.28362420907429242</v>
      </c>
      <c r="U58" s="493">
        <f t="shared" si="44"/>
        <v>405.42115030277023</v>
      </c>
      <c r="V58" s="500">
        <f t="shared" si="45"/>
        <v>114.98725309661303</v>
      </c>
      <c r="W58" s="489">
        <f t="shared" si="46"/>
        <v>0.13107329593779743</v>
      </c>
      <c r="X58" s="493">
        <f t="shared" si="47"/>
        <v>37.9060089869281</v>
      </c>
      <c r="Y58" s="763">
        <f t="shared" si="48"/>
        <v>4.9684655337644354</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6872.6013967879298</v>
      </c>
      <c r="I59" s="487">
        <f>ITECountywide!$B$9*E59</f>
        <v>12.597434647299055</v>
      </c>
      <c r="J59" s="495">
        <f t="shared" si="38"/>
        <v>1.67</v>
      </c>
      <c r="K59" s="372">
        <f t="shared" si="39"/>
        <v>0.85014347095642351</v>
      </c>
      <c r="L59" s="488">
        <f>Passby_Length_Adj!H54</f>
        <v>0.90100368260427022</v>
      </c>
      <c r="M59" s="488">
        <f>Passby_Length_Adj!J54</f>
        <v>1</v>
      </c>
      <c r="N59" s="372">
        <v>0.5</v>
      </c>
      <c r="O59" s="481">
        <f t="shared" si="40"/>
        <v>0.45050184130213511</v>
      </c>
      <c r="P59" s="489">
        <f t="shared" si="41"/>
        <v>36.368158792376711</v>
      </c>
      <c r="Q59" s="490">
        <f t="shared" si="5"/>
        <v>21.777340594237554</v>
      </c>
      <c r="R59" s="491">
        <f t="shared" si="42"/>
        <v>261.71052631578948</v>
      </c>
      <c r="S59" s="500">
        <f t="shared" si="31"/>
        <v>5699.3592686761176</v>
      </c>
      <c r="T59" s="489">
        <f t="shared" si="43"/>
        <v>2.774022567975218</v>
      </c>
      <c r="U59" s="493">
        <f t="shared" si="44"/>
        <v>405.42115030277023</v>
      </c>
      <c r="V59" s="500">
        <f t="shared" si="45"/>
        <v>1124.6474204743574</v>
      </c>
      <c r="W59" s="489">
        <f t="shared" si="46"/>
        <v>1.2819790037567038</v>
      </c>
      <c r="X59" s="493">
        <f t="shared" si="47"/>
        <v>37.9060089869281</v>
      </c>
      <c r="Y59" s="763">
        <f t="shared" si="48"/>
        <v>48.594707637454746</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11731.358482790067</v>
      </c>
      <c r="I60" s="487">
        <f>ITECountywide!$B$9*E60</f>
        <v>86.315084590558413</v>
      </c>
      <c r="J60" s="495">
        <f t="shared" si="38"/>
        <v>1.67</v>
      </c>
      <c r="K60" s="372">
        <f t="shared" si="39"/>
        <v>0.85014347095642351</v>
      </c>
      <c r="L60" s="488">
        <f>Passby_Length_Adj!H55</f>
        <v>0.30664652567975825</v>
      </c>
      <c r="M60" s="488">
        <f>Passby_Length_Adj!J55</f>
        <v>0.73199999999999998</v>
      </c>
      <c r="N60" s="372">
        <v>0.5</v>
      </c>
      <c r="O60" s="481">
        <f t="shared" si="40"/>
        <v>0.11223262839879151</v>
      </c>
      <c r="P60" s="489">
        <f t="shared" si="41"/>
        <v>62.079536338570222</v>
      </c>
      <c r="Q60" s="490">
        <f t="shared" si="5"/>
        <v>37.173375053036061</v>
      </c>
      <c r="R60" s="491">
        <f t="shared" si="42"/>
        <v>261.71052631578948</v>
      </c>
      <c r="S60" s="500">
        <f t="shared" si="31"/>
        <v>9728.663550064306</v>
      </c>
      <c r="T60" s="489">
        <f t="shared" si="43"/>
        <v>4.7351870573312915</v>
      </c>
      <c r="U60" s="493">
        <f t="shared" si="44"/>
        <v>405.42115030277023</v>
      </c>
      <c r="V60" s="500">
        <f t="shared" si="45"/>
        <v>1919.7449836820417</v>
      </c>
      <c r="W60" s="489">
        <f t="shared" si="46"/>
        <v>2.188306056496883</v>
      </c>
      <c r="X60" s="493">
        <f t="shared" si="47"/>
        <v>37.9060089869281</v>
      </c>
      <c r="Y60" s="763">
        <f t="shared" si="48"/>
        <v>82.949949043720039</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11765.342401363861</v>
      </c>
      <c r="I62" s="487">
        <f>ITECountywide!$B$9*E62</f>
        <v>19.430863225761996</v>
      </c>
      <c r="J62" s="495">
        <f>IF(F62="Prod",$M$3,$M$4)</f>
        <v>1.67</v>
      </c>
      <c r="K62" s="372">
        <f>IF(F62="Prod",$F$4,$F$5)</f>
        <v>0.85014347095642351</v>
      </c>
      <c r="L62" s="488">
        <f>Passby_Length_Adj!H57</f>
        <v>1</v>
      </c>
      <c r="M62" s="488">
        <f>Passby_Length_Adj!J57</f>
        <v>1</v>
      </c>
      <c r="N62" s="372">
        <v>0.5</v>
      </c>
      <c r="O62" s="481">
        <f>L62*M62*N62</f>
        <v>0.5</v>
      </c>
      <c r="P62" s="489">
        <f>IF($F62="Prod",$I62*$O62*$F$4*$F$6,$I62*O62*$F$5*$F$7)</f>
        <v>62.259371087557206</v>
      </c>
      <c r="Q62" s="490">
        <f t="shared" si="5"/>
        <v>37.281060531471383</v>
      </c>
      <c r="R62" s="491">
        <f>$Q$4</f>
        <v>261.71052631578948</v>
      </c>
      <c r="S62" s="500">
        <f t="shared" si="31"/>
        <v>9756.8459733021809</v>
      </c>
      <c r="T62" s="489">
        <f>IF($F62="Prod",$I62*$O62*$G$4*$G$6,$I62*$O62*$G$5*$G$7)</f>
        <v>4.7489041568150476</v>
      </c>
      <c r="U62" s="493">
        <f>+$R$4</f>
        <v>405.42115030277023</v>
      </c>
      <c r="V62" s="500">
        <f>+T62*U62</f>
        <v>1925.3061859335637</v>
      </c>
      <c r="W62" s="489">
        <f>IF($F62="Prod",$I62*$O62*$J$4*$J$6,$I62*$O62*$J$5*$J$7)</f>
        <v>2.19464523835273</v>
      </c>
      <c r="X62" s="493">
        <f>+$S$4</f>
        <v>37.9060089869281</v>
      </c>
      <c r="Y62" s="763">
        <f>+W62*X62</f>
        <v>83.190242128117546</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1169.3997406422554</v>
      </c>
      <c r="I63" s="487">
        <f>ITECountywide!$B$9*E63</f>
        <v>5.5464964058611672</v>
      </c>
      <c r="J63" s="495">
        <f>IF(F63="Prod",$M$3,$M$4)</f>
        <v>1.67</v>
      </c>
      <c r="K63" s="372">
        <f>IF(F63="Prod",$F$4,$F$5)</f>
        <v>0.85014347095642351</v>
      </c>
      <c r="L63" s="488">
        <f>Passby_Length_Adj!H58</f>
        <v>0.39123867069486401</v>
      </c>
      <c r="M63" s="488">
        <f>Passby_Length_Adj!J58</f>
        <v>0.89</v>
      </c>
      <c r="N63" s="372">
        <v>0.5</v>
      </c>
      <c r="O63" s="481">
        <f>L63*M63*N63</f>
        <v>0.17410120845921448</v>
      </c>
      <c r="P63" s="489">
        <f>IF($F63="Prod",$I63*$O63*$F$4*$F$6,$I63*O63*$F$5*$F$7)</f>
        <v>6.1881830480258264</v>
      </c>
      <c r="Q63" s="490">
        <f t="shared" si="5"/>
        <v>3.7054988311531898</v>
      </c>
      <c r="R63" s="491">
        <f>$Q$4</f>
        <v>261.71052631578948</v>
      </c>
      <c r="S63" s="500">
        <f t="shared" si="31"/>
        <v>969.76804936364408</v>
      </c>
      <c r="T63" s="489">
        <f>IF($F63="Prod",$I63*$O63*$G$4*$G$6,$I63*$O63*$G$5*$G$7)</f>
        <v>0.47201068187107642</v>
      </c>
      <c r="U63" s="493">
        <f>+$R$4</f>
        <v>405.42115030277023</v>
      </c>
      <c r="V63" s="500">
        <f>+T63*U63</f>
        <v>191.36311359936673</v>
      </c>
      <c r="W63" s="489">
        <f>IF($F63="Prod",$I63*$O63*$J$4*$J$6,$I63*$O63*$J$5*$J$7)</f>
        <v>0.21813369173462713</v>
      </c>
      <c r="X63" s="493">
        <f>+$S$4</f>
        <v>37.9060089869281</v>
      </c>
      <c r="Y63" s="763">
        <f>+W63*X63</f>
        <v>8.2685776792445793</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30006.358014623274</v>
      </c>
      <c r="I64" s="487">
        <f>ITECountywide!$B$9*E64</f>
        <v>69.168072826033367</v>
      </c>
      <c r="J64" s="495">
        <f>IF(F64="Prod",$M$3,$M$4)</f>
        <v>1.67</v>
      </c>
      <c r="K64" s="372">
        <f>IF(F64="Prod",$F$4,$F$5)</f>
        <v>0.85014347095642351</v>
      </c>
      <c r="L64" s="488">
        <f>Passby_Length_Adj!H59</f>
        <v>0.7703927492447129</v>
      </c>
      <c r="M64" s="488">
        <f>Passby_Length_Adj!J59</f>
        <v>0.93</v>
      </c>
      <c r="N64" s="372">
        <v>0.5</v>
      </c>
      <c r="O64" s="481">
        <f>L64*M64*N64</f>
        <v>0.3582326283987915</v>
      </c>
      <c r="P64" s="489">
        <f>IF($F64="Prod",$I64*$O64*$F$4*$F$6,$I64*O64*$F$5*$F$7)</f>
        <v>158.78645218195808</v>
      </c>
      <c r="Q64" s="490">
        <f t="shared" si="5"/>
        <v>95.081707893388071</v>
      </c>
      <c r="R64" s="491">
        <f>$Q$4</f>
        <v>261.71052631578948</v>
      </c>
      <c r="S64" s="500">
        <f t="shared" si="31"/>
        <v>24883.883815782749</v>
      </c>
      <c r="T64" s="489">
        <f>IF($F64="Prod",$I64*$O64*$G$4*$G$6,$I64*$O64*$G$5*$G$7)</f>
        <v>12.11161676773694</v>
      </c>
      <c r="U64" s="493">
        <f>+$R$4</f>
        <v>405.42115030277023</v>
      </c>
      <c r="V64" s="500">
        <f>+T64*U64</f>
        <v>4910.3056020022304</v>
      </c>
      <c r="W64" s="489">
        <f>IF($F64="Prod",$I64*$O64*$J$4*$J$6,$I64*$O64*$J$5*$J$7)</f>
        <v>5.5972285795495749</v>
      </c>
      <c r="X64" s="493">
        <f>+$S$4</f>
        <v>37.9060089869281</v>
      </c>
      <c r="Y64" s="763">
        <f>+W64*X64</f>
        <v>212.16859683829699</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14452.189325113077</v>
      </c>
      <c r="I65" s="487">
        <f>ITECountywide!$B$9*E65</f>
        <v>38.970481283011466</v>
      </c>
      <c r="J65" s="495">
        <f>IF(F65="Prod",$M$3,$M$4)</f>
        <v>1.67</v>
      </c>
      <c r="K65" s="372">
        <f>IF(F65="Prod",$F$4,$F$5)</f>
        <v>0.85014347095642351</v>
      </c>
      <c r="L65" s="488">
        <f>Passby_Length_Adj!H60</f>
        <v>0.61247081225203326</v>
      </c>
      <c r="M65" s="488">
        <f>Passby_Length_Adj!J60</f>
        <v>1</v>
      </c>
      <c r="N65" s="372">
        <v>0.5</v>
      </c>
      <c r="O65" s="481">
        <f>L65*M65*N65</f>
        <v>0.30623540612601663</v>
      </c>
      <c r="P65" s="489">
        <f>IF($F65="Prod",$I65*$O65*$F$4*$F$6,$I65*O65*$F$5*$F$7)</f>
        <v>76.477520800035805</v>
      </c>
      <c r="Q65" s="490">
        <f t="shared" si="5"/>
        <v>45.794922634751984</v>
      </c>
      <c r="R65" s="491">
        <f>$Q$4</f>
        <v>261.71052631578948</v>
      </c>
      <c r="S65" s="500">
        <f t="shared" si="31"/>
        <v>11985.013305331802</v>
      </c>
      <c r="T65" s="489">
        <f>IF($F65="Prod",$I65*$O65*$G$4*$G$6,$I65*$O65*$G$5*$G$7)</f>
        <v>5.8334096552218977</v>
      </c>
      <c r="U65" s="493">
        <f>+$R$4</f>
        <v>405.42115030277023</v>
      </c>
      <c r="V65" s="500">
        <f>+T65*U65</f>
        <v>2364.9876526073481</v>
      </c>
      <c r="W65" s="489">
        <f>IF($F65="Prod",$I65*$O65*$J$4*$J$6,$I65*$O65*$J$5*$J$7)</f>
        <v>2.6958355655212225</v>
      </c>
      <c r="X65" s="493">
        <f>+$S$4</f>
        <v>37.9060089869281</v>
      </c>
      <c r="Y65" s="763">
        <f>+W65*X65</f>
        <v>102.18836717392786</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16764.53961713117</v>
      </c>
      <c r="I66" s="487">
        <f>ITECountywide!$B$9*E66</f>
        <v>45.205758288293303</v>
      </c>
      <c r="J66" s="495">
        <f>IF(F66="Prod",$M$3,$M$4)</f>
        <v>1.67</v>
      </c>
      <c r="K66" s="372">
        <f>IF(F66="Prod",$F$4,$F$5)</f>
        <v>0.85014347095642351</v>
      </c>
      <c r="L66" s="488">
        <f>Passby_Length_Adj!H61</f>
        <v>0.61247081225203326</v>
      </c>
      <c r="M66" s="488">
        <f>Passby_Length_Adj!J61</f>
        <v>1</v>
      </c>
      <c r="N66" s="372">
        <v>0.5</v>
      </c>
      <c r="O66" s="481">
        <f>L66*M66*N66</f>
        <v>0.30623540612601663</v>
      </c>
      <c r="P66" s="489">
        <f>IF($F66="Prod",$I66*$O66*$F$4*$F$6,$I66*O66*$F$5*$F$7)</f>
        <v>88.713924128041526</v>
      </c>
      <c r="Q66" s="490">
        <f t="shared" si="5"/>
        <v>53.122110256312297</v>
      </c>
      <c r="R66" s="491">
        <f>$Q$4</f>
        <v>261.71052631578948</v>
      </c>
      <c r="S66" s="500">
        <f t="shared" si="31"/>
        <v>13902.615434184889</v>
      </c>
      <c r="T66" s="489">
        <f>IF($F66="Prod",$I66*$O66*$G$4*$G$6,$I66*$O66*$G$5*$G$7)</f>
        <v>6.7667552000574016</v>
      </c>
      <c r="U66" s="493">
        <f>+$R$4</f>
        <v>405.42115030277023</v>
      </c>
      <c r="V66" s="500">
        <f>+T66*U66</f>
        <v>2743.3856770245238</v>
      </c>
      <c r="W66" s="489">
        <f>IF($F66="Prod",$I66*$O66*$J$4*$J$6,$I66*$O66*$J$5*$J$7)</f>
        <v>3.1271692560046178</v>
      </c>
      <c r="X66" s="493">
        <f>+$S$4</f>
        <v>37.9060089869281</v>
      </c>
      <c r="Y66" s="763">
        <f>+W66*X66</f>
        <v>118.5385059217563</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15059.862533143978</v>
      </c>
      <c r="I68" s="487">
        <f>ITECountywide!$B$9*E68</f>
        <v>20.049119939245994</v>
      </c>
      <c r="J68" s="495">
        <f t="shared" ref="J68:J87" si="49">IF(F68="Prod",$M$3,$M$4)</f>
        <v>1.67</v>
      </c>
      <c r="K68" s="372">
        <f t="shared" ref="K68:K87" si="50">IF(F68="Prod",$F$4,$F$5)</f>
        <v>0.85014347095642351</v>
      </c>
      <c r="L68" s="488">
        <f>Passby_Length_Adj!H63</f>
        <v>1.2405469854222484</v>
      </c>
      <c r="M68" s="488">
        <f>Passby_Length_Adj!J63</f>
        <v>1</v>
      </c>
      <c r="N68" s="372">
        <v>0.5</v>
      </c>
      <c r="O68" s="481">
        <f t="shared" ref="O68:O87" si="51">L68*M68*N68</f>
        <v>0.6202734927111242</v>
      </c>
      <c r="P68" s="489">
        <f t="shared" ref="P68:P87" si="52">IF($F68="Prod",$I68*$O68*$F$4*$F$6,$I68*O68*$F$5*$F$7)</f>
        <v>79.693181719039458</v>
      </c>
      <c r="Q68" s="490">
        <f t="shared" si="5"/>
        <v>47.720468095233208</v>
      </c>
      <c r="R68" s="491">
        <f t="shared" ref="R68:R87" si="53">$Q$4</f>
        <v>261.71052631578948</v>
      </c>
      <c r="S68" s="500">
        <f t="shared" si="31"/>
        <v>12488.948821239323</v>
      </c>
      <c r="T68" s="489">
        <f t="shared" ref="T68:T87" si="54">IF($F68="Prod",$I68*$O68*$G$4*$G$6,$I68*$O68*$G$5*$G$7)</f>
        <v>6.0786878396688335</v>
      </c>
      <c r="U68" s="493">
        <f t="shared" ref="U68:U87" si="55">+$R$4</f>
        <v>405.42115030277023</v>
      </c>
      <c r="V68" s="500">
        <f t="shared" ref="V68:V87" si="56">+T68*U68</f>
        <v>2464.4286162899998</v>
      </c>
      <c r="W68" s="489">
        <f t="shared" ref="W68:W87" si="57">IF($F68="Prod",$I68*$O68*$J$4*$J$6,$I68*$O68*$J$5*$J$7)</f>
        <v>2.8091877372629437</v>
      </c>
      <c r="X68" s="493">
        <f t="shared" ref="X68:X87" si="58">+$S$4</f>
        <v>37.9060089869281</v>
      </c>
      <c r="Y68" s="763">
        <f t="shared" ref="Y68:Y87" si="59">+W68*X68</f>
        <v>106.48509561465735</v>
      </c>
      <c r="Z68" s="381"/>
    </row>
    <row r="69" spans="2:26" s="20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14571.604325713006</v>
      </c>
      <c r="I69" s="487">
        <f>ITECountywide!$B$9*E69</f>
        <v>19.399104220937762</v>
      </c>
      <c r="J69" s="495">
        <f t="shared" si="49"/>
        <v>1.67</v>
      </c>
      <c r="K69" s="372">
        <f t="shared" si="50"/>
        <v>0.85014347095642351</v>
      </c>
      <c r="L69" s="488">
        <f>Passby_Length_Adj!H64</f>
        <v>1.2405469854222484</v>
      </c>
      <c r="M69" s="488">
        <f>Passby_Length_Adj!J64</f>
        <v>1</v>
      </c>
      <c r="N69" s="372">
        <v>0.5</v>
      </c>
      <c r="O69" s="481">
        <f t="shared" si="51"/>
        <v>0.6202734927111242</v>
      </c>
      <c r="P69" s="489">
        <f t="shared" si="52"/>
        <v>77.109436351844138</v>
      </c>
      <c r="Q69" s="490">
        <f t="shared" si="5"/>
        <v>46.173315180744993</v>
      </c>
      <c r="R69" s="491">
        <f t="shared" si="53"/>
        <v>261.71052631578948</v>
      </c>
      <c r="S69" s="500">
        <f t="shared" si="31"/>
        <v>12084.042617697605</v>
      </c>
      <c r="T69" s="489">
        <f t="shared" si="54"/>
        <v>5.8816097307819035</v>
      </c>
      <c r="U69" s="493">
        <f t="shared" si="55"/>
        <v>405.42115030277023</v>
      </c>
      <c r="V69" s="500">
        <f t="shared" si="56"/>
        <v>2384.528982685566</v>
      </c>
      <c r="W69" s="489">
        <f t="shared" si="57"/>
        <v>2.718110613158097</v>
      </c>
      <c r="X69" s="493">
        <f t="shared" si="58"/>
        <v>37.9060089869281</v>
      </c>
      <c r="Y69" s="763">
        <f t="shared" si="59"/>
        <v>103.03272532983547</v>
      </c>
      <c r="Z69" s="503"/>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14350.000212468223</v>
      </c>
      <c r="I70" s="487">
        <f>ITECountywide!$B$9*E70</f>
        <v>19.10408376934355</v>
      </c>
      <c r="J70" s="495">
        <f t="shared" si="49"/>
        <v>1.67</v>
      </c>
      <c r="K70" s="372">
        <f t="shared" si="50"/>
        <v>0.85014347095642351</v>
      </c>
      <c r="L70" s="488">
        <f>Passby_Length_Adj!H65</f>
        <v>1.2405469854222484</v>
      </c>
      <c r="M70" s="488">
        <f>Passby_Length_Adj!J65</f>
        <v>1</v>
      </c>
      <c r="N70" s="372">
        <v>0.5</v>
      </c>
      <c r="O70" s="481">
        <f t="shared" si="51"/>
        <v>0.6202734927111242</v>
      </c>
      <c r="P70" s="489">
        <f t="shared" si="52"/>
        <v>75.936760517145387</v>
      </c>
      <c r="Q70" s="490">
        <f t="shared" si="5"/>
        <v>45.471114082122988</v>
      </c>
      <c r="R70" s="491">
        <f t="shared" si="53"/>
        <v>261.71052631578948</v>
      </c>
      <c r="S70" s="500">
        <f t="shared" si="31"/>
        <v>11900.269198597714</v>
      </c>
      <c r="T70" s="489">
        <f t="shared" si="54"/>
        <v>5.7921625512052621</v>
      </c>
      <c r="U70" s="493">
        <f t="shared" si="55"/>
        <v>405.42115030277023</v>
      </c>
      <c r="V70" s="500">
        <f t="shared" si="56"/>
        <v>2348.2652042502655</v>
      </c>
      <c r="W70" s="489">
        <f t="shared" si="57"/>
        <v>2.6767737446386</v>
      </c>
      <c r="X70" s="493">
        <f t="shared" si="58"/>
        <v>37.9060089869281</v>
      </c>
      <c r="Y70" s="763">
        <f t="shared" si="59"/>
        <v>101.46580962024396</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14205.877535396728</v>
      </c>
      <c r="I71" s="487">
        <f>ITECountywide!$B$9*E71</f>
        <v>18.912213967596532</v>
      </c>
      <c r="J71" s="495">
        <f t="shared" si="49"/>
        <v>1.67</v>
      </c>
      <c r="K71" s="372">
        <f t="shared" si="50"/>
        <v>0.85014347095642351</v>
      </c>
      <c r="L71" s="488">
        <f>Passby_Length_Adj!H66</f>
        <v>1.2405469854222484</v>
      </c>
      <c r="M71" s="488">
        <f>Passby_Length_Adj!J66</f>
        <v>1</v>
      </c>
      <c r="N71" s="372">
        <v>0.5</v>
      </c>
      <c r="O71" s="481">
        <f t="shared" si="51"/>
        <v>0.6202734927111242</v>
      </c>
      <c r="P71" s="489">
        <f t="shared" si="52"/>
        <v>75.174097865450165</v>
      </c>
      <c r="Q71" s="490">
        <f t="shared" si="5"/>
        <v>45.014429859551001</v>
      </c>
      <c r="R71" s="491">
        <f t="shared" si="53"/>
        <v>261.71052631578948</v>
      </c>
      <c r="S71" s="500">
        <f t="shared" si="31"/>
        <v>11780.750130348282</v>
      </c>
      <c r="T71" s="489">
        <f t="shared" si="54"/>
        <v>5.7339895922817039</v>
      </c>
      <c r="U71" s="493">
        <f t="shared" si="55"/>
        <v>405.42115030277023</v>
      </c>
      <c r="V71" s="500">
        <f t="shared" si="56"/>
        <v>2324.6806563269611</v>
      </c>
      <c r="W71" s="489">
        <f t="shared" si="57"/>
        <v>2.649889856674835</v>
      </c>
      <c r="X71" s="493">
        <f t="shared" si="58"/>
        <v>37.9060089869281</v>
      </c>
      <c r="Y71" s="763">
        <f t="shared" si="59"/>
        <v>100.44674872148592</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14054.681478468081</v>
      </c>
      <c r="I72" s="487">
        <f>ITECountywide!$B$9*E72</f>
        <v>18.710927410496026</v>
      </c>
      <c r="J72" s="495">
        <f t="shared" si="49"/>
        <v>1.67</v>
      </c>
      <c r="K72" s="372">
        <f t="shared" si="50"/>
        <v>0.85014347095642351</v>
      </c>
      <c r="L72" s="488">
        <f>Passby_Length_Adj!H67</f>
        <v>1.2405469854222484</v>
      </c>
      <c r="M72" s="488">
        <f>Passby_Length_Adj!J67</f>
        <v>1</v>
      </c>
      <c r="N72" s="372">
        <v>0.5</v>
      </c>
      <c r="O72" s="481">
        <f t="shared" si="51"/>
        <v>0.6202734927111242</v>
      </c>
      <c r="P72" s="489">
        <f t="shared" si="52"/>
        <v>74.374004583489679</v>
      </c>
      <c r="Q72" s="490">
        <f t="shared" si="5"/>
        <v>44.535332085921965</v>
      </c>
      <c r="R72" s="491">
        <f t="shared" si="53"/>
        <v>261.71052631578948</v>
      </c>
      <c r="S72" s="500">
        <f t="shared" si="31"/>
        <v>11655.365199855103</v>
      </c>
      <c r="T72" s="489">
        <f t="shared" si="54"/>
        <v>5.6729615695733075</v>
      </c>
      <c r="U72" s="493">
        <f t="shared" si="55"/>
        <v>405.42115030277023</v>
      </c>
      <c r="V72" s="500">
        <f t="shared" si="56"/>
        <v>2299.9386051598194</v>
      </c>
      <c r="W72" s="489">
        <f t="shared" si="57"/>
        <v>2.6216865375468084</v>
      </c>
      <c r="X72" s="493">
        <f t="shared" si="58"/>
        <v>37.9060089869281</v>
      </c>
      <c r="Y72" s="763">
        <f t="shared" si="59"/>
        <v>99.377673453157726</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13913.52480320169</v>
      </c>
      <c r="I73" s="487">
        <f>ITECountywide!$B$9*E73</f>
        <v>18.523006232171017</v>
      </c>
      <c r="J73" s="495">
        <f t="shared" si="49"/>
        <v>1.67</v>
      </c>
      <c r="K73" s="372">
        <f t="shared" si="50"/>
        <v>0.85014347095642351</v>
      </c>
      <c r="L73" s="488">
        <f>Passby_Length_Adj!H68</f>
        <v>1.2405469854222484</v>
      </c>
      <c r="M73" s="488">
        <f>Passby_Length_Adj!J68</f>
        <v>1</v>
      </c>
      <c r="N73" s="372">
        <v>0.5</v>
      </c>
      <c r="O73" s="481">
        <f t="shared" si="51"/>
        <v>0.6202734927111242</v>
      </c>
      <c r="P73" s="489">
        <f t="shared" si="52"/>
        <v>73.627037302207896</v>
      </c>
      <c r="Q73" s="490">
        <f t="shared" si="5"/>
        <v>44.088046288747243</v>
      </c>
      <c r="R73" s="491">
        <f t="shared" si="53"/>
        <v>261.71052631578948</v>
      </c>
      <c r="S73" s="500">
        <f t="shared" si="31"/>
        <v>11538.30579846293</v>
      </c>
      <c r="T73" s="489">
        <f t="shared" si="54"/>
        <v>5.6159857928328831</v>
      </c>
      <c r="U73" s="493">
        <f t="shared" si="55"/>
        <v>405.42115030277023</v>
      </c>
      <c r="V73" s="500">
        <f t="shared" si="56"/>
        <v>2276.8394202143227</v>
      </c>
      <c r="W73" s="489">
        <f t="shared" si="57"/>
        <v>2.5953559119970433</v>
      </c>
      <c r="X73" s="493">
        <f t="shared" si="58"/>
        <v>37.9060089869281</v>
      </c>
      <c r="Y73" s="763">
        <f t="shared" si="59"/>
        <v>98.379584524436893</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13809.019168903476</v>
      </c>
      <c r="I74" s="487">
        <f>ITECountywide!$B$9*E74</f>
        <v>18.383878402035741</v>
      </c>
      <c r="J74" s="495">
        <f t="shared" si="49"/>
        <v>1.67</v>
      </c>
      <c r="K74" s="372">
        <f t="shared" si="50"/>
        <v>0.85014347095642351</v>
      </c>
      <c r="L74" s="488">
        <f>Passby_Length_Adj!H69</f>
        <v>1.2405469854222484</v>
      </c>
      <c r="M74" s="488">
        <f>Passby_Length_Adj!J69</f>
        <v>1</v>
      </c>
      <c r="N74" s="372">
        <v>0.5</v>
      </c>
      <c r="O74" s="481">
        <f t="shared" si="51"/>
        <v>0.6202734927111242</v>
      </c>
      <c r="P74" s="489">
        <f t="shared" si="52"/>
        <v>73.074018542145396</v>
      </c>
      <c r="Q74" s="490">
        <f t="shared" si="5"/>
        <v>43.756897330625989</v>
      </c>
      <c r="R74" s="491">
        <f t="shared" si="53"/>
        <v>261.71052631578948</v>
      </c>
      <c r="S74" s="500">
        <f t="shared" si="31"/>
        <v>11451.640630344091</v>
      </c>
      <c r="T74" s="489">
        <f t="shared" si="54"/>
        <v>5.5738036595639144</v>
      </c>
      <c r="U74" s="493">
        <f t="shared" si="55"/>
        <v>405.42115030277023</v>
      </c>
      <c r="V74" s="500">
        <f t="shared" si="56"/>
        <v>2259.7378912221925</v>
      </c>
      <c r="W74" s="489">
        <f t="shared" si="57"/>
        <v>2.5758619793200803</v>
      </c>
      <c r="X74" s="493">
        <f t="shared" si="58"/>
        <v>37.9060089869281</v>
      </c>
      <c r="Y74" s="763">
        <f t="shared" si="59"/>
        <v>97.640647337193371</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13726.136935344033</v>
      </c>
      <c r="I75" s="487">
        <f>ITECountywide!$B$9*E75</f>
        <v>18.273537697543336</v>
      </c>
      <c r="J75" s="495">
        <f t="shared" si="49"/>
        <v>1.67</v>
      </c>
      <c r="K75" s="372">
        <f t="shared" si="50"/>
        <v>0.85014347095642351</v>
      </c>
      <c r="L75" s="488">
        <f>Passby_Length_Adj!H70</f>
        <v>1.2405469854222484</v>
      </c>
      <c r="M75" s="488">
        <f>Passby_Length_Adj!J70</f>
        <v>1</v>
      </c>
      <c r="N75" s="372">
        <v>0.5</v>
      </c>
      <c r="O75" s="481">
        <f t="shared" si="51"/>
        <v>0.6202734927111242</v>
      </c>
      <c r="P75" s="489">
        <f t="shared" si="52"/>
        <v>72.635425634288779</v>
      </c>
      <c r="Q75" s="490">
        <f t="shared" si="5"/>
        <v>43.494266846879512</v>
      </c>
      <c r="R75" s="491">
        <f t="shared" si="53"/>
        <v>261.71052631578948</v>
      </c>
      <c r="S75" s="500">
        <f t="shared" si="31"/>
        <v>11382.90746821623</v>
      </c>
      <c r="T75" s="489">
        <f t="shared" si="54"/>
        <v>5.5403494879767852</v>
      </c>
      <c r="U75" s="493">
        <f t="shared" si="55"/>
        <v>405.42115030277023</v>
      </c>
      <c r="V75" s="500">
        <f t="shared" si="56"/>
        <v>2246.1748624949123</v>
      </c>
      <c r="W75" s="489">
        <f t="shared" si="57"/>
        <v>2.5604015623581238</v>
      </c>
      <c r="X75" s="493">
        <f t="shared" si="58"/>
        <v>37.9060089869281</v>
      </c>
      <c r="Y75" s="763">
        <f t="shared" si="59"/>
        <v>97.054604632891781</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13657.518805795269</v>
      </c>
      <c r="I76" s="487">
        <f>ITECountywide!$B$9*E76</f>
        <v>18.182186723634896</v>
      </c>
      <c r="J76" s="495">
        <f t="shared" si="49"/>
        <v>1.67</v>
      </c>
      <c r="K76" s="372">
        <f t="shared" si="50"/>
        <v>0.85014347095642351</v>
      </c>
      <c r="L76" s="488">
        <f>Passby_Length_Adj!H71</f>
        <v>1.2405469854222484</v>
      </c>
      <c r="M76" s="488">
        <f>Passby_Length_Adj!J71</f>
        <v>1</v>
      </c>
      <c r="N76" s="372">
        <v>0.5</v>
      </c>
      <c r="O76" s="481">
        <f t="shared" si="51"/>
        <v>0.6202734927111242</v>
      </c>
      <c r="P76" s="489">
        <f t="shared" si="52"/>
        <v>72.272314944844211</v>
      </c>
      <c r="Q76" s="490">
        <f t="shared" si="5"/>
        <v>43.276835296313898</v>
      </c>
      <c r="R76" s="491">
        <f t="shared" si="53"/>
        <v>261.71052631578948</v>
      </c>
      <c r="S76" s="500">
        <f t="shared" si="31"/>
        <v>11326.003342680046</v>
      </c>
      <c r="T76" s="489">
        <f t="shared" si="54"/>
        <v>5.5126528082261617</v>
      </c>
      <c r="U76" s="493">
        <f t="shared" si="55"/>
        <v>405.42115030277023</v>
      </c>
      <c r="V76" s="500">
        <f t="shared" si="56"/>
        <v>2234.9460427308472</v>
      </c>
      <c r="W76" s="489">
        <f t="shared" si="57"/>
        <v>2.5476018965140246</v>
      </c>
      <c r="X76" s="493">
        <f t="shared" si="58"/>
        <v>37.9060089869281</v>
      </c>
      <c r="Y76" s="763">
        <f t="shared" si="59"/>
        <v>96.56942038437569</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0">+S77+V77+Y77</f>
        <v>13572.708074851518</v>
      </c>
      <c r="I77" s="487">
        <f>ITECountywide!$B$9*E77</f>
        <v>18.069278620185472</v>
      </c>
      <c r="J77" s="495">
        <f t="shared" si="49"/>
        <v>1.67</v>
      </c>
      <c r="K77" s="372">
        <f t="shared" si="50"/>
        <v>0.85014347095642351</v>
      </c>
      <c r="L77" s="488">
        <f>Passby_Length_Adj!H72</f>
        <v>1.2405469854222484</v>
      </c>
      <c r="M77" s="488">
        <f>Passby_Length_Adj!J72</f>
        <v>1</v>
      </c>
      <c r="N77" s="372">
        <v>0.5</v>
      </c>
      <c r="O77" s="481">
        <f t="shared" si="51"/>
        <v>0.6202734927111242</v>
      </c>
      <c r="P77" s="489">
        <f t="shared" si="52"/>
        <v>71.823516891213259</v>
      </c>
      <c r="Q77" s="490">
        <f t="shared" si="5"/>
        <v>43.008093946834286</v>
      </c>
      <c r="R77" s="491">
        <f t="shared" si="53"/>
        <v>261.71052631578948</v>
      </c>
      <c r="S77" s="500">
        <f t="shared" si="31"/>
        <v>11255.670902664921</v>
      </c>
      <c r="T77" s="489">
        <f t="shared" si="54"/>
        <v>5.4784202275683649</v>
      </c>
      <c r="U77" s="493">
        <f t="shared" si="55"/>
        <v>405.42115030277023</v>
      </c>
      <c r="V77" s="500">
        <f t="shared" si="56"/>
        <v>2221.0674305027305</v>
      </c>
      <c r="W77" s="489">
        <f t="shared" si="57"/>
        <v>2.5317817477688989</v>
      </c>
      <c r="X77" s="493">
        <f t="shared" si="58"/>
        <v>37.9060089869281</v>
      </c>
      <c r="Y77" s="763">
        <f t="shared" si="59"/>
        <v>95.969741683868406</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0"/>
        <v>22042.956920221059</v>
      </c>
      <c r="I78" s="487">
        <f>ITECountywide!$B$9*E78</f>
        <v>29.345678696370033</v>
      </c>
      <c r="J78" s="495">
        <f t="shared" si="49"/>
        <v>1.67</v>
      </c>
      <c r="K78" s="372">
        <f t="shared" si="50"/>
        <v>0.85014347095642351</v>
      </c>
      <c r="L78" s="488">
        <f>Passby_Length_Adj!H73</f>
        <v>1.2405469854222484</v>
      </c>
      <c r="M78" s="488">
        <f>Passby_Length_Adj!J73</f>
        <v>1</v>
      </c>
      <c r="N78" s="372">
        <v>0.5</v>
      </c>
      <c r="O78" s="481">
        <f t="shared" si="51"/>
        <v>0.6202734927111242</v>
      </c>
      <c r="P78" s="489">
        <f t="shared" si="52"/>
        <v>116.64604292383287</v>
      </c>
      <c r="Q78" s="490">
        <f t="shared" si="5"/>
        <v>69.847929894510699</v>
      </c>
      <c r="R78" s="491">
        <f t="shared" si="53"/>
        <v>261.71052631578948</v>
      </c>
      <c r="S78" s="500">
        <f t="shared" si="31"/>
        <v>18279.938494760761</v>
      </c>
      <c r="T78" s="489">
        <f t="shared" si="54"/>
        <v>8.8973092474383133</v>
      </c>
      <c r="U78" s="493">
        <f t="shared" si="55"/>
        <v>405.42115030277023</v>
      </c>
      <c r="V78" s="500">
        <f t="shared" si="56"/>
        <v>3607.1573496959159</v>
      </c>
      <c r="W78" s="489">
        <f t="shared" si="57"/>
        <v>4.1117775236672758</v>
      </c>
      <c r="X78" s="493">
        <f t="shared" si="58"/>
        <v>37.9060089869281</v>
      </c>
      <c r="Y78" s="763">
        <f t="shared" si="59"/>
        <v>155.86107576438073</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0"/>
        <v>10824.058524753391</v>
      </c>
      <c r="I79" s="487">
        <f>ITECountywide!$B$9*E79</f>
        <v>14.410015172090286</v>
      </c>
      <c r="J79" s="495">
        <f t="shared" si="49"/>
        <v>1.67</v>
      </c>
      <c r="K79" s="372">
        <f t="shared" si="50"/>
        <v>0.85014347095642351</v>
      </c>
      <c r="L79" s="488">
        <f>Passby_Length_Adj!H74</f>
        <v>1.2405469854222484</v>
      </c>
      <c r="M79" s="488">
        <f>Passby_Length_Adj!J74</f>
        <v>1</v>
      </c>
      <c r="N79" s="372">
        <v>0.5</v>
      </c>
      <c r="O79" s="481">
        <f t="shared" si="51"/>
        <v>0.6202734927111242</v>
      </c>
      <c r="P79" s="489">
        <f t="shared" si="52"/>
        <v>57.278322498114349</v>
      </c>
      <c r="Q79" s="490">
        <f t="shared" si="5"/>
        <v>34.298396705457698</v>
      </c>
      <c r="R79" s="491">
        <f t="shared" si="53"/>
        <v>261.71052631578948</v>
      </c>
      <c r="S79" s="500">
        <f t="shared" si="31"/>
        <v>8976.2514535730734</v>
      </c>
      <c r="T79" s="489">
        <f t="shared" si="54"/>
        <v>4.3689690251472886</v>
      </c>
      <c r="U79" s="493">
        <f t="shared" si="55"/>
        <v>405.42115030277023</v>
      </c>
      <c r="V79" s="500">
        <f t="shared" si="56"/>
        <v>1771.2724478123864</v>
      </c>
      <c r="W79" s="489">
        <f t="shared" si="57"/>
        <v>2.019063082962004</v>
      </c>
      <c r="X79" s="493">
        <f t="shared" si="58"/>
        <v>37.9060089869281</v>
      </c>
      <c r="Y79" s="763">
        <f t="shared" si="59"/>
        <v>76.534623367932483</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0"/>
        <v>15317.063950122725</v>
      </c>
      <c r="I80" s="487">
        <f>ITECountywide!$B$9*E80</f>
        <v>20.391530903901348</v>
      </c>
      <c r="J80" s="495">
        <f t="shared" si="49"/>
        <v>1.67</v>
      </c>
      <c r="K80" s="372">
        <f t="shared" si="50"/>
        <v>0.85014347095642351</v>
      </c>
      <c r="L80" s="488">
        <f>Passby_Length_Adj!H75</f>
        <v>1.2405469854222484</v>
      </c>
      <c r="M80" s="488">
        <f>Passby_Length_Adj!J75</f>
        <v>1</v>
      </c>
      <c r="N80" s="372">
        <v>0.5</v>
      </c>
      <c r="O80" s="481">
        <f t="shared" si="51"/>
        <v>0.6202734927111242</v>
      </c>
      <c r="P80" s="489">
        <f t="shared" si="52"/>
        <v>81.054229950161812</v>
      </c>
      <c r="Q80" s="490">
        <f t="shared" ref="Q80:Q137" si="61">+P80/J80</f>
        <v>48.53546703602504</v>
      </c>
      <c r="R80" s="491">
        <f t="shared" si="53"/>
        <v>261.71052631578948</v>
      </c>
      <c r="S80" s="500">
        <f t="shared" si="31"/>
        <v>12702.242622980764</v>
      </c>
      <c r="T80" s="489">
        <f t="shared" si="54"/>
        <v>6.1825033374725766</v>
      </c>
      <c r="U80" s="493">
        <f t="shared" si="55"/>
        <v>405.42115030277023</v>
      </c>
      <c r="V80" s="500">
        <f t="shared" si="56"/>
        <v>2506.5176148288479</v>
      </c>
      <c r="W80" s="489">
        <f t="shared" si="57"/>
        <v>2.8571647400405711</v>
      </c>
      <c r="X80" s="493">
        <f t="shared" si="58"/>
        <v>37.9060089869281</v>
      </c>
      <c r="Y80" s="763">
        <f t="shared" si="59"/>
        <v>108.30371231311197</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0"/>
        <v>31301.215460293883</v>
      </c>
      <c r="I81" s="487">
        <f>ITECountywide!$B$9*E81</f>
        <v>63.077802262734835</v>
      </c>
      <c r="J81" s="495">
        <f t="shared" si="49"/>
        <v>1.67</v>
      </c>
      <c r="K81" s="372">
        <f t="shared" si="50"/>
        <v>0.85014347095642351</v>
      </c>
      <c r="L81" s="488">
        <f>Passby_Length_Adj!H76</f>
        <v>0.892749244712991</v>
      </c>
      <c r="M81" s="488">
        <f>Passby_Length_Adj!J76</f>
        <v>0.91800000000000004</v>
      </c>
      <c r="N81" s="372">
        <v>0.5</v>
      </c>
      <c r="O81" s="481">
        <f t="shared" si="51"/>
        <v>0.40977190332326291</v>
      </c>
      <c r="P81" s="489">
        <f t="shared" si="52"/>
        <v>165.63852732480706</v>
      </c>
      <c r="Q81" s="490">
        <f t="shared" si="61"/>
        <v>99.184746901082079</v>
      </c>
      <c r="R81" s="491">
        <f t="shared" si="53"/>
        <v>261.71052631578948</v>
      </c>
      <c r="S81" s="500">
        <f t="shared" si="31"/>
        <v>25957.692313980562</v>
      </c>
      <c r="T81" s="489">
        <f t="shared" si="54"/>
        <v>12.634266572260714</v>
      </c>
      <c r="U81" s="493">
        <f t="shared" si="55"/>
        <v>405.42115030277023</v>
      </c>
      <c r="V81" s="500">
        <f t="shared" si="56"/>
        <v>5122.1988869577763</v>
      </c>
      <c r="W81" s="489">
        <f t="shared" si="57"/>
        <v>5.8387644932988554</v>
      </c>
      <c r="X81" s="493">
        <f t="shared" si="58"/>
        <v>37.9060089869281</v>
      </c>
      <c r="Y81" s="763">
        <f t="shared" si="59"/>
        <v>221.32425935554312</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0"/>
        <v>30756.664411846428</v>
      </c>
      <c r="I82" s="487">
        <f>ITECountywide!$B$9*E82</f>
        <v>40.946194055033907</v>
      </c>
      <c r="J82" s="495">
        <f t="shared" si="49"/>
        <v>1.67</v>
      </c>
      <c r="K82" s="372">
        <f t="shared" si="50"/>
        <v>0.85014347095642351</v>
      </c>
      <c r="L82" s="488">
        <f>Passby_Length_Adj!H77</f>
        <v>1.2405469854222484</v>
      </c>
      <c r="M82" s="488">
        <f>Passby_Length_Adj!J77</f>
        <v>1</v>
      </c>
      <c r="N82" s="372">
        <v>0.5</v>
      </c>
      <c r="O82" s="481">
        <f t="shared" si="51"/>
        <v>0.6202734927111242</v>
      </c>
      <c r="P82" s="489">
        <f t="shared" si="52"/>
        <v>162.75689373992492</v>
      </c>
      <c r="Q82" s="490">
        <f t="shared" si="61"/>
        <v>97.459217808338281</v>
      </c>
      <c r="R82" s="491">
        <f t="shared" si="53"/>
        <v>261.71052631578948</v>
      </c>
      <c r="S82" s="500">
        <f t="shared" si="31"/>
        <v>25506.103186945373</v>
      </c>
      <c r="T82" s="489">
        <f t="shared" si="54"/>
        <v>12.414466701644935</v>
      </c>
      <c r="U82" s="493">
        <f t="shared" si="55"/>
        <v>405.42115030277023</v>
      </c>
      <c r="V82" s="500">
        <f t="shared" si="56"/>
        <v>5033.087370576327</v>
      </c>
      <c r="W82" s="489">
        <f t="shared" si="57"/>
        <v>5.7371867980014661</v>
      </c>
      <c r="X82" s="493">
        <f t="shared" si="58"/>
        <v>37.9060089869281</v>
      </c>
      <c r="Y82" s="763">
        <f t="shared" si="59"/>
        <v>217.47385432472882</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0"/>
        <v>7535.3042946287251</v>
      </c>
      <c r="I83" s="487">
        <f>ITECountywide!$B$9*E83</f>
        <v>20.319027682909702</v>
      </c>
      <c r="J83" s="495">
        <f t="shared" si="49"/>
        <v>1.67</v>
      </c>
      <c r="K83" s="372">
        <f t="shared" si="50"/>
        <v>0.85014347095642351</v>
      </c>
      <c r="L83" s="488">
        <f>Passby_Length_Adj!H78</f>
        <v>0.61247081225203326</v>
      </c>
      <c r="M83" s="488">
        <f>Passby_Length_Adj!J78</f>
        <v>1</v>
      </c>
      <c r="N83" s="372">
        <v>0.5</v>
      </c>
      <c r="O83" s="481">
        <f t="shared" si="51"/>
        <v>0.30623540612601663</v>
      </c>
      <c r="P83" s="489">
        <f t="shared" si="52"/>
        <v>39.875023635739595</v>
      </c>
      <c r="Q83" s="490">
        <f t="shared" si="61"/>
        <v>23.877259662119521</v>
      </c>
      <c r="R83" s="491">
        <f t="shared" si="53"/>
        <v>261.71052631578948</v>
      </c>
      <c r="S83" s="500">
        <f t="shared" si="31"/>
        <v>6248.9301931520695</v>
      </c>
      <c r="T83" s="489">
        <f t="shared" si="54"/>
        <v>3.0415126620947666</v>
      </c>
      <c r="U83" s="493">
        <f t="shared" si="55"/>
        <v>405.42115030277023</v>
      </c>
      <c r="V83" s="500">
        <f t="shared" si="56"/>
        <v>1233.0935621269011</v>
      </c>
      <c r="W83" s="489">
        <f t="shared" si="57"/>
        <v>1.4055961250926932</v>
      </c>
      <c r="X83" s="493">
        <f t="shared" si="58"/>
        <v>37.9060089869281</v>
      </c>
      <c r="Y83" s="763">
        <f t="shared" si="59"/>
        <v>53.280539349754939</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0"/>
        <v>46264.340713348451</v>
      </c>
      <c r="I84" s="487">
        <f>ITECountywide!$B$9*E84</f>
        <v>61.591486232406027</v>
      </c>
      <c r="J84" s="495">
        <f t="shared" si="49"/>
        <v>1.67</v>
      </c>
      <c r="K84" s="372">
        <f t="shared" si="50"/>
        <v>0.85014347095642351</v>
      </c>
      <c r="L84" s="488">
        <f>Passby_Length_Adj!H79</f>
        <v>1.2405469854222484</v>
      </c>
      <c r="M84" s="488">
        <f>Passby_Length_Adj!J79</f>
        <v>1</v>
      </c>
      <c r="N84" s="372">
        <v>0.5</v>
      </c>
      <c r="O84" s="481">
        <f t="shared" si="51"/>
        <v>0.6202734927111242</v>
      </c>
      <c r="P84" s="489">
        <f t="shared" si="52"/>
        <v>244.81979855168871</v>
      </c>
      <c r="Q84" s="490">
        <f t="shared" si="61"/>
        <v>146.59868176747827</v>
      </c>
      <c r="R84" s="491">
        <f t="shared" si="53"/>
        <v>261.71052631578948</v>
      </c>
      <c r="S84" s="500">
        <f t="shared" si="31"/>
        <v>38366.418162567672</v>
      </c>
      <c r="T84" s="489">
        <f t="shared" si="54"/>
        <v>18.673907858428283</v>
      </c>
      <c r="U84" s="493">
        <f t="shared" si="55"/>
        <v>405.42115030277023</v>
      </c>
      <c r="V84" s="500">
        <f t="shared" si="56"/>
        <v>7570.7972046119348</v>
      </c>
      <c r="W84" s="489">
        <f t="shared" si="57"/>
        <v>8.6299073659180987</v>
      </c>
      <c r="X84" s="493">
        <f t="shared" si="58"/>
        <v>37.9060089869281</v>
      </c>
      <c r="Y84" s="763">
        <f t="shared" si="59"/>
        <v>327.12534616884847</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0"/>
        <v>15071.990926920756</v>
      </c>
      <c r="I85" s="487">
        <f>ITECountywide!$B$9*E85</f>
        <v>20.065266409438927</v>
      </c>
      <c r="J85" s="495">
        <f t="shared" si="49"/>
        <v>1.67</v>
      </c>
      <c r="K85" s="372">
        <f t="shared" si="50"/>
        <v>0.85014347095642351</v>
      </c>
      <c r="L85" s="488">
        <f>Passby_Length_Adj!H80</f>
        <v>1.2405469854222484</v>
      </c>
      <c r="M85" s="488">
        <f>Passby_Length_Adj!J80</f>
        <v>1</v>
      </c>
      <c r="N85" s="372">
        <v>0.5</v>
      </c>
      <c r="O85" s="481">
        <f t="shared" si="51"/>
        <v>0.6202734927111242</v>
      </c>
      <c r="P85" s="489">
        <f t="shared" si="52"/>
        <v>79.757362270959206</v>
      </c>
      <c r="Q85" s="490">
        <f t="shared" si="61"/>
        <v>47.75889956344863</v>
      </c>
      <c r="R85" s="491">
        <f t="shared" si="53"/>
        <v>261.71052631578948</v>
      </c>
      <c r="S85" s="500">
        <f t="shared" si="31"/>
        <v>12499.006741013069</v>
      </c>
      <c r="T85" s="489">
        <f t="shared" si="54"/>
        <v>6.0835832840730157</v>
      </c>
      <c r="U85" s="493">
        <f t="shared" si="55"/>
        <v>405.42115030277023</v>
      </c>
      <c r="V85" s="500">
        <f t="shared" si="56"/>
        <v>2466.4133329915867</v>
      </c>
      <c r="W85" s="489">
        <f t="shared" si="57"/>
        <v>2.8114501041999218</v>
      </c>
      <c r="X85" s="493">
        <f t="shared" si="58"/>
        <v>37.9060089869281</v>
      </c>
      <c r="Y85" s="763">
        <f t="shared" si="59"/>
        <v>106.57085291610218</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0"/>
        <v>15330.679118078388</v>
      </c>
      <c r="I86" s="487">
        <f>ITECountywide!$B$9*E86</f>
        <v>20.40965670914926</v>
      </c>
      <c r="J86" s="495">
        <f t="shared" si="49"/>
        <v>1.67</v>
      </c>
      <c r="K86" s="372">
        <f t="shared" si="50"/>
        <v>0.85014347095642351</v>
      </c>
      <c r="L86" s="488">
        <f>Passby_Length_Adj!H81</f>
        <v>1.2405469854222484</v>
      </c>
      <c r="M86" s="488">
        <f>Passby_Length_Adj!J81</f>
        <v>1</v>
      </c>
      <c r="N86" s="372">
        <v>0.5</v>
      </c>
      <c r="O86" s="481">
        <f t="shared" si="51"/>
        <v>0.6202734927111242</v>
      </c>
      <c r="P86" s="489">
        <f t="shared" si="52"/>
        <v>81.126278154561959</v>
      </c>
      <c r="Q86" s="490">
        <f t="shared" si="61"/>
        <v>48.578609673390396</v>
      </c>
      <c r="R86" s="491">
        <f t="shared" si="53"/>
        <v>261.71052631578948</v>
      </c>
      <c r="S86" s="500">
        <f t="shared" si="31"/>
        <v>12713.533505312302</v>
      </c>
      <c r="T86" s="489">
        <f t="shared" si="54"/>
        <v>6.1879988959947747</v>
      </c>
      <c r="U86" s="493">
        <f t="shared" si="55"/>
        <v>405.42115030277023</v>
      </c>
      <c r="V86" s="500">
        <f t="shared" si="56"/>
        <v>2508.7456304864736</v>
      </c>
      <c r="W86" s="489">
        <f t="shared" si="57"/>
        <v>2.8597044420317181</v>
      </c>
      <c r="X86" s="493">
        <f t="shared" si="58"/>
        <v>37.9060089869281</v>
      </c>
      <c r="Y86" s="763">
        <f t="shared" si="59"/>
        <v>108.39998227961252</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0"/>
        <v>16937.268936846813</v>
      </c>
      <c r="I87" s="487">
        <f>ITECountywide!$B$9*E87</f>
        <v>22.548501728402911</v>
      </c>
      <c r="J87" s="495">
        <f t="shared" si="49"/>
        <v>1.67</v>
      </c>
      <c r="K87" s="372">
        <f t="shared" si="50"/>
        <v>0.85014347095642351</v>
      </c>
      <c r="L87" s="488">
        <f>Passby_Length_Adj!H82</f>
        <v>1.2405469854222484</v>
      </c>
      <c r="M87" s="488">
        <f>Passby_Length_Adj!J82</f>
        <v>1</v>
      </c>
      <c r="N87" s="372">
        <v>0.5</v>
      </c>
      <c r="O87" s="481">
        <f t="shared" si="51"/>
        <v>0.6202734927111242</v>
      </c>
      <c r="P87" s="489">
        <f t="shared" si="52"/>
        <v>89.62796627377891</v>
      </c>
      <c r="Q87" s="490">
        <f t="shared" si="61"/>
        <v>53.669440882502343</v>
      </c>
      <c r="R87" s="491">
        <f t="shared" si="53"/>
        <v>261.71052631578948</v>
      </c>
      <c r="S87" s="500">
        <f t="shared" si="31"/>
        <v>14045.857620433837</v>
      </c>
      <c r="T87" s="489">
        <f t="shared" si="54"/>
        <v>6.8364748016141199</v>
      </c>
      <c r="U87" s="493">
        <f t="shared" si="55"/>
        <v>405.42115030277023</v>
      </c>
      <c r="V87" s="500">
        <f t="shared" si="56"/>
        <v>2771.6514780862994</v>
      </c>
      <c r="W87" s="489">
        <f t="shared" si="57"/>
        <v>3.1593892769870844</v>
      </c>
      <c r="X87" s="493">
        <f t="shared" si="58"/>
        <v>37.9060089869281</v>
      </c>
      <c r="Y87" s="763">
        <f t="shared" si="59"/>
        <v>119.75983832667669</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0"/>
        <v>17335.473211118682</v>
      </c>
      <c r="I89" s="487">
        <f>ITECountywide!$B$9*E89</f>
        <v>32.717078472481724</v>
      </c>
      <c r="J89" s="495">
        <f t="shared" ref="J89:J126" si="62">IF(F89="Prod",$M$3,$M$4)</f>
        <v>1.67</v>
      </c>
      <c r="K89" s="372">
        <f t="shared" ref="K89:K126" si="63">IF(F89="Prod",$F$4,$F$5)</f>
        <v>0.85014347095642351</v>
      </c>
      <c r="L89" s="488">
        <f>Passby_Length_Adj!H84</f>
        <v>0.87508191706880245</v>
      </c>
      <c r="M89" s="488">
        <f>Passby_Length_Adj!J84</f>
        <v>1</v>
      </c>
      <c r="N89" s="372">
        <v>0.5</v>
      </c>
      <c r="O89" s="481">
        <f t="shared" ref="O89:O126" si="64">L89*M89*N89</f>
        <v>0.43754095853440123</v>
      </c>
      <c r="P89" s="489">
        <f t="shared" ref="P89:P126" si="65">IF($F89="Prod",$I89*$O89*$F$4*$F$6,$I89*O89*$F$5*$F$7)</f>
        <v>91.735167818348472</v>
      </c>
      <c r="Q89" s="490">
        <f t="shared" si="61"/>
        <v>54.931238214579928</v>
      </c>
      <c r="R89" s="491">
        <f t="shared" ref="R89:R126" si="66">$Q$4</f>
        <v>261.71052631578948</v>
      </c>
      <c r="S89" s="500">
        <f t="shared" si="31"/>
        <v>14376.083264315721</v>
      </c>
      <c r="T89" s="489">
        <f t="shared" ref="T89:T126" si="67">IF($F89="Prod",$I89*$O89*$G$4*$G$6,$I89*$O89*$G$5*$G$7)</f>
        <v>6.9972039898383391</v>
      </c>
      <c r="U89" s="493">
        <f t="shared" ref="U89:U126" si="68">+$R$4</f>
        <v>405.42115030277023</v>
      </c>
      <c r="V89" s="500">
        <f t="shared" ref="V89:V126" si="69">+T89*U89</f>
        <v>2836.8144904633928</v>
      </c>
      <c r="W89" s="489">
        <f t="shared" ref="W89:W126" si="70">IF($F89="Prod",$I89*$O89*$J$4*$J$6,$I89*$O89*$J$5*$J$7)</f>
        <v>3.2336682129168328</v>
      </c>
      <c r="X89" s="493">
        <f t="shared" ref="X89:X126" si="71">+$S$4</f>
        <v>37.9060089869281</v>
      </c>
      <c r="Y89" s="763">
        <f t="shared" ref="Y89:Y126" si="72">+W89*X89</f>
        <v>122.5754563395692</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0"/>
        <v>47824.124704613074</v>
      </c>
      <c r="I90" s="487">
        <f>ITECountywide!$B$9*E90</f>
        <v>91.897832606915415</v>
      </c>
      <c r="J90" s="495">
        <f t="shared" si="62"/>
        <v>1.67</v>
      </c>
      <c r="K90" s="372">
        <f t="shared" si="63"/>
        <v>0.85014347095642351</v>
      </c>
      <c r="L90" s="488">
        <f>Passby_Length_Adj!H85</f>
        <v>0.8594671567024027</v>
      </c>
      <c r="M90" s="488">
        <f>Passby_Length_Adj!J85</f>
        <v>1</v>
      </c>
      <c r="N90" s="372">
        <v>0.5</v>
      </c>
      <c r="O90" s="481">
        <f t="shared" si="64"/>
        <v>0.42973357835120135</v>
      </c>
      <c r="P90" s="489">
        <f t="shared" si="65"/>
        <v>253.07380145408769</v>
      </c>
      <c r="Q90" s="490">
        <f t="shared" si="61"/>
        <v>151.5411984755016</v>
      </c>
      <c r="R90" s="491">
        <f t="shared" si="66"/>
        <v>261.71052631578948</v>
      </c>
      <c r="S90" s="500">
        <f t="shared" si="31"/>
        <v>39659.926811549041</v>
      </c>
      <c r="T90" s="489">
        <f t="shared" si="67"/>
        <v>19.303491293160405</v>
      </c>
      <c r="U90" s="493">
        <f t="shared" si="68"/>
        <v>405.42115030277023</v>
      </c>
      <c r="V90" s="500">
        <f t="shared" si="69"/>
        <v>7826.0436449326016</v>
      </c>
      <c r="W90" s="489">
        <f t="shared" si="70"/>
        <v>8.9208612874028557</v>
      </c>
      <c r="X90" s="493">
        <f t="shared" si="71"/>
        <v>37.9060089869281</v>
      </c>
      <c r="Y90" s="763">
        <f t="shared" si="72"/>
        <v>338.15424813143164</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0"/>
        <v>8621.5483195298548</v>
      </c>
      <c r="I91" s="487">
        <f>ITECountywide!$B$9*E91</f>
        <v>16.566985996591853</v>
      </c>
      <c r="J91" s="495">
        <f t="shared" si="62"/>
        <v>1.67</v>
      </c>
      <c r="K91" s="372">
        <f t="shared" si="63"/>
        <v>0.85014347095642351</v>
      </c>
      <c r="L91" s="488">
        <f>Passby_Length_Adj!H86</f>
        <v>0.8594671567024027</v>
      </c>
      <c r="M91" s="488">
        <f>Passby_Length_Adj!J86</f>
        <v>1</v>
      </c>
      <c r="N91" s="372">
        <v>0.5</v>
      </c>
      <c r="O91" s="481">
        <f t="shared" si="64"/>
        <v>0.42973357835120135</v>
      </c>
      <c r="P91" s="489">
        <f t="shared" si="65"/>
        <v>45.623166573774405</v>
      </c>
      <c r="Q91" s="490">
        <f t="shared" si="61"/>
        <v>27.3192614214218</v>
      </c>
      <c r="R91" s="491">
        <f t="shared" si="66"/>
        <v>261.71052631578948</v>
      </c>
      <c r="S91" s="500">
        <f t="shared" si="31"/>
        <v>7149.7382851589418</v>
      </c>
      <c r="T91" s="489">
        <f t="shared" si="67"/>
        <v>3.4799587853942033</v>
      </c>
      <c r="U91" s="493">
        <f t="shared" si="68"/>
        <v>405.42115030277023</v>
      </c>
      <c r="V91" s="500">
        <f t="shared" si="69"/>
        <v>1410.848893780749</v>
      </c>
      <c r="W91" s="489">
        <f t="shared" si="70"/>
        <v>1.6082183859341643</v>
      </c>
      <c r="X91" s="493">
        <f t="shared" si="71"/>
        <v>37.9060089869281</v>
      </c>
      <c r="Y91" s="763">
        <f t="shared" si="72"/>
        <v>60.961140590163438</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0"/>
        <v>64237.137916847154</v>
      </c>
      <c r="I92" s="710">
        <f>ITECountywide!$B$9*E92</f>
        <v>123.43673373828283</v>
      </c>
      <c r="J92" s="711">
        <f t="shared" si="62"/>
        <v>1.67</v>
      </c>
      <c r="K92" s="712">
        <f t="shared" si="63"/>
        <v>0.85014347095642351</v>
      </c>
      <c r="L92" s="713">
        <f>Passby_Length_Adj!H87</f>
        <v>0.8594671567024027</v>
      </c>
      <c r="M92" s="713">
        <f>Passby_Length_Adj!J87</f>
        <v>1</v>
      </c>
      <c r="N92" s="712">
        <v>0.5</v>
      </c>
      <c r="O92" s="714">
        <f t="shared" si="64"/>
        <v>0.42973357835120135</v>
      </c>
      <c r="P92" s="715">
        <f t="shared" si="65"/>
        <v>339.9275321306385</v>
      </c>
      <c r="Q92" s="716">
        <f t="shared" si="61"/>
        <v>203.5494204375081</v>
      </c>
      <c r="R92" s="717">
        <f t="shared" si="66"/>
        <v>261.71052631578948</v>
      </c>
      <c r="S92" s="721">
        <f t="shared" si="31"/>
        <v>53271.02595397416</v>
      </c>
      <c r="T92" s="715">
        <f t="shared" si="67"/>
        <v>25.928358127499479</v>
      </c>
      <c r="U92" s="719">
        <f t="shared" si="68"/>
        <v>405.42115030277023</v>
      </c>
      <c r="V92" s="721">
        <f t="shared" si="69"/>
        <v>10511.90477751302</v>
      </c>
      <c r="W92" s="715">
        <f t="shared" si="70"/>
        <v>11.982458652310346</v>
      </c>
      <c r="X92" s="719">
        <f t="shared" si="71"/>
        <v>37.9060089869281</v>
      </c>
      <c r="Y92" s="764">
        <f t="shared" si="72"/>
        <v>454.20718535997031</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0"/>
        <v>20796.566818052153</v>
      </c>
      <c r="I94" s="693">
        <f>ITECountywide!$B$9*E94</f>
        <v>284.21511603055654</v>
      </c>
      <c r="J94" s="694">
        <f t="shared" si="62"/>
        <v>1.67</v>
      </c>
      <c r="K94" s="695">
        <f t="shared" si="63"/>
        <v>0.85014347095642351</v>
      </c>
      <c r="L94" s="696">
        <f>Passby_Length_Adj!H89</f>
        <v>0.30211480362537763</v>
      </c>
      <c r="M94" s="696">
        <f>Passby_Length_Adj!J89</f>
        <v>0.4</v>
      </c>
      <c r="N94" s="695">
        <v>0.5</v>
      </c>
      <c r="O94" s="697">
        <f t="shared" si="64"/>
        <v>6.0422960725075525E-2</v>
      </c>
      <c r="P94" s="698">
        <f t="shared" si="65"/>
        <v>110.05044534209171</v>
      </c>
      <c r="Q94" s="699">
        <f t="shared" si="61"/>
        <v>65.898470264725574</v>
      </c>
      <c r="R94" s="700">
        <f t="shared" si="66"/>
        <v>261.71052631578948</v>
      </c>
      <c r="S94" s="704">
        <f t="shared" si="31"/>
        <v>17246.323336386733</v>
      </c>
      <c r="T94" s="698">
        <f t="shared" si="67"/>
        <v>8.394222559836523</v>
      </c>
      <c r="U94" s="702">
        <f t="shared" si="68"/>
        <v>405.42115030277023</v>
      </c>
      <c r="V94" s="704">
        <f t="shared" si="69"/>
        <v>3403.1953661063876</v>
      </c>
      <c r="W94" s="698">
        <f t="shared" si="70"/>
        <v>3.8792824538648132</v>
      </c>
      <c r="X94" s="702">
        <f t="shared" si="71"/>
        <v>37.9060089869281</v>
      </c>
      <c r="Y94" s="765">
        <f t="shared" si="72"/>
        <v>147.04811555903211</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0"/>
        <v>16849.658335971839</v>
      </c>
      <c r="I95" s="487">
        <f>ITECountywide!$B$9*E95</f>
        <v>160.19124330117839</v>
      </c>
      <c r="J95" s="495">
        <f t="shared" si="62"/>
        <v>1.67</v>
      </c>
      <c r="K95" s="372">
        <f t="shared" si="63"/>
        <v>0.85014347095642351</v>
      </c>
      <c r="L95" s="488">
        <f>Passby_Length_Adj!H90</f>
        <v>0.34743202416918428</v>
      </c>
      <c r="M95" s="488">
        <f>Passby_Length_Adj!J90</f>
        <v>0.5</v>
      </c>
      <c r="N95" s="372">
        <v>0.5</v>
      </c>
      <c r="O95" s="481">
        <f t="shared" si="64"/>
        <v>8.6858006042296071E-2</v>
      </c>
      <c r="P95" s="489">
        <f t="shared" si="65"/>
        <v>89.164351979778715</v>
      </c>
      <c r="Q95" s="490">
        <f t="shared" si="61"/>
        <v>53.391827532801628</v>
      </c>
      <c r="R95" s="491">
        <f t="shared" si="66"/>
        <v>261.71052631578948</v>
      </c>
      <c r="S95" s="500">
        <f t="shared" si="31"/>
        <v>13973.203284571373</v>
      </c>
      <c r="T95" s="489">
        <f t="shared" si="67"/>
        <v>6.8011120954145969</v>
      </c>
      <c r="U95" s="493">
        <f t="shared" si="68"/>
        <v>405.42115030277023</v>
      </c>
      <c r="V95" s="500">
        <f t="shared" si="69"/>
        <v>2757.3146890610701</v>
      </c>
      <c r="W95" s="489">
        <f t="shared" si="70"/>
        <v>3.1430468551960118</v>
      </c>
      <c r="X95" s="493">
        <f t="shared" si="71"/>
        <v>37.9060089869281</v>
      </c>
      <c r="Y95" s="763">
        <f t="shared" si="72"/>
        <v>119.14036233939612</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60"/>
        <v>15736.746466227929</v>
      </c>
      <c r="I96" s="487">
        <f>ITECountywide!$B$9*E96</f>
        <v>119.48075804939616</v>
      </c>
      <c r="J96" s="495">
        <f t="shared" si="62"/>
        <v>1.67</v>
      </c>
      <c r="K96" s="372">
        <f t="shared" si="63"/>
        <v>0.85014347095642351</v>
      </c>
      <c r="L96" s="488">
        <f>Passby_Length_Adj!H91</f>
        <v>0.36253776435045315</v>
      </c>
      <c r="M96" s="488">
        <f>Passby_Length_Adj!J91</f>
        <v>0.6</v>
      </c>
      <c r="N96" s="372">
        <v>0.5</v>
      </c>
      <c r="O96" s="481">
        <f t="shared" si="64"/>
        <v>0.10876132930513595</v>
      </c>
      <c r="P96" s="489">
        <f t="shared" si="65"/>
        <v>83.275089200813525</v>
      </c>
      <c r="Q96" s="490">
        <f t="shared" si="61"/>
        <v>49.865322874738638</v>
      </c>
      <c r="R96" s="491">
        <f t="shared" si="66"/>
        <v>261.71052631578948</v>
      </c>
      <c r="S96" s="500">
        <f t="shared" si="31"/>
        <v>13050.279894454625</v>
      </c>
      <c r="T96" s="489">
        <f t="shared" si="67"/>
        <v>6.3519018961616629</v>
      </c>
      <c r="U96" s="493">
        <f t="shared" si="68"/>
        <v>405.42115030277023</v>
      </c>
      <c r="V96" s="500">
        <f t="shared" si="69"/>
        <v>2575.1953733522087</v>
      </c>
      <c r="W96" s="489">
        <f t="shared" si="70"/>
        <v>2.9354501145047616</v>
      </c>
      <c r="X96" s="493">
        <f t="shared" si="71"/>
        <v>37.9060089869281</v>
      </c>
      <c r="Y96" s="763">
        <f t="shared" si="72"/>
        <v>111.27119842109661</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0"/>
        <v>14542.988401247305</v>
      </c>
      <c r="I97" s="487">
        <f>ITECountywide!$B$9*E97</f>
        <v>93.94431278308474</v>
      </c>
      <c r="J97" s="495">
        <f t="shared" si="62"/>
        <v>1.67</v>
      </c>
      <c r="K97" s="372">
        <f t="shared" si="63"/>
        <v>0.85014347095642351</v>
      </c>
      <c r="L97" s="488">
        <f>Passby_Length_Adj!H92</f>
        <v>0.37764350453172207</v>
      </c>
      <c r="M97" s="488">
        <f>Passby_Length_Adj!J92</f>
        <v>0.67700000000000005</v>
      </c>
      <c r="N97" s="372">
        <v>0.5</v>
      </c>
      <c r="O97" s="481">
        <f t="shared" si="64"/>
        <v>0.12783232628398794</v>
      </c>
      <c r="P97" s="489">
        <f t="shared" si="65"/>
        <v>76.958007740627764</v>
      </c>
      <c r="Q97" s="490">
        <f t="shared" si="61"/>
        <v>46.08263936564537</v>
      </c>
      <c r="R97" s="491">
        <f t="shared" si="66"/>
        <v>261.71052631578948</v>
      </c>
      <c r="S97" s="500">
        <f t="shared" si="31"/>
        <v>12060.311802403769</v>
      </c>
      <c r="T97" s="489">
        <f t="shared" si="67"/>
        <v>5.8700593416805606</v>
      </c>
      <c r="U97" s="493">
        <f t="shared" si="68"/>
        <v>405.42115030277023</v>
      </c>
      <c r="V97" s="500">
        <f t="shared" si="69"/>
        <v>2379.8462106496549</v>
      </c>
      <c r="W97" s="489">
        <f t="shared" si="70"/>
        <v>2.7127727487571058</v>
      </c>
      <c r="X97" s="493">
        <f t="shared" si="71"/>
        <v>37.9060089869281</v>
      </c>
      <c r="Y97" s="763">
        <f t="shared" si="72"/>
        <v>102.83038819388049</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0"/>
        <v>13530.151059811878</v>
      </c>
      <c r="I98" s="487">
        <f>ITECountywide!$B$9*E98</f>
        <v>81.278704137667205</v>
      </c>
      <c r="J98" s="495">
        <f t="shared" si="62"/>
        <v>1.67</v>
      </c>
      <c r="K98" s="372">
        <f t="shared" si="63"/>
        <v>0.85014347095642351</v>
      </c>
      <c r="L98" s="488">
        <f>Passby_Length_Adj!H93</f>
        <v>0.39274924471299094</v>
      </c>
      <c r="M98" s="488">
        <f>Passby_Length_Adj!J93</f>
        <v>0.7</v>
      </c>
      <c r="N98" s="372">
        <v>0.5</v>
      </c>
      <c r="O98" s="481">
        <f t="shared" si="64"/>
        <v>0.13746223564954682</v>
      </c>
      <c r="P98" s="489">
        <f t="shared" si="65"/>
        <v>71.598315371245192</v>
      </c>
      <c r="Q98" s="490">
        <f t="shared" si="61"/>
        <v>42.87324273727257</v>
      </c>
      <c r="R98" s="491">
        <f t="shared" si="66"/>
        <v>261.71052631578948</v>
      </c>
      <c r="S98" s="500">
        <f t="shared" si="31"/>
        <v>11220.378921636204</v>
      </c>
      <c r="T98" s="489">
        <f t="shared" si="67"/>
        <v>5.4612427261639036</v>
      </c>
      <c r="U98" s="493">
        <f t="shared" si="68"/>
        <v>405.42115030277023</v>
      </c>
      <c r="V98" s="500">
        <f t="shared" si="69"/>
        <v>2214.1033081240066</v>
      </c>
      <c r="W98" s="489">
        <f t="shared" si="70"/>
        <v>2.5238433854816757</v>
      </c>
      <c r="X98" s="493">
        <f t="shared" si="71"/>
        <v>37.9060089869281</v>
      </c>
      <c r="Y98" s="763">
        <f t="shared" si="72"/>
        <v>95.668830051667442</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0"/>
        <v>12976.768186146941</v>
      </c>
      <c r="I99" s="487">
        <f>ITECountywide!$B$9*E99</f>
        <v>72.982006524219813</v>
      </c>
      <c r="J99" s="495">
        <f t="shared" si="62"/>
        <v>1.67</v>
      </c>
      <c r="K99" s="372">
        <f t="shared" si="63"/>
        <v>0.85014347095642351</v>
      </c>
      <c r="L99" s="488">
        <f>Passby_Length_Adj!H94</f>
        <v>0.40785498489425986</v>
      </c>
      <c r="M99" s="488">
        <f>Passby_Length_Adj!J94</f>
        <v>0.72</v>
      </c>
      <c r="N99" s="372">
        <v>0.5</v>
      </c>
      <c r="O99" s="481">
        <f t="shared" si="64"/>
        <v>0.14682779456193354</v>
      </c>
      <c r="P99" s="489">
        <f t="shared" si="65"/>
        <v>68.669945884862017</v>
      </c>
      <c r="Q99" s="490">
        <f t="shared" si="61"/>
        <v>41.119728074767679</v>
      </c>
      <c r="R99" s="491">
        <f t="shared" si="66"/>
        <v>261.71052631578948</v>
      </c>
      <c r="S99" s="500">
        <f t="shared" si="31"/>
        <v>10761.465676409594</v>
      </c>
      <c r="T99" s="489">
        <f t="shared" si="67"/>
        <v>5.2378780216438683</v>
      </c>
      <c r="U99" s="493">
        <f t="shared" si="68"/>
        <v>405.42115030277023</v>
      </c>
      <c r="V99" s="500">
        <f t="shared" si="69"/>
        <v>2123.5465326804556</v>
      </c>
      <c r="W99" s="489">
        <f t="shared" si="70"/>
        <v>2.4206182478491387</v>
      </c>
      <c r="X99" s="493">
        <f t="shared" si="71"/>
        <v>37.9060089869281</v>
      </c>
      <c r="Y99" s="763">
        <f t="shared" si="72"/>
        <v>91.755977056891609</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0"/>
        <v>12762.442747227416</v>
      </c>
      <c r="I100" s="487">
        <f>ITECountywide!$B$9*E100</f>
        <v>67.342551831206222</v>
      </c>
      <c r="J100" s="495">
        <f t="shared" si="62"/>
        <v>1.67</v>
      </c>
      <c r="K100" s="372">
        <f t="shared" si="63"/>
        <v>0.85014347095642351</v>
      </c>
      <c r="L100" s="488">
        <f>Passby_Length_Adj!H95</f>
        <v>0.42296072507552868</v>
      </c>
      <c r="M100" s="488">
        <f>Passby_Length_Adj!J95</f>
        <v>0.74</v>
      </c>
      <c r="N100" s="372">
        <v>0.5</v>
      </c>
      <c r="O100" s="481">
        <f t="shared" si="64"/>
        <v>0.15649546827794561</v>
      </c>
      <c r="P100" s="489">
        <f t="shared" si="65"/>
        <v>67.535787049531621</v>
      </c>
      <c r="Q100" s="490">
        <f t="shared" si="61"/>
        <v>40.440591047623727</v>
      </c>
      <c r="R100" s="491">
        <f t="shared" si="66"/>
        <v>261.71052631578948</v>
      </c>
      <c r="S100" s="500">
        <f t="shared" si="31"/>
        <v>10583.728367595209</v>
      </c>
      <c r="T100" s="489">
        <f t="shared" si="67"/>
        <v>5.1513687698877835</v>
      </c>
      <c r="U100" s="493">
        <f t="shared" si="68"/>
        <v>405.42115030277023</v>
      </c>
      <c r="V100" s="500">
        <f t="shared" si="69"/>
        <v>2088.4738523216715</v>
      </c>
      <c r="W100" s="489">
        <f t="shared" si="70"/>
        <v>2.3806391050467961</v>
      </c>
      <c r="X100" s="493">
        <f t="shared" si="71"/>
        <v>37.9060089869281</v>
      </c>
      <c r="Y100" s="763">
        <f t="shared" si="72"/>
        <v>90.240527310536322</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0"/>
        <v>12731.14867006494</v>
      </c>
      <c r="I101" s="487">
        <f>ITECountywide!$B$9*E101</f>
        <v>63.154094551514092</v>
      </c>
      <c r="J101" s="495">
        <f t="shared" si="62"/>
        <v>1.67</v>
      </c>
      <c r="K101" s="372">
        <f t="shared" si="63"/>
        <v>0.85014347095642351</v>
      </c>
      <c r="L101" s="488">
        <f>Passby_Length_Adj!H96</f>
        <v>0.43806646525679754</v>
      </c>
      <c r="M101" s="488">
        <f>Passby_Length_Adj!J96</f>
        <v>0.76</v>
      </c>
      <c r="N101" s="372">
        <v>0.5</v>
      </c>
      <c r="O101" s="481">
        <f t="shared" si="64"/>
        <v>0.16646525679758306</v>
      </c>
      <c r="P101" s="489">
        <f t="shared" si="65"/>
        <v>67.370186296367351</v>
      </c>
      <c r="Q101" s="490">
        <f t="shared" si="61"/>
        <v>40.341428919980451</v>
      </c>
      <c r="R101" s="491">
        <f t="shared" si="66"/>
        <v>261.71052631578948</v>
      </c>
      <c r="S101" s="500">
        <f t="shared" si="31"/>
        <v>10557.776594979096</v>
      </c>
      <c r="T101" s="489">
        <f t="shared" si="67"/>
        <v>5.1387373845824689</v>
      </c>
      <c r="U101" s="493">
        <f t="shared" si="68"/>
        <v>405.42115030277023</v>
      </c>
      <c r="V101" s="500">
        <f t="shared" si="69"/>
        <v>2083.3528215612737</v>
      </c>
      <c r="W101" s="489">
        <f t="shared" si="70"/>
        <v>2.374801672094117</v>
      </c>
      <c r="X101" s="493">
        <f t="shared" si="71"/>
        <v>37.9060089869281</v>
      </c>
      <c r="Y101" s="763">
        <f t="shared" si="72"/>
        <v>90.019253524571482</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0"/>
        <v>12512.85882694567</v>
      </c>
      <c r="I102" s="487">
        <f>ITECountywide!$B$9*E102</f>
        <v>58.463687032601783</v>
      </c>
      <c r="J102" s="495">
        <f t="shared" si="62"/>
        <v>1.67</v>
      </c>
      <c r="K102" s="372">
        <f t="shared" si="63"/>
        <v>0.85014347095642351</v>
      </c>
      <c r="L102" s="488">
        <f>Passby_Length_Adj!H97</f>
        <v>0.45317220543806647</v>
      </c>
      <c r="M102" s="488">
        <f>Passby_Length_Adj!J97</f>
        <v>0.78</v>
      </c>
      <c r="N102" s="372">
        <v>0.5</v>
      </c>
      <c r="O102" s="481">
        <f t="shared" si="64"/>
        <v>0.17673716012084592</v>
      </c>
      <c r="P102" s="489">
        <f t="shared" si="65"/>
        <v>66.215048784531589</v>
      </c>
      <c r="Q102" s="490">
        <f t="shared" si="61"/>
        <v>39.649729811096762</v>
      </c>
      <c r="R102" s="491">
        <f t="shared" si="66"/>
        <v>261.71052631578948</v>
      </c>
      <c r="S102" s="500">
        <f t="shared" si="31"/>
        <v>10376.751657140981</v>
      </c>
      <c r="T102" s="489">
        <f t="shared" si="67"/>
        <v>5.0506279604776987</v>
      </c>
      <c r="U102" s="493">
        <f t="shared" si="68"/>
        <v>405.42115030277023</v>
      </c>
      <c r="V102" s="500">
        <f t="shared" si="69"/>
        <v>2047.631397488203</v>
      </c>
      <c r="W102" s="489">
        <f t="shared" si="70"/>
        <v>2.3340830301337321</v>
      </c>
      <c r="X102" s="493">
        <f t="shared" si="71"/>
        <v>37.9060089869281</v>
      </c>
      <c r="Y102" s="763">
        <f t="shared" si="72"/>
        <v>88.475772316485617</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0"/>
        <v>13026.219259682595</v>
      </c>
      <c r="I103" s="487">
        <f>ITECountywide!$B$9*E103</f>
        <v>53.946089751997178</v>
      </c>
      <c r="J103" s="495">
        <f t="shared" si="62"/>
        <v>1.67</v>
      </c>
      <c r="K103" s="372">
        <f t="shared" si="63"/>
        <v>0.85014347095642351</v>
      </c>
      <c r="L103" s="488">
        <f>Passby_Length_Adj!H98</f>
        <v>0.49848942598187307</v>
      </c>
      <c r="M103" s="488">
        <f>Passby_Length_Adj!J98</f>
        <v>0.8</v>
      </c>
      <c r="N103" s="372">
        <v>0.5</v>
      </c>
      <c r="O103" s="481">
        <f t="shared" si="64"/>
        <v>0.19939577039274925</v>
      </c>
      <c r="P103" s="489">
        <f t="shared" si="65"/>
        <v>68.931629109446916</v>
      </c>
      <c r="Q103" s="490">
        <f t="shared" si="61"/>
        <v>41.276424616435278</v>
      </c>
      <c r="R103" s="491">
        <f t="shared" si="66"/>
        <v>261.71052631578948</v>
      </c>
      <c r="S103" s="500">
        <f t="shared" si="31"/>
        <v>10802.474810801286</v>
      </c>
      <c r="T103" s="489">
        <f t="shared" si="67"/>
        <v>5.2578382064528721</v>
      </c>
      <c r="U103" s="493">
        <f t="shared" si="68"/>
        <v>405.42115030277023</v>
      </c>
      <c r="V103" s="500">
        <f t="shared" si="69"/>
        <v>2131.6388137659778</v>
      </c>
      <c r="W103" s="489">
        <f t="shared" si="70"/>
        <v>2.4298425916348214</v>
      </c>
      <c r="X103" s="493">
        <f t="shared" si="71"/>
        <v>37.9060089869281</v>
      </c>
      <c r="Y103" s="763">
        <f t="shared" si="72"/>
        <v>92.105635115330202</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0"/>
        <v>12743.54734676197</v>
      </c>
      <c r="I104" s="487">
        <f>ITECountywide!$B$9*E104</f>
        <v>50.590842791664826</v>
      </c>
      <c r="J104" s="495">
        <f t="shared" si="62"/>
        <v>1.67</v>
      </c>
      <c r="K104" s="372">
        <f t="shared" si="63"/>
        <v>0.85014347095642351</v>
      </c>
      <c r="L104" s="488">
        <f>Passby_Length_Adj!H99</f>
        <v>0.51359516616314194</v>
      </c>
      <c r="M104" s="488">
        <f>Passby_Length_Adj!J99</f>
        <v>0.81</v>
      </c>
      <c r="N104" s="372">
        <v>0.5</v>
      </c>
      <c r="O104" s="481">
        <f t="shared" si="64"/>
        <v>0.2080060422960725</v>
      </c>
      <c r="P104" s="489">
        <f t="shared" si="65"/>
        <v>67.435797120697089</v>
      </c>
      <c r="Q104" s="490">
        <f t="shared" si="61"/>
        <v>40.380716838740774</v>
      </c>
      <c r="R104" s="491">
        <f t="shared" si="66"/>
        <v>261.71052631578948</v>
      </c>
      <c r="S104" s="500">
        <f t="shared" si="31"/>
        <v>10568.05865687571</v>
      </c>
      <c r="T104" s="489">
        <f t="shared" si="67"/>
        <v>5.1437419246372231</v>
      </c>
      <c r="U104" s="493">
        <f t="shared" si="68"/>
        <v>405.42115030277023</v>
      </c>
      <c r="V104" s="500">
        <f t="shared" si="69"/>
        <v>2085.381767947008</v>
      </c>
      <c r="W104" s="489">
        <f t="shared" si="70"/>
        <v>2.3771144561888535</v>
      </c>
      <c r="X104" s="493">
        <f t="shared" si="71"/>
        <v>37.9060089869281</v>
      </c>
      <c r="Y104" s="763">
        <f t="shared" si="72"/>
        <v>90.106921939251379</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0"/>
        <v>12589.024657294367</v>
      </c>
      <c r="I105" s="487">
        <f>ITECountywide!$B$9*E105</f>
        <v>47.957407840094127</v>
      </c>
      <c r="J105" s="495">
        <f t="shared" si="62"/>
        <v>1.67</v>
      </c>
      <c r="K105" s="372">
        <f t="shared" si="63"/>
        <v>0.85014347095642351</v>
      </c>
      <c r="L105" s="488">
        <f>Passby_Length_Adj!H100</f>
        <v>0.52870090634441091</v>
      </c>
      <c r="M105" s="488">
        <f>Passby_Length_Adj!J100</f>
        <v>0.82</v>
      </c>
      <c r="N105" s="372">
        <v>0.5</v>
      </c>
      <c r="O105" s="481">
        <f t="shared" si="64"/>
        <v>0.21676737160120846</v>
      </c>
      <c r="P105" s="489">
        <f t="shared" si="65"/>
        <v>66.618100096945739</v>
      </c>
      <c r="Q105" s="490">
        <f t="shared" si="61"/>
        <v>39.891077902362717</v>
      </c>
      <c r="R105" s="491">
        <f t="shared" si="66"/>
        <v>261.71052631578948</v>
      </c>
      <c r="S105" s="500">
        <f t="shared" ref="S105:S137" si="73">Q105*R105</f>
        <v>10439.914993131506</v>
      </c>
      <c r="T105" s="489">
        <f t="shared" si="67"/>
        <v>5.0813711565540203</v>
      </c>
      <c r="U105" s="493">
        <f t="shared" si="68"/>
        <v>405.42115030277023</v>
      </c>
      <c r="V105" s="500">
        <f t="shared" si="69"/>
        <v>2060.0953394054491</v>
      </c>
      <c r="W105" s="489">
        <f t="shared" si="70"/>
        <v>2.3482906044819782</v>
      </c>
      <c r="X105" s="493">
        <f t="shared" si="71"/>
        <v>37.9060089869281</v>
      </c>
      <c r="Y105" s="763">
        <f t="shared" si="72"/>
        <v>89.014324757412695</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0"/>
        <v>29182.878213830707</v>
      </c>
      <c r="I106" s="487">
        <f>ITECountywide!$B$9*E106</f>
        <v>48.196516154198832</v>
      </c>
      <c r="J106" s="495">
        <f t="shared" si="62"/>
        <v>1.67</v>
      </c>
      <c r="K106" s="372">
        <f t="shared" si="63"/>
        <v>0.85014347095642351</v>
      </c>
      <c r="L106" s="488">
        <f>Passby_Length_Adj!H101</f>
        <v>1</v>
      </c>
      <c r="M106" s="488">
        <f>Passby_Length_Adj!J101</f>
        <v>1</v>
      </c>
      <c r="N106" s="372">
        <v>0.5</v>
      </c>
      <c r="O106" s="481">
        <f t="shared" si="64"/>
        <v>0.5</v>
      </c>
      <c r="P106" s="489">
        <f t="shared" si="65"/>
        <v>154.42879451661813</v>
      </c>
      <c r="Q106" s="490">
        <f t="shared" si="61"/>
        <v>92.472332045879128</v>
      </c>
      <c r="R106" s="491">
        <f t="shared" si="66"/>
        <v>261.71052631578948</v>
      </c>
      <c r="S106" s="500">
        <f t="shared" si="73"/>
        <v>24200.982689375473</v>
      </c>
      <c r="T106" s="489">
        <f t="shared" si="67"/>
        <v>11.779231485980608</v>
      </c>
      <c r="U106" s="493">
        <f t="shared" si="68"/>
        <v>405.42115030277023</v>
      </c>
      <c r="V106" s="500">
        <f t="shared" si="69"/>
        <v>4775.5495787288673</v>
      </c>
      <c r="W106" s="489">
        <f t="shared" si="70"/>
        <v>5.4436209783394673</v>
      </c>
      <c r="X106" s="493">
        <f t="shared" si="71"/>
        <v>37.9060089869281</v>
      </c>
      <c r="Y106" s="763">
        <f t="shared" si="72"/>
        <v>206.34594572636618</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0"/>
        <v>16666.657675904167</v>
      </c>
      <c r="I107" s="487">
        <f>ITECountywide!$B$9*E107</f>
        <v>50.462241810187869</v>
      </c>
      <c r="J107" s="495">
        <f t="shared" si="62"/>
        <v>1.67</v>
      </c>
      <c r="K107" s="372">
        <f t="shared" si="63"/>
        <v>0.85014347095642351</v>
      </c>
      <c r="L107" s="488">
        <f>Passby_Length_Adj!H102</f>
        <v>0.69486404833836857</v>
      </c>
      <c r="M107" s="488">
        <f>Passby_Length_Adj!J102</f>
        <v>0.78500000000000003</v>
      </c>
      <c r="N107" s="372">
        <v>0.5</v>
      </c>
      <c r="O107" s="481">
        <f t="shared" si="64"/>
        <v>0.27273413897280968</v>
      </c>
      <c r="P107" s="489">
        <f t="shared" si="65"/>
        <v>88.195956363591606</v>
      </c>
      <c r="Q107" s="490">
        <f t="shared" si="61"/>
        <v>52.811949918318327</v>
      </c>
      <c r="R107" s="491">
        <f t="shared" si="66"/>
        <v>261.71052631578948</v>
      </c>
      <c r="S107" s="500">
        <f t="shared" si="73"/>
        <v>13821.443208886205</v>
      </c>
      <c r="T107" s="489">
        <f t="shared" si="67"/>
        <v>6.7272466212406767</v>
      </c>
      <c r="U107" s="493">
        <f t="shared" si="68"/>
        <v>405.42115030277023</v>
      </c>
      <c r="V107" s="500">
        <f t="shared" si="69"/>
        <v>2727.3680635538194</v>
      </c>
      <c r="W107" s="489">
        <f t="shared" si="70"/>
        <v>3.1089108722783898</v>
      </c>
      <c r="X107" s="493">
        <f t="shared" si="71"/>
        <v>37.9060089869281</v>
      </c>
      <c r="Y107" s="763">
        <f t="shared" si="72"/>
        <v>117.84640346414312</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0"/>
        <v>33129.771400306636</v>
      </c>
      <c r="I108" s="487">
        <f>ITECountywide!$B$9*E108</f>
        <v>100.30820624194673</v>
      </c>
      <c r="J108" s="495">
        <f t="shared" si="62"/>
        <v>1.67</v>
      </c>
      <c r="K108" s="372">
        <f t="shared" si="63"/>
        <v>0.85014347095642351</v>
      </c>
      <c r="L108" s="488">
        <f>Passby_Length_Adj!H103</f>
        <v>0.69486404833836857</v>
      </c>
      <c r="M108" s="488">
        <f>Passby_Length_Adj!J103</f>
        <v>0.78500000000000003</v>
      </c>
      <c r="N108" s="372">
        <v>0.5</v>
      </c>
      <c r="O108" s="481">
        <f t="shared" si="64"/>
        <v>0.27273413897280968</v>
      </c>
      <c r="P108" s="489">
        <f t="shared" si="65"/>
        <v>175.31480693826006</v>
      </c>
      <c r="Q108" s="490">
        <f t="shared" si="61"/>
        <v>104.97892631033537</v>
      </c>
      <c r="R108" s="491">
        <f t="shared" si="66"/>
        <v>261.71052631578948</v>
      </c>
      <c r="S108" s="500">
        <f t="shared" si="73"/>
        <v>27474.09005674435</v>
      </c>
      <c r="T108" s="489">
        <f t="shared" si="67"/>
        <v>13.37233577656103</v>
      </c>
      <c r="U108" s="493">
        <f t="shared" si="68"/>
        <v>405.42115030277023</v>
      </c>
      <c r="V108" s="500">
        <f t="shared" si="69"/>
        <v>5421.4277527682607</v>
      </c>
      <c r="W108" s="489">
        <f t="shared" si="70"/>
        <v>6.1798537238464855</v>
      </c>
      <c r="X108" s="493">
        <f t="shared" si="71"/>
        <v>37.9060089869281</v>
      </c>
      <c r="Y108" s="763">
        <f t="shared" si="72"/>
        <v>234.25359079402597</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0"/>
        <v>26902.249242121601</v>
      </c>
      <c r="I109" s="487">
        <f>ITECountywide!$B$9*E109</f>
        <v>51.694796567045906</v>
      </c>
      <c r="J109" s="495">
        <f t="shared" si="62"/>
        <v>1.67</v>
      </c>
      <c r="K109" s="372">
        <f t="shared" si="63"/>
        <v>0.85014347095642351</v>
      </c>
      <c r="L109" s="488">
        <f>Passby_Length_Adj!H104</f>
        <v>0.8594671567024027</v>
      </c>
      <c r="M109" s="488">
        <f>Passby_Length_Adj!J104</f>
        <v>1</v>
      </c>
      <c r="N109" s="372">
        <v>0.5</v>
      </c>
      <c r="O109" s="481">
        <f t="shared" si="64"/>
        <v>0.42973357835120135</v>
      </c>
      <c r="P109" s="489">
        <f t="shared" si="65"/>
        <v>142.36025281007065</v>
      </c>
      <c r="Q109" s="490">
        <f t="shared" si="61"/>
        <v>85.245660365311764</v>
      </c>
      <c r="R109" s="491">
        <f t="shared" si="66"/>
        <v>261.71052631578948</v>
      </c>
      <c r="S109" s="500">
        <f t="shared" si="73"/>
        <v>22309.686640342778</v>
      </c>
      <c r="T109" s="489">
        <f t="shared" si="67"/>
        <v>10.858689776744274</v>
      </c>
      <c r="U109" s="493">
        <f t="shared" si="68"/>
        <v>405.42115030277023</v>
      </c>
      <c r="V109" s="500">
        <f t="shared" si="69"/>
        <v>4402.3425000685947</v>
      </c>
      <c r="W109" s="489">
        <f t="shared" si="70"/>
        <v>5.01820441650354</v>
      </c>
      <c r="X109" s="493">
        <f t="shared" si="71"/>
        <v>37.9060089869281</v>
      </c>
      <c r="Y109" s="763">
        <f t="shared" si="72"/>
        <v>190.22010171022546</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0"/>
        <v>20620.209551734613</v>
      </c>
      <c r="I110" s="487">
        <f>ITECountywide!$B$9*E110</f>
        <v>193.54734843720766</v>
      </c>
      <c r="J110" s="495">
        <f t="shared" si="62"/>
        <v>1.67</v>
      </c>
      <c r="K110" s="372">
        <f t="shared" si="63"/>
        <v>0.85014347095642351</v>
      </c>
      <c r="L110" s="488">
        <f>Passby_Length_Adj!H105</f>
        <v>0.31419939577039274</v>
      </c>
      <c r="M110" s="488">
        <f>Passby_Length_Adj!J105</f>
        <v>0.56000000000000005</v>
      </c>
      <c r="N110" s="372">
        <v>0.5</v>
      </c>
      <c r="O110" s="481">
        <f t="shared" si="64"/>
        <v>8.7975830815709977E-2</v>
      </c>
      <c r="P110" s="489">
        <f t="shared" si="65"/>
        <v>109.11720497278652</v>
      </c>
      <c r="Q110" s="490">
        <f t="shared" si="61"/>
        <v>65.339643696279353</v>
      </c>
      <c r="R110" s="491">
        <f t="shared" si="66"/>
        <v>261.71052631578948</v>
      </c>
      <c r="S110" s="500">
        <f t="shared" si="73"/>
        <v>17100.072541039426</v>
      </c>
      <c r="T110" s="489">
        <f t="shared" si="67"/>
        <v>8.3230385919986798</v>
      </c>
      <c r="U110" s="493">
        <f t="shared" si="68"/>
        <v>405.42115030277023</v>
      </c>
      <c r="V110" s="500">
        <f t="shared" si="69"/>
        <v>3374.3358799824537</v>
      </c>
      <c r="W110" s="489">
        <f t="shared" si="70"/>
        <v>3.8463856947592028</v>
      </c>
      <c r="X110" s="493">
        <f t="shared" si="71"/>
        <v>37.9060089869281</v>
      </c>
      <c r="Y110" s="763">
        <f t="shared" si="72"/>
        <v>145.80113071273402</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0"/>
        <v>186514.02037727137</v>
      </c>
      <c r="I111" s="487">
        <f>ITECountywide!$B$9*E111</f>
        <v>1381.6938824378594</v>
      </c>
      <c r="J111" s="495">
        <f t="shared" si="62"/>
        <v>1.67</v>
      </c>
      <c r="K111" s="372">
        <f t="shared" si="63"/>
        <v>0.85014347095642351</v>
      </c>
      <c r="L111" s="488">
        <f>Passby_Length_Adj!H106</f>
        <v>0.32930513595166166</v>
      </c>
      <c r="M111" s="488">
        <f>Passby_Length_Adj!J106</f>
        <v>0.67700000000000005</v>
      </c>
      <c r="N111" s="372">
        <v>0.5</v>
      </c>
      <c r="O111" s="481">
        <f t="shared" si="64"/>
        <v>0.11146978851963749</v>
      </c>
      <c r="P111" s="489">
        <f t="shared" si="65"/>
        <v>986.98747656971125</v>
      </c>
      <c r="Q111" s="490">
        <f t="shared" si="61"/>
        <v>591.01046501180315</v>
      </c>
      <c r="R111" s="491">
        <f t="shared" si="66"/>
        <v>261.71052631578948</v>
      </c>
      <c r="S111" s="500">
        <f t="shared" si="73"/>
        <v>154673.65985637848</v>
      </c>
      <c r="T111" s="489">
        <f t="shared" si="67"/>
        <v>75.283589415233166</v>
      </c>
      <c r="U111" s="493">
        <f t="shared" si="68"/>
        <v>405.42115030277023</v>
      </c>
      <c r="V111" s="500">
        <f t="shared" si="69"/>
        <v>30521.559419645288</v>
      </c>
      <c r="W111" s="489">
        <f t="shared" si="70"/>
        <v>34.791346715039253</v>
      </c>
      <c r="X111" s="493">
        <f t="shared" si="71"/>
        <v>37.9060089869281</v>
      </c>
      <c r="Y111" s="763">
        <f t="shared" si="72"/>
        <v>1318.8011012476093</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0"/>
        <v>152728.72372290082</v>
      </c>
      <c r="I112" s="487">
        <f>ITECountywide!$B$9*E112</f>
        <v>1131.4127635746866</v>
      </c>
      <c r="J112" s="495">
        <f t="shared" si="62"/>
        <v>1.67</v>
      </c>
      <c r="K112" s="372">
        <f t="shared" si="63"/>
        <v>0.85014347095642351</v>
      </c>
      <c r="L112" s="488">
        <f>Passby_Length_Adj!H107</f>
        <v>0.32930513595166166</v>
      </c>
      <c r="M112" s="488">
        <f>Passby_Length_Adj!J107</f>
        <v>0.67700000000000005</v>
      </c>
      <c r="N112" s="372">
        <v>0.5</v>
      </c>
      <c r="O112" s="481">
        <f t="shared" si="64"/>
        <v>0.11146978851963749</v>
      </c>
      <c r="P112" s="489">
        <f t="shared" si="65"/>
        <v>808.2037871580178</v>
      </c>
      <c r="Q112" s="490">
        <f t="shared" si="61"/>
        <v>483.95436356767533</v>
      </c>
      <c r="R112" s="491">
        <f t="shared" si="66"/>
        <v>261.71052631578948</v>
      </c>
      <c r="S112" s="500">
        <f t="shared" si="73"/>
        <v>126655.95120211925</v>
      </c>
      <c r="T112" s="489">
        <f t="shared" si="67"/>
        <v>61.646660692906224</v>
      </c>
      <c r="U112" s="493">
        <f t="shared" si="68"/>
        <v>405.42115030277023</v>
      </c>
      <c r="V112" s="500">
        <f t="shared" si="69"/>
        <v>24992.860090442613</v>
      </c>
      <c r="W112" s="489">
        <f t="shared" si="70"/>
        <v>28.489214749865543</v>
      </c>
      <c r="X112" s="493">
        <f t="shared" si="71"/>
        <v>37.9060089869281</v>
      </c>
      <c r="Y112" s="763">
        <f t="shared" si="72"/>
        <v>1079.9124303389278</v>
      </c>
      <c r="Z112" s="381"/>
    </row>
    <row r="113" spans="2:29"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0"/>
        <v>39428.962774217485</v>
      </c>
      <c r="I113" s="487">
        <f>ITECountywide!$B$9*E113</f>
        <v>75.765865936273457</v>
      </c>
      <c r="J113" s="495">
        <f t="shared" si="62"/>
        <v>1.67</v>
      </c>
      <c r="K113" s="372">
        <f t="shared" si="63"/>
        <v>0.85014347095642351</v>
      </c>
      <c r="L113" s="488">
        <f>Passby_Length_Adj!H108</f>
        <v>0.8594671567024027</v>
      </c>
      <c r="M113" s="488">
        <f>Passby_Length_Adj!J108</f>
        <v>1</v>
      </c>
      <c r="N113" s="372">
        <v>0.5</v>
      </c>
      <c r="O113" s="481">
        <f t="shared" si="64"/>
        <v>0.42973357835120135</v>
      </c>
      <c r="P113" s="489">
        <f t="shared" si="65"/>
        <v>208.64861737240369</v>
      </c>
      <c r="Q113" s="490">
        <f t="shared" si="61"/>
        <v>124.93929183976269</v>
      </c>
      <c r="R113" s="491">
        <f t="shared" si="66"/>
        <v>261.71052631578948</v>
      </c>
      <c r="S113" s="500">
        <f t="shared" si="73"/>
        <v>32697.927824906314</v>
      </c>
      <c r="T113" s="489">
        <f t="shared" si="67"/>
        <v>15.914909981343293</v>
      </c>
      <c r="U113" s="493">
        <f t="shared" si="68"/>
        <v>405.42115030277023</v>
      </c>
      <c r="V113" s="500">
        <f t="shared" si="69"/>
        <v>6452.2411116012372</v>
      </c>
      <c r="W113" s="489">
        <f t="shared" si="70"/>
        <v>7.3548718306398309</v>
      </c>
      <c r="X113" s="493">
        <f t="shared" si="71"/>
        <v>37.9060089869281</v>
      </c>
      <c r="Y113" s="763">
        <f t="shared" si="72"/>
        <v>278.79383770993775</v>
      </c>
      <c r="Z113" s="381"/>
      <c r="AB113" s="11"/>
    </row>
    <row r="114" spans="2:29"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0"/>
        <v>27119.202865041938</v>
      </c>
      <c r="I114" s="487">
        <f>ITECountywide!$B$9*E114</f>
        <v>52.111690087747888</v>
      </c>
      <c r="J114" s="495">
        <f t="shared" si="62"/>
        <v>1.67</v>
      </c>
      <c r="K114" s="372">
        <f t="shared" si="63"/>
        <v>0.85014347095642351</v>
      </c>
      <c r="L114" s="488">
        <f>Passby_Length_Adj!H109</f>
        <v>0.8594671567024027</v>
      </c>
      <c r="M114" s="488">
        <f>Passby_Length_Adj!J109</f>
        <v>1</v>
      </c>
      <c r="N114" s="372">
        <v>0.5</v>
      </c>
      <c r="O114" s="481">
        <f t="shared" si="64"/>
        <v>0.42973357835120135</v>
      </c>
      <c r="P114" s="489">
        <f t="shared" si="65"/>
        <v>143.50831936499057</v>
      </c>
      <c r="Q114" s="490">
        <f t="shared" si="61"/>
        <v>85.933125368257834</v>
      </c>
      <c r="R114" s="491">
        <f t="shared" si="66"/>
        <v>261.71052631578948</v>
      </c>
      <c r="S114" s="500">
        <f t="shared" si="73"/>
        <v>22489.60346808748</v>
      </c>
      <c r="T114" s="489">
        <f t="shared" si="67"/>
        <v>10.946259855588986</v>
      </c>
      <c r="U114" s="493">
        <f t="shared" si="68"/>
        <v>405.42115030277023</v>
      </c>
      <c r="V114" s="500">
        <f t="shared" si="69"/>
        <v>4437.8452621659226</v>
      </c>
      <c r="W114" s="489">
        <f t="shared" si="70"/>
        <v>5.058673806959213</v>
      </c>
      <c r="X114" s="493">
        <f t="shared" si="71"/>
        <v>37.9060089869281</v>
      </c>
      <c r="Y114" s="763">
        <f t="shared" si="72"/>
        <v>191.75413478853372</v>
      </c>
      <c r="Z114" s="381"/>
      <c r="AB114" s="11"/>
    </row>
    <row r="115" spans="2:29"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0"/>
        <v>28996.32334161353</v>
      </c>
      <c r="I115" s="487">
        <f>ITECountywide!$B$9*E115</f>
        <v>55.718725332082435</v>
      </c>
      <c r="J115" s="495">
        <f t="shared" si="62"/>
        <v>1.67</v>
      </c>
      <c r="K115" s="372">
        <f t="shared" si="63"/>
        <v>0.85014347095642351</v>
      </c>
      <c r="L115" s="488">
        <f>Passby_Length_Adj!H110</f>
        <v>0.8594671567024027</v>
      </c>
      <c r="M115" s="488">
        <f>Passby_Length_Adj!J110</f>
        <v>1</v>
      </c>
      <c r="N115" s="372">
        <v>0.5</v>
      </c>
      <c r="O115" s="481">
        <f t="shared" si="64"/>
        <v>0.42973357835120135</v>
      </c>
      <c r="P115" s="489">
        <f t="shared" si="65"/>
        <v>153.44159086190643</v>
      </c>
      <c r="Q115" s="490">
        <f t="shared" si="61"/>
        <v>91.881192132878112</v>
      </c>
      <c r="R115" s="491">
        <f t="shared" si="66"/>
        <v>261.71052631578948</v>
      </c>
      <c r="S115" s="500">
        <f t="shared" si="73"/>
        <v>24046.275151617705</v>
      </c>
      <c r="T115" s="489">
        <f t="shared" si="67"/>
        <v>11.703931407332362</v>
      </c>
      <c r="U115" s="493">
        <f t="shared" si="68"/>
        <v>405.42115030277023</v>
      </c>
      <c r="V115" s="500">
        <f t="shared" si="69"/>
        <v>4745.0213342254065</v>
      </c>
      <c r="W115" s="489">
        <f t="shared" si="70"/>
        <v>5.4088220113365644</v>
      </c>
      <c r="X115" s="493">
        <f t="shared" si="71"/>
        <v>37.9060089869281</v>
      </c>
      <c r="Y115" s="763">
        <f t="shared" si="72"/>
        <v>205.02685577041834</v>
      </c>
      <c r="Z115" s="381"/>
      <c r="AB115" s="11"/>
    </row>
    <row r="116" spans="2:29"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0"/>
        <v>38721.505308172913</v>
      </c>
      <c r="I116" s="487">
        <f>ITECountywide!$B$9*E116</f>
        <v>74.406430542680027</v>
      </c>
      <c r="J116" s="495">
        <f t="shared" si="62"/>
        <v>1.67</v>
      </c>
      <c r="K116" s="372">
        <f t="shared" si="63"/>
        <v>0.85014347095642351</v>
      </c>
      <c r="L116" s="488">
        <f>Passby_Length_Adj!H111</f>
        <v>0.8594671567024027</v>
      </c>
      <c r="M116" s="488">
        <f>Passby_Length_Adj!J111</f>
        <v>1</v>
      </c>
      <c r="N116" s="372">
        <v>0.5</v>
      </c>
      <c r="O116" s="481">
        <f t="shared" si="64"/>
        <v>0.42973357835120135</v>
      </c>
      <c r="P116" s="489">
        <f t="shared" si="65"/>
        <v>204.90492208462129</v>
      </c>
      <c r="Q116" s="490">
        <f t="shared" si="61"/>
        <v>122.69755813450377</v>
      </c>
      <c r="R116" s="491">
        <f t="shared" si="66"/>
        <v>261.71052631578948</v>
      </c>
      <c r="S116" s="500">
        <f t="shared" si="73"/>
        <v>32111.242517043156</v>
      </c>
      <c r="T116" s="489">
        <f t="shared" si="67"/>
        <v>15.629355376414882</v>
      </c>
      <c r="U116" s="493">
        <f t="shared" si="68"/>
        <v>405.42115030277023</v>
      </c>
      <c r="V116" s="500">
        <f t="shared" si="69"/>
        <v>6336.4712351969074</v>
      </c>
      <c r="W116" s="489">
        <f t="shared" si="70"/>
        <v>7.2229064269800238</v>
      </c>
      <c r="X116" s="493">
        <f t="shared" si="71"/>
        <v>37.9060089869281</v>
      </c>
      <c r="Y116" s="763">
        <f t="shared" si="72"/>
        <v>273.79155593284554</v>
      </c>
      <c r="Z116" s="381"/>
      <c r="AB116" s="11"/>
    </row>
    <row r="117" spans="2:29"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0"/>
        <v>135454.52283200074</v>
      </c>
      <c r="I117" s="487">
        <f>ITECountywide!$B$9*E117</f>
        <v>260.28656336002075</v>
      </c>
      <c r="J117" s="495">
        <f t="shared" si="62"/>
        <v>1.67</v>
      </c>
      <c r="K117" s="372">
        <f t="shared" si="63"/>
        <v>0.85014347095642351</v>
      </c>
      <c r="L117" s="488">
        <f>Passby_Length_Adj!H112</f>
        <v>0.8594671567024027</v>
      </c>
      <c r="M117" s="488">
        <f>Passby_Length_Adj!J112</f>
        <v>1</v>
      </c>
      <c r="N117" s="372">
        <v>0.5</v>
      </c>
      <c r="O117" s="481">
        <f t="shared" si="64"/>
        <v>0.42973357835120135</v>
      </c>
      <c r="P117" s="489">
        <f t="shared" si="65"/>
        <v>716.79285776739641</v>
      </c>
      <c r="Q117" s="490">
        <f t="shared" si="61"/>
        <v>429.21728010023742</v>
      </c>
      <c r="R117" s="491">
        <f t="shared" si="66"/>
        <v>261.71052631578948</v>
      </c>
      <c r="S117" s="500">
        <f t="shared" si="73"/>
        <v>112330.68027886476</v>
      </c>
      <c r="T117" s="489">
        <f t="shared" si="67"/>
        <v>54.674188356959249</v>
      </c>
      <c r="U117" s="493">
        <f t="shared" si="68"/>
        <v>405.42115030277023</v>
      </c>
      <c r="V117" s="500">
        <f t="shared" si="69"/>
        <v>22166.072335548746</v>
      </c>
      <c r="W117" s="489">
        <f t="shared" si="70"/>
        <v>25.266975954064108</v>
      </c>
      <c r="X117" s="493">
        <f t="shared" si="71"/>
        <v>37.9060089869281</v>
      </c>
      <c r="Y117" s="763">
        <f t="shared" si="72"/>
        <v>957.77021758725027</v>
      </c>
      <c r="Z117" s="381"/>
      <c r="AB117" s="11"/>
    </row>
    <row r="118" spans="2:29"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0"/>
        <v>18865.532427855262</v>
      </c>
      <c r="I118" s="487">
        <f>ITECountywide!$B$9*E118</f>
        <v>36.251610495824622</v>
      </c>
      <c r="J118" s="495">
        <f t="shared" si="62"/>
        <v>1.67</v>
      </c>
      <c r="K118" s="372">
        <f t="shared" si="63"/>
        <v>0.85014347095642351</v>
      </c>
      <c r="L118" s="488">
        <f>Passby_Length_Adj!H113</f>
        <v>0.8594671567024027</v>
      </c>
      <c r="M118" s="488">
        <f>Passby_Length_Adj!J113</f>
        <v>1</v>
      </c>
      <c r="N118" s="372">
        <v>0.5</v>
      </c>
      <c r="O118" s="481">
        <f t="shared" si="64"/>
        <v>0.42973357835120135</v>
      </c>
      <c r="P118" s="489">
        <f t="shared" si="65"/>
        <v>99.83187434086301</v>
      </c>
      <c r="Q118" s="490">
        <f t="shared" si="61"/>
        <v>59.779565473570671</v>
      </c>
      <c r="R118" s="491">
        <f t="shared" si="66"/>
        <v>261.71052631578948</v>
      </c>
      <c r="S118" s="500">
        <f t="shared" si="73"/>
        <v>15644.941543017378</v>
      </c>
      <c r="T118" s="489">
        <f t="shared" si="67"/>
        <v>7.614789464757556</v>
      </c>
      <c r="U118" s="493">
        <f t="shared" si="68"/>
        <v>405.42115030277023</v>
      </c>
      <c r="V118" s="500">
        <f t="shared" si="69"/>
        <v>3087.1967041154244</v>
      </c>
      <c r="W118" s="489">
        <f t="shared" si="70"/>
        <v>3.519077430928149</v>
      </c>
      <c r="X118" s="493">
        <f t="shared" si="71"/>
        <v>37.9060089869281</v>
      </c>
      <c r="Y118" s="763">
        <f t="shared" si="72"/>
        <v>133.39418072245826</v>
      </c>
      <c r="Z118" s="381"/>
      <c r="AB118" s="11"/>
    </row>
    <row r="119" spans="2:29"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0"/>
        <v>21582.169097466416</v>
      </c>
      <c r="I119" s="487">
        <f>ITECountywide!$B$9*E119</f>
        <v>41.471842407223363</v>
      </c>
      <c r="J119" s="495">
        <f t="shared" si="62"/>
        <v>1.67</v>
      </c>
      <c r="K119" s="372">
        <f t="shared" si="63"/>
        <v>0.85014347095642351</v>
      </c>
      <c r="L119" s="488">
        <f>Passby_Length_Adj!H114</f>
        <v>0.8594671567024027</v>
      </c>
      <c r="M119" s="488">
        <f>Passby_Length_Adj!J114</f>
        <v>1</v>
      </c>
      <c r="N119" s="372">
        <v>0.5</v>
      </c>
      <c r="O119" s="481">
        <f t="shared" si="64"/>
        <v>0.42973357835120135</v>
      </c>
      <c r="P119" s="489">
        <f t="shared" si="65"/>
        <v>114.20766424594727</v>
      </c>
      <c r="Q119" s="490">
        <f t="shared" si="61"/>
        <v>68.387822901764835</v>
      </c>
      <c r="R119" s="491">
        <f t="shared" si="66"/>
        <v>261.71052631578948</v>
      </c>
      <c r="S119" s="500">
        <f t="shared" si="73"/>
        <v>17897.813125211876</v>
      </c>
      <c r="T119" s="489">
        <f t="shared" si="67"/>
        <v>8.7113191476826444</v>
      </c>
      <c r="U119" s="493">
        <f t="shared" si="68"/>
        <v>405.42115030277023</v>
      </c>
      <c r="V119" s="500">
        <f t="shared" si="69"/>
        <v>3531.7530295080455</v>
      </c>
      <c r="W119" s="489">
        <f t="shared" si="70"/>
        <v>4.0258245809818014</v>
      </c>
      <c r="X119" s="493">
        <f t="shared" si="71"/>
        <v>37.9060089869281</v>
      </c>
      <c r="Y119" s="763">
        <f t="shared" si="72"/>
        <v>152.6029427464922</v>
      </c>
      <c r="Z119" s="381"/>
      <c r="AB119" s="11"/>
    </row>
    <row r="120" spans="2:29"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0"/>
        <v>62633.567660479457</v>
      </c>
      <c r="I120" s="487">
        <f>ITECountywide!$B$9*E120</f>
        <v>120.35534684613775</v>
      </c>
      <c r="J120" s="495">
        <f t="shared" si="62"/>
        <v>1.67</v>
      </c>
      <c r="K120" s="372">
        <f t="shared" si="63"/>
        <v>0.85014347095642351</v>
      </c>
      <c r="L120" s="488">
        <f>Passby_Length_Adj!H115</f>
        <v>0.8594671567024027</v>
      </c>
      <c r="M120" s="488">
        <f>Passby_Length_Adj!J115</f>
        <v>1</v>
      </c>
      <c r="N120" s="372">
        <v>0.5</v>
      </c>
      <c r="O120" s="481">
        <f t="shared" si="64"/>
        <v>0.42973357835120135</v>
      </c>
      <c r="P120" s="489">
        <f t="shared" si="65"/>
        <v>331.44182281166519</v>
      </c>
      <c r="Q120" s="490">
        <f t="shared" si="61"/>
        <v>198.46815737225461</v>
      </c>
      <c r="R120" s="491">
        <f t="shared" si="66"/>
        <v>261.71052631578948</v>
      </c>
      <c r="S120" s="500">
        <f t="shared" si="73"/>
        <v>51941.205922817688</v>
      </c>
      <c r="T120" s="489">
        <f t="shared" si="67"/>
        <v>25.281101022995088</v>
      </c>
      <c r="U120" s="493">
        <f t="shared" si="68"/>
        <v>405.42115030277023</v>
      </c>
      <c r="V120" s="500">
        <f t="shared" si="69"/>
        <v>10249.49305766321</v>
      </c>
      <c r="W120" s="489">
        <f t="shared" si="70"/>
        <v>11.683337070681455</v>
      </c>
      <c r="X120" s="493">
        <f t="shared" si="71"/>
        <v>37.9060089869281</v>
      </c>
      <c r="Y120" s="763">
        <f t="shared" si="72"/>
        <v>442.86867999856145</v>
      </c>
      <c r="Z120" s="381"/>
      <c r="AB120" s="11"/>
    </row>
    <row r="121" spans="2:29"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0"/>
        <v>53342.292939760751</v>
      </c>
      <c r="I121" s="487">
        <f>ITECountywide!$B$9*E121</f>
        <v>102.5014286769441</v>
      </c>
      <c r="J121" s="495">
        <f t="shared" si="62"/>
        <v>1.67</v>
      </c>
      <c r="K121" s="372">
        <f t="shared" si="63"/>
        <v>0.85014347095642351</v>
      </c>
      <c r="L121" s="488">
        <f>Passby_Length_Adj!H116</f>
        <v>0.8594671567024027</v>
      </c>
      <c r="M121" s="488">
        <f>Passby_Length_Adj!J116</f>
        <v>1</v>
      </c>
      <c r="N121" s="372">
        <v>0.5</v>
      </c>
      <c r="O121" s="481">
        <f t="shared" si="64"/>
        <v>0.42973357835120135</v>
      </c>
      <c r="P121" s="489">
        <f t="shared" si="65"/>
        <v>282.27462469879015</v>
      </c>
      <c r="Q121" s="490">
        <f t="shared" si="61"/>
        <v>169.02672137652107</v>
      </c>
      <c r="R121" s="491">
        <f t="shared" si="66"/>
        <v>261.71052631578948</v>
      </c>
      <c r="S121" s="500">
        <f t="shared" si="73"/>
        <v>44236.072212881634</v>
      </c>
      <c r="T121" s="489">
        <f t="shared" si="67"/>
        <v>21.530817211601988</v>
      </c>
      <c r="U121" s="493">
        <f t="shared" si="68"/>
        <v>405.42115030277023</v>
      </c>
      <c r="V121" s="500">
        <f t="shared" si="69"/>
        <v>8729.0486808863625</v>
      </c>
      <c r="W121" s="489">
        <f t="shared" si="70"/>
        <v>9.9501914359493409</v>
      </c>
      <c r="X121" s="493">
        <f t="shared" si="71"/>
        <v>37.9060089869281</v>
      </c>
      <c r="Y121" s="763">
        <f t="shared" si="72"/>
        <v>377.17204599275072</v>
      </c>
      <c r="Z121" s="381"/>
      <c r="AB121" s="11"/>
    </row>
    <row r="122" spans="2:29"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0"/>
        <v>10064.414590081111</v>
      </c>
      <c r="I122" s="487">
        <f>ITECountywide!$B$9*E122</f>
        <v>163.27725367319408</v>
      </c>
      <c r="J122" s="495">
        <f t="shared" si="62"/>
        <v>1.67</v>
      </c>
      <c r="K122" s="372">
        <f t="shared" si="63"/>
        <v>0.85014347095642351</v>
      </c>
      <c r="L122" s="488">
        <f>Passby_Length_Adj!H117</f>
        <v>0.31419939577039274</v>
      </c>
      <c r="M122" s="488">
        <f>Passby_Length_Adj!J117</f>
        <v>0.32400000000000001</v>
      </c>
      <c r="N122" s="372">
        <v>0.5</v>
      </c>
      <c r="O122" s="481">
        <f t="shared" si="64"/>
        <v>5.0900302114803626E-2</v>
      </c>
      <c r="P122" s="489">
        <f t="shared" si="65"/>
        <v>53.258468930768018</v>
      </c>
      <c r="Q122" s="490">
        <f t="shared" si="61"/>
        <v>31.891298760938934</v>
      </c>
      <c r="R122" s="491">
        <f t="shared" si="66"/>
        <v>261.71052631578948</v>
      </c>
      <c r="S122" s="500">
        <f t="shared" si="73"/>
        <v>8346.2885836194127</v>
      </c>
      <c r="T122" s="489">
        <f t="shared" si="67"/>
        <v>4.0623501341708268</v>
      </c>
      <c r="U122" s="493">
        <f t="shared" si="68"/>
        <v>405.42115030277023</v>
      </c>
      <c r="V122" s="500">
        <f t="shared" si="69"/>
        <v>1646.9626643281497</v>
      </c>
      <c r="W122" s="489">
        <f t="shared" si="70"/>
        <v>1.8773630892687654</v>
      </c>
      <c r="X122" s="493">
        <f t="shared" si="71"/>
        <v>37.9060089869281</v>
      </c>
      <c r="Y122" s="763">
        <f t="shared" si="72"/>
        <v>71.163342133548923</v>
      </c>
      <c r="Z122" s="381"/>
      <c r="AB122" s="11"/>
    </row>
    <row r="123" spans="2:29"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0"/>
        <v>12196.175584516586</v>
      </c>
      <c r="I123" s="487">
        <f>ITECountywide!$B$9*E123</f>
        <v>197.86129008621077</v>
      </c>
      <c r="J123" s="495">
        <f t="shared" si="62"/>
        <v>1.67</v>
      </c>
      <c r="K123" s="372">
        <f t="shared" si="63"/>
        <v>0.85014347095642351</v>
      </c>
      <c r="L123" s="488">
        <f>Passby_Length_Adj!H118</f>
        <v>0.31419939577039274</v>
      </c>
      <c r="M123" s="488">
        <f>Passby_Length_Adj!J118</f>
        <v>0.32400000000000001</v>
      </c>
      <c r="N123" s="372">
        <v>0.5</v>
      </c>
      <c r="O123" s="481">
        <f t="shared" si="64"/>
        <v>5.0900302114803626E-2</v>
      </c>
      <c r="P123" s="489">
        <f t="shared" si="65"/>
        <v>64.539236994700673</v>
      </c>
      <c r="Q123" s="490">
        <f t="shared" si="61"/>
        <v>38.646249697425553</v>
      </c>
      <c r="R123" s="491">
        <f t="shared" si="66"/>
        <v>261.71052631578948</v>
      </c>
      <c r="S123" s="500">
        <f t="shared" si="73"/>
        <v>10114.130348444662</v>
      </c>
      <c r="T123" s="489">
        <f t="shared" si="67"/>
        <v>4.9228035151652696</v>
      </c>
      <c r="U123" s="493">
        <f t="shared" si="68"/>
        <v>405.42115030277023</v>
      </c>
      <c r="V123" s="500">
        <f t="shared" si="69"/>
        <v>1995.8086638328243</v>
      </c>
      <c r="W123" s="489">
        <f t="shared" si="70"/>
        <v>2.2750105997399914</v>
      </c>
      <c r="X123" s="493">
        <f t="shared" si="71"/>
        <v>37.9060089869281</v>
      </c>
      <c r="Y123" s="763">
        <f t="shared" si="72"/>
        <v>86.236572239100795</v>
      </c>
      <c r="Z123" s="381"/>
      <c r="AB123" s="11"/>
    </row>
    <row r="124" spans="2:29"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0"/>
        <v>238366.00222595115</v>
      </c>
      <c r="I124" s="487">
        <f>ITECountywide!$B$9*E124</f>
        <v>458.03909861474403</v>
      </c>
      <c r="J124" s="495">
        <f t="shared" si="62"/>
        <v>1.67</v>
      </c>
      <c r="K124" s="372">
        <f t="shared" si="63"/>
        <v>0.85014347095642351</v>
      </c>
      <c r="L124" s="488">
        <f>Passby_Length_Adj!H119</f>
        <v>0.8594671567024027</v>
      </c>
      <c r="M124" s="488">
        <f>Passby_Length_Adj!J119</f>
        <v>1</v>
      </c>
      <c r="N124" s="372">
        <v>0.5</v>
      </c>
      <c r="O124" s="481">
        <f t="shared" si="64"/>
        <v>0.42973357835120135</v>
      </c>
      <c r="P124" s="489">
        <f t="shared" si="65"/>
        <v>1261.3757322968038</v>
      </c>
      <c r="Q124" s="490">
        <f t="shared" si="61"/>
        <v>755.31480975856516</v>
      </c>
      <c r="R124" s="491">
        <f t="shared" si="66"/>
        <v>261.71052631578948</v>
      </c>
      <c r="S124" s="500">
        <f t="shared" si="73"/>
        <v>197673.8363960245</v>
      </c>
      <c r="T124" s="489">
        <f t="shared" si="67"/>
        <v>96.212864887211708</v>
      </c>
      <c r="U124" s="493">
        <f t="shared" si="68"/>
        <v>405.42115030277023</v>
      </c>
      <c r="V124" s="500">
        <f t="shared" si="69"/>
        <v>39006.730356498381</v>
      </c>
      <c r="W124" s="489">
        <f t="shared" si="70"/>
        <v>44.463543339777154</v>
      </c>
      <c r="X124" s="493">
        <f t="shared" si="71"/>
        <v>37.9060089869281</v>
      </c>
      <c r="Y124" s="763">
        <f t="shared" si="72"/>
        <v>1685.4354734282599</v>
      </c>
      <c r="Z124" s="381"/>
      <c r="AB124" s="11"/>
    </row>
    <row r="125" spans="2:29"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0"/>
        <v>3447.5369106635676</v>
      </c>
      <c r="I125" s="487">
        <f>ITECountywide!$B$9*E125</f>
        <v>11.419257306184756</v>
      </c>
      <c r="J125" s="495">
        <f t="shared" si="62"/>
        <v>1.67</v>
      </c>
      <c r="K125" s="372">
        <f t="shared" si="63"/>
        <v>0.85014347095642351</v>
      </c>
      <c r="L125" s="488">
        <f>Passby_Length_Adj!H120</f>
        <v>0.91993957703927487</v>
      </c>
      <c r="M125" s="488">
        <f>Passby_Length_Adj!J120</f>
        <v>0.54200000000000004</v>
      </c>
      <c r="N125" s="372">
        <v>0.5</v>
      </c>
      <c r="O125" s="481">
        <f t="shared" si="64"/>
        <v>0.2493036253776435</v>
      </c>
      <c r="P125" s="489">
        <f t="shared" si="65"/>
        <v>18.243538737484762</v>
      </c>
      <c r="Q125" s="490">
        <f t="shared" si="61"/>
        <v>10.924274693104648</v>
      </c>
      <c r="R125" s="491">
        <f t="shared" si="66"/>
        <v>261.71052631578948</v>
      </c>
      <c r="S125" s="500">
        <f t="shared" si="73"/>
        <v>2858.9976795506768</v>
      </c>
      <c r="T125" s="489">
        <f t="shared" si="67"/>
        <v>1.3915466126957465</v>
      </c>
      <c r="U125" s="493">
        <f t="shared" si="68"/>
        <v>405.42115030277023</v>
      </c>
      <c r="V125" s="500">
        <f t="shared" si="69"/>
        <v>564.16242841903306</v>
      </c>
      <c r="W125" s="489">
        <f t="shared" si="70"/>
        <v>0.64308544595829187</v>
      </c>
      <c r="X125" s="493">
        <f t="shared" si="71"/>
        <v>37.9060089869281</v>
      </c>
      <c r="Y125" s="763">
        <f t="shared" si="72"/>
        <v>24.376802693857677</v>
      </c>
      <c r="Z125" s="381"/>
      <c r="AB125" s="11"/>
    </row>
    <row r="126" spans="2:29"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0"/>
        <v>68221.055563057016</v>
      </c>
      <c r="I126" s="487">
        <f>ITECountywide!$B$9*E126</f>
        <v>183.95879746106203</v>
      </c>
      <c r="J126" s="495">
        <f t="shared" si="62"/>
        <v>1.67</v>
      </c>
      <c r="K126" s="372">
        <f t="shared" si="63"/>
        <v>0.85014347095642351</v>
      </c>
      <c r="L126" s="488">
        <f>Passby_Length_Adj!H121</f>
        <v>0.61247081225203326</v>
      </c>
      <c r="M126" s="488">
        <f>Passby_Length_Adj!J121</f>
        <v>1</v>
      </c>
      <c r="N126" s="372">
        <v>0.5</v>
      </c>
      <c r="O126" s="481">
        <f t="shared" si="64"/>
        <v>0.30623540612601663</v>
      </c>
      <c r="P126" s="489">
        <f t="shared" si="65"/>
        <v>361.00946911607593</v>
      </c>
      <c r="Q126" s="490">
        <f t="shared" si="61"/>
        <v>216.17333480004547</v>
      </c>
      <c r="R126" s="491">
        <f t="shared" si="66"/>
        <v>261.71052631578948</v>
      </c>
      <c r="S126" s="500">
        <f t="shared" si="73"/>
        <v>56574.837225959272</v>
      </c>
      <c r="T126" s="489">
        <f t="shared" si="67"/>
        <v>27.53640678644048</v>
      </c>
      <c r="U126" s="493">
        <f t="shared" si="68"/>
        <v>405.42115030277023</v>
      </c>
      <c r="V126" s="500">
        <f t="shared" si="69"/>
        <v>11163.841714563709</v>
      </c>
      <c r="W126" s="489">
        <f t="shared" si="70"/>
        <v>12.725597746267388</v>
      </c>
      <c r="X126" s="493">
        <f t="shared" si="71"/>
        <v>37.9060089869281</v>
      </c>
      <c r="Y126" s="763">
        <f t="shared" si="72"/>
        <v>482.37662253404358</v>
      </c>
      <c r="Z126" s="381"/>
      <c r="AB126" s="11"/>
    </row>
    <row r="127" spans="2:29"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c r="AB127" s="11"/>
    </row>
    <row r="128" spans="2:29"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0"/>
        <v>29484.089176142177</v>
      </c>
      <c r="I128" s="487">
        <f>ITECountywide!$B$9*E128</f>
        <v>283.63260051933179</v>
      </c>
      <c r="J128" s="495">
        <f t="shared" ref="J128:J137" si="74">IF(F128="Prod",$M$3,$M$4)</f>
        <v>1.67</v>
      </c>
      <c r="K128" s="372">
        <f t="shared" ref="K128:K137" si="75">IF(F128="Prod",$F$4,$F$5)</f>
        <v>0.85014347095642351</v>
      </c>
      <c r="L128" s="488">
        <f>Passby_Length_Adj!H123</f>
        <v>0.37160120845921452</v>
      </c>
      <c r="M128" s="488">
        <f>Passby_Length_Adj!J123</f>
        <v>0.46200000000000002</v>
      </c>
      <c r="N128" s="372">
        <v>0.5</v>
      </c>
      <c r="O128" s="481">
        <f t="shared" ref="O128:O137" si="76">L128*M128*N128</f>
        <v>8.5839879154078563E-2</v>
      </c>
      <c r="P128" s="489">
        <f t="shared" ref="P128:P137" si="77">IF($F128="Prod",$I128*$O128*$F$4*$F$6,$I128*O128*$F$5*$F$7)</f>
        <v>156.02273070975571</v>
      </c>
      <c r="Q128" s="490">
        <f>+P128/J128</f>
        <v>93.42678485614114</v>
      </c>
      <c r="R128" s="491">
        <f t="shared" ref="R128:R137" si="78">$Q$4</f>
        <v>261.71052631578948</v>
      </c>
      <c r="S128" s="500">
        <f t="shared" si="73"/>
        <v>24450.773036692728</v>
      </c>
      <c r="T128" s="489">
        <f t="shared" ref="T128:T137" si="79">IF($F128="Prod",$I128*$O128*$G$4*$G$6,$I128*$O128*$G$5*$G$7)</f>
        <v>11.900810777275471</v>
      </c>
      <c r="U128" s="493">
        <f t="shared" ref="U128:U137" si="80">+$R$4</f>
        <v>405.42115030277023</v>
      </c>
      <c r="V128" s="500">
        <f t="shared" ref="V128:V137" si="81">+T128*U128</f>
        <v>4824.8403948586265</v>
      </c>
      <c r="W128" s="489">
        <f t="shared" ref="W128:W137" si="82">IF($F128="Prod",$I128*$O128*$J$4*$J$6,$I128*$O128*$J$5*$J$7)</f>
        <v>5.4998072907837097</v>
      </c>
      <c r="X128" s="493">
        <f t="shared" ref="X128:X137" si="83">+$S$4</f>
        <v>37.9060089869281</v>
      </c>
      <c r="Y128" s="763">
        <f t="shared" ref="Y128:Y137" si="84">+W128*X128</f>
        <v>208.47574459081997</v>
      </c>
      <c r="Z128" s="503"/>
      <c r="AA128" s="201"/>
      <c r="AB128" s="201"/>
      <c r="AC128" s="20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0"/>
        <v>18847.734153179335</v>
      </c>
      <c r="I129" s="487">
        <f>ITECountywide!$B$9*E129</f>
        <v>181.31242989486685</v>
      </c>
      <c r="J129" s="495">
        <f t="shared" si="74"/>
        <v>1.67</v>
      </c>
      <c r="K129" s="372">
        <f t="shared" si="75"/>
        <v>0.85014347095642351</v>
      </c>
      <c r="L129" s="488">
        <f>Passby_Length_Adj!H124</f>
        <v>0.37160120845921452</v>
      </c>
      <c r="M129" s="488">
        <f>Passby_Length_Adj!J124</f>
        <v>0.46200000000000002</v>
      </c>
      <c r="N129" s="372">
        <v>0.5</v>
      </c>
      <c r="O129" s="481">
        <f t="shared" si="76"/>
        <v>8.5839879154078563E-2</v>
      </c>
      <c r="P129" s="489">
        <f t="shared" si="77"/>
        <v>99.73769013865585</v>
      </c>
      <c r="Q129" s="490">
        <f t="shared" si="61"/>
        <v>59.723167747698113</v>
      </c>
      <c r="R129" s="491">
        <f t="shared" si="78"/>
        <v>261.71052631578948</v>
      </c>
      <c r="S129" s="500">
        <f t="shared" si="73"/>
        <v>15630.181664496256</v>
      </c>
      <c r="T129" s="489">
        <f t="shared" si="79"/>
        <v>7.6076054578915233</v>
      </c>
      <c r="U129" s="493">
        <f t="shared" si="80"/>
        <v>405.42115030277023</v>
      </c>
      <c r="V129" s="500">
        <f t="shared" si="81"/>
        <v>3084.2841557880142</v>
      </c>
      <c r="W129" s="489">
        <f t="shared" si="82"/>
        <v>3.5157574341583242</v>
      </c>
      <c r="X129" s="493">
        <f t="shared" si="83"/>
        <v>37.9060089869281</v>
      </c>
      <c r="Y129" s="763">
        <f t="shared" si="84"/>
        <v>133.2683328950647</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0"/>
        <v>33475.577477297811</v>
      </c>
      <c r="I130" s="487">
        <f>ITECountywide!$B$9*E130</f>
        <v>151.96675119849681</v>
      </c>
      <c r="J130" s="495">
        <f t="shared" si="74"/>
        <v>1.67</v>
      </c>
      <c r="K130" s="372">
        <f t="shared" si="75"/>
        <v>0.85014347095642351</v>
      </c>
      <c r="L130" s="488">
        <f>Passby_Length_Adj!H125</f>
        <v>0.47432024169184289</v>
      </c>
      <c r="M130" s="488">
        <f>Passby_Length_Adj!J125</f>
        <v>0.76700000000000002</v>
      </c>
      <c r="N130" s="372">
        <v>0.5</v>
      </c>
      <c r="O130" s="481">
        <f t="shared" si="76"/>
        <v>0.18190181268882175</v>
      </c>
      <c r="P130" s="489">
        <f t="shared" si="77"/>
        <v>177.14472978599886</v>
      </c>
      <c r="Q130" s="490">
        <f t="shared" si="61"/>
        <v>106.0746884946101</v>
      </c>
      <c r="R130" s="491">
        <f t="shared" si="78"/>
        <v>261.71052631578948</v>
      </c>
      <c r="S130" s="500">
        <f t="shared" si="73"/>
        <v>27760.86255470783</v>
      </c>
      <c r="T130" s="489">
        <f t="shared" si="79"/>
        <v>13.511915217639169</v>
      </c>
      <c r="U130" s="493">
        <f t="shared" si="80"/>
        <v>405.42115030277023</v>
      </c>
      <c r="V130" s="500">
        <f t="shared" si="81"/>
        <v>5478.0162103287776</v>
      </c>
      <c r="W130" s="489">
        <f t="shared" si="82"/>
        <v>6.2443585749908204</v>
      </c>
      <c r="X130" s="493">
        <f t="shared" si="83"/>
        <v>37.9060089869281</v>
      </c>
      <c r="Y130" s="763">
        <f t="shared" si="84"/>
        <v>236.69871226120358</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0"/>
        <v>1038.126209935285</v>
      </c>
      <c r="I131" s="487">
        <f>ITECountywide!$B$9*E131</f>
        <v>4.7127093644572007</v>
      </c>
      <c r="J131" s="495">
        <f t="shared" si="74"/>
        <v>1.67</v>
      </c>
      <c r="K131" s="372">
        <f t="shared" si="75"/>
        <v>0.85014347095642351</v>
      </c>
      <c r="L131" s="488">
        <f>Passby_Length_Adj!H126</f>
        <v>0.47432024169184289</v>
      </c>
      <c r="M131" s="488">
        <f>Passby_Length_Adj!J126</f>
        <v>0.76700000000000002</v>
      </c>
      <c r="N131" s="372">
        <v>0.5</v>
      </c>
      <c r="O131" s="481">
        <f t="shared" si="76"/>
        <v>0.18190181268882175</v>
      </c>
      <c r="P131" s="489">
        <f t="shared" si="77"/>
        <v>5.4935149981345068</v>
      </c>
      <c r="Q131" s="490">
        <f t="shared" si="61"/>
        <v>3.2895299390026986</v>
      </c>
      <c r="R131" s="491">
        <f t="shared" si="78"/>
        <v>261.71052631578948</v>
      </c>
      <c r="S131" s="500">
        <f t="shared" si="73"/>
        <v>860.90461166794307</v>
      </c>
      <c r="T131" s="489">
        <f t="shared" si="79"/>
        <v>0.41902408833327581</v>
      </c>
      <c r="U131" s="493">
        <f t="shared" si="80"/>
        <v>405.42115030277023</v>
      </c>
      <c r="V131" s="500">
        <f t="shared" si="81"/>
        <v>169.88122789664629</v>
      </c>
      <c r="W131" s="489">
        <f t="shared" si="82"/>
        <v>0.19364661611374206</v>
      </c>
      <c r="X131" s="493">
        <f t="shared" si="83"/>
        <v>37.9060089869281</v>
      </c>
      <c r="Y131" s="763">
        <f t="shared" si="84"/>
        <v>7.3403703706957222</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0"/>
        <v>41740.702264065061</v>
      </c>
      <c r="I132" s="487">
        <f>ITECountywide!$B$9*E132</f>
        <v>203.3352832710803</v>
      </c>
      <c r="J132" s="495">
        <f t="shared" si="74"/>
        <v>1.67</v>
      </c>
      <c r="K132" s="372">
        <f t="shared" si="75"/>
        <v>0.85014347095642351</v>
      </c>
      <c r="L132" s="488">
        <f>Passby_Length_Adj!H127</f>
        <v>0.47885196374622352</v>
      </c>
      <c r="M132" s="488">
        <f>Passby_Length_Adj!J127</f>
        <v>0.70799999999999996</v>
      </c>
      <c r="N132" s="372">
        <v>0.5</v>
      </c>
      <c r="O132" s="481">
        <f t="shared" si="76"/>
        <v>0.16951359516616313</v>
      </c>
      <c r="P132" s="489">
        <f t="shared" si="77"/>
        <v>220.88178848177108</v>
      </c>
      <c r="Q132" s="490">
        <f t="shared" si="61"/>
        <v>132.26454400106053</v>
      </c>
      <c r="R132" s="491">
        <f t="shared" si="78"/>
        <v>261.71052631578948</v>
      </c>
      <c r="S132" s="500">
        <f t="shared" si="73"/>
        <v>34615.02342343545</v>
      </c>
      <c r="T132" s="489">
        <f t="shared" si="79"/>
        <v>16.848008985035523</v>
      </c>
      <c r="U132" s="493">
        <f t="shared" si="80"/>
        <v>405.42115030277023</v>
      </c>
      <c r="V132" s="500">
        <f t="shared" si="81"/>
        <v>6830.5391830245098</v>
      </c>
      <c r="W132" s="489">
        <f t="shared" si="82"/>
        <v>7.7860915852912385</v>
      </c>
      <c r="X132" s="493">
        <f t="shared" si="83"/>
        <v>37.9060089869281</v>
      </c>
      <c r="Y132" s="763">
        <f t="shared" si="84"/>
        <v>295.13965760509495</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0"/>
        <v>1626.0195123369967</v>
      </c>
      <c r="I133" s="487">
        <f>ITECountywide!$B$9*E133</f>
        <v>7.9209768933376798</v>
      </c>
      <c r="J133" s="495">
        <f t="shared" si="74"/>
        <v>1.67</v>
      </c>
      <c r="K133" s="372">
        <f t="shared" si="75"/>
        <v>0.85014347095642351</v>
      </c>
      <c r="L133" s="488">
        <f>Passby_Length_Adj!H128</f>
        <v>0.47885196374622352</v>
      </c>
      <c r="M133" s="488">
        <f>Passby_Length_Adj!J128</f>
        <v>0.70799999999999996</v>
      </c>
      <c r="N133" s="372">
        <v>0.5</v>
      </c>
      <c r="O133" s="481">
        <f t="shared" si="76"/>
        <v>0.16951359516616313</v>
      </c>
      <c r="P133" s="489">
        <f t="shared" si="77"/>
        <v>8.604505399049204</v>
      </c>
      <c r="Q133" s="490">
        <f t="shared" si="61"/>
        <v>5.1523984425444338</v>
      </c>
      <c r="R133" s="491">
        <f t="shared" si="78"/>
        <v>261.71052631578948</v>
      </c>
      <c r="S133" s="500">
        <f t="shared" si="73"/>
        <v>1348.4369081869577</v>
      </c>
      <c r="T133" s="489">
        <f t="shared" si="79"/>
        <v>0.65631841027460547</v>
      </c>
      <c r="U133" s="493">
        <f t="shared" si="80"/>
        <v>405.42115030277023</v>
      </c>
      <c r="V133" s="500">
        <f t="shared" si="81"/>
        <v>266.08536485841603</v>
      </c>
      <c r="W133" s="489">
        <f t="shared" si="82"/>
        <v>0.30330914804530856</v>
      </c>
      <c r="X133" s="493">
        <f t="shared" si="83"/>
        <v>37.9060089869281</v>
      </c>
      <c r="Y133" s="763">
        <f t="shared" si="84"/>
        <v>11.497239291622972</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0"/>
        <v>68131.651532682445</v>
      </c>
      <c r="I134" s="487">
        <f>ITECountywide!$B$9*E134</f>
        <v>627.56975509846791</v>
      </c>
      <c r="J134" s="495">
        <f t="shared" si="74"/>
        <v>1.67</v>
      </c>
      <c r="K134" s="372">
        <f t="shared" si="75"/>
        <v>0.85014347095642351</v>
      </c>
      <c r="L134" s="488">
        <f>Passby_Length_Adj!H129</f>
        <v>0.30966767371601206</v>
      </c>
      <c r="M134" s="488">
        <f>Passby_Length_Adj!J129</f>
        <v>0.57899999999999996</v>
      </c>
      <c r="N134" s="372">
        <v>0.5</v>
      </c>
      <c r="O134" s="481">
        <f t="shared" si="76"/>
        <v>8.9648791540785491E-2</v>
      </c>
      <c r="P134" s="489">
        <f t="shared" si="77"/>
        <v>360.53636442316292</v>
      </c>
      <c r="Q134" s="490">
        <f t="shared" si="61"/>
        <v>215.89003857674427</v>
      </c>
      <c r="R134" s="491">
        <f t="shared" si="78"/>
        <v>261.71052631578948</v>
      </c>
      <c r="S134" s="500">
        <f t="shared" si="73"/>
        <v>56500.695622255836</v>
      </c>
      <c r="T134" s="489">
        <f t="shared" si="79"/>
        <v>27.500320189297959</v>
      </c>
      <c r="U134" s="493">
        <f t="shared" si="80"/>
        <v>405.42115030277023</v>
      </c>
      <c r="V134" s="500">
        <f t="shared" si="81"/>
        <v>11149.211444839675</v>
      </c>
      <c r="W134" s="489">
        <f t="shared" si="82"/>
        <v>12.708920787547655</v>
      </c>
      <c r="X134" s="493">
        <f t="shared" si="83"/>
        <v>37.9060089869281</v>
      </c>
      <c r="Y134" s="763">
        <f t="shared" si="84"/>
        <v>481.74446558693876</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0"/>
        <v>92674.237614639991</v>
      </c>
      <c r="I135" s="487">
        <f>ITECountywide!$B$9*E135</f>
        <v>853.63479815043024</v>
      </c>
      <c r="J135" s="495">
        <f t="shared" si="74"/>
        <v>1.67</v>
      </c>
      <c r="K135" s="372">
        <f t="shared" si="75"/>
        <v>0.85014347095642351</v>
      </c>
      <c r="L135" s="488">
        <f>Passby_Length_Adj!H130</f>
        <v>0.30966767371601206</v>
      </c>
      <c r="M135" s="488">
        <f>Passby_Length_Adj!J130</f>
        <v>0.57899999999999996</v>
      </c>
      <c r="N135" s="372">
        <v>0.5</v>
      </c>
      <c r="O135" s="481">
        <f t="shared" si="76"/>
        <v>8.9648791540785491E-2</v>
      </c>
      <c r="P135" s="489">
        <f t="shared" si="77"/>
        <v>490.40984555090142</v>
      </c>
      <c r="Q135" s="490">
        <f t="shared" si="61"/>
        <v>293.6585901502404</v>
      </c>
      <c r="R135" s="491">
        <f t="shared" si="78"/>
        <v>261.71052631578948</v>
      </c>
      <c r="S135" s="500">
        <f t="shared" si="73"/>
        <v>76853.544185372128</v>
      </c>
      <c r="T135" s="489">
        <f t="shared" si="79"/>
        <v>37.406567290962293</v>
      </c>
      <c r="U135" s="493">
        <f t="shared" si="80"/>
        <v>405.42115030277023</v>
      </c>
      <c r="V135" s="500">
        <f t="shared" si="81"/>
        <v>15165.413539979912</v>
      </c>
      <c r="W135" s="489">
        <f t="shared" si="82"/>
        <v>17.28696601939626</v>
      </c>
      <c r="X135" s="493">
        <f t="shared" si="83"/>
        <v>37.9060089869281</v>
      </c>
      <c r="Y135" s="763">
        <f t="shared" si="84"/>
        <v>655.27988928795537</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0"/>
        <v>161435.58988066323</v>
      </c>
      <c r="I136" s="487">
        <f>ITECountywide!$B$9*E136</f>
        <v>1487.00481092823</v>
      </c>
      <c r="J136" s="495">
        <f t="shared" si="74"/>
        <v>1.67</v>
      </c>
      <c r="K136" s="372">
        <f t="shared" si="75"/>
        <v>0.85014347095642351</v>
      </c>
      <c r="L136" s="488">
        <f>Passby_Length_Adj!H131</f>
        <v>0.30966767371601206</v>
      </c>
      <c r="M136" s="488">
        <f>Passby_Length_Adj!J131</f>
        <v>0.57899999999999996</v>
      </c>
      <c r="N136" s="372">
        <v>0.5</v>
      </c>
      <c r="O136" s="481">
        <f t="shared" si="76"/>
        <v>8.9648791540785491E-2</v>
      </c>
      <c r="P136" s="489">
        <f t="shared" si="77"/>
        <v>854.27843527560981</v>
      </c>
      <c r="Q136" s="490">
        <f t="shared" si="61"/>
        <v>511.54397321892804</v>
      </c>
      <c r="R136" s="491">
        <f t="shared" si="78"/>
        <v>261.71052631578948</v>
      </c>
      <c r="S136" s="500">
        <f t="shared" si="73"/>
        <v>133876.44246479578</v>
      </c>
      <c r="T136" s="489">
        <f t="shared" si="79"/>
        <v>65.161056745216356</v>
      </c>
      <c r="U136" s="493">
        <f t="shared" si="80"/>
        <v>405.42115030277023</v>
      </c>
      <c r="V136" s="500">
        <f t="shared" si="81"/>
        <v>26417.6705805897</v>
      </c>
      <c r="W136" s="489">
        <f t="shared" si="82"/>
        <v>30.113347877677676</v>
      </c>
      <c r="X136" s="493">
        <f t="shared" si="83"/>
        <v>37.9060089869281</v>
      </c>
      <c r="Y136" s="763">
        <f t="shared" si="84"/>
        <v>1141.4768352777421</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0"/>
        <v>42087.260121076841</v>
      </c>
      <c r="I137" s="751">
        <f>ITECountywide!$B$9*E137</f>
        <v>311.78197606933963</v>
      </c>
      <c r="J137" s="752">
        <f t="shared" si="74"/>
        <v>1.67</v>
      </c>
      <c r="K137" s="753">
        <f t="shared" si="75"/>
        <v>0.85014347095642351</v>
      </c>
      <c r="L137" s="754">
        <f>Passby_Length_Adj!H132</f>
        <v>0.32930513595166166</v>
      </c>
      <c r="M137" s="754">
        <f>Passby_Length_Adj!J132</f>
        <v>0.67700000000000005</v>
      </c>
      <c r="N137" s="753">
        <v>0.5</v>
      </c>
      <c r="O137" s="755">
        <f t="shared" si="76"/>
        <v>0.11146978851963749</v>
      </c>
      <c r="P137" s="756">
        <f t="shared" si="77"/>
        <v>222.71568956912949</v>
      </c>
      <c r="Q137" s="757">
        <f t="shared" si="61"/>
        <v>133.36268836474821</v>
      </c>
      <c r="R137" s="758">
        <f t="shared" si="78"/>
        <v>261.71052631578948</v>
      </c>
      <c r="S137" s="767">
        <f t="shared" si="73"/>
        <v>34902.419362826869</v>
      </c>
      <c r="T137" s="756">
        <f t="shared" si="79"/>
        <v>16.987891870853566</v>
      </c>
      <c r="U137" s="760">
        <f t="shared" si="80"/>
        <v>405.42115030277023</v>
      </c>
      <c r="V137" s="767">
        <f t="shared" si="81"/>
        <v>6887.250663500532</v>
      </c>
      <c r="W137" s="756">
        <f t="shared" si="82"/>
        <v>7.8507366695360004</v>
      </c>
      <c r="X137" s="760">
        <f t="shared" si="83"/>
        <v>37.9060089869281</v>
      </c>
      <c r="Y137" s="768">
        <f t="shared" si="84"/>
        <v>297.59009474943758</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1.5703125" style="11" customWidth="1"/>
    <col min="10" max="10" width="11.5703125" style="60" customWidth="1"/>
    <col min="11" max="12" width="11.5703125" style="12" customWidth="1"/>
    <col min="13" max="14" width="8.5703125" style="12" customWidth="1"/>
    <col min="15" max="15" width="8.5703125" style="368" customWidth="1"/>
    <col min="16" max="16" width="8.5703125" style="12" customWidth="1"/>
    <col min="17" max="17" width="8.5703125" style="11" customWidth="1"/>
    <col min="18" max="18" width="8.5703125" style="13" customWidth="1"/>
    <col min="19" max="19" width="8.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2</v>
      </c>
      <c r="E4" s="396" t="s">
        <v>69</v>
      </c>
      <c r="F4" s="461">
        <f>'2045_24hr_all_productions'!$Q$40</f>
        <v>0.85822198498152991</v>
      </c>
      <c r="G4" s="461">
        <f>'2045_24hr_all_productions'!$S$40</f>
        <v>5.8215179670835629E-2</v>
      </c>
      <c r="H4" s="462">
        <f>'2045_24hr_all_productions'!$T$40</f>
        <v>4.8558018463658578E-2</v>
      </c>
      <c r="I4" s="461">
        <f>'2045_24hr_all_productions'!$R$40</f>
        <v>3.5004816883975831E-2</v>
      </c>
      <c r="J4" s="463">
        <f>+H4+I4</f>
        <v>8.3562835347634409E-2</v>
      </c>
      <c r="K4" s="60"/>
      <c r="L4" s="395" t="s">
        <v>73</v>
      </c>
      <c r="M4" s="393">
        <f>ITECountywide!B4</f>
        <v>1.67</v>
      </c>
      <c r="O4" s="472" t="s">
        <v>388</v>
      </c>
      <c r="P4" s="603"/>
      <c r="Q4" s="604">
        <f>+RoadCapCost!P15</f>
        <v>261.71052631578948</v>
      </c>
      <c r="R4" s="604">
        <f>+TransitCapCost!AD13</f>
        <v>154.50490219883392</v>
      </c>
      <c r="S4" s="471">
        <f>+WalkBikeCapCost!$Z$7</f>
        <v>37.9060089869281</v>
      </c>
      <c r="T4" s="11"/>
    </row>
    <row r="5" spans="1:36" ht="17.100000000000001" customHeight="1" thickBot="1" x14ac:dyDescent="0.3">
      <c r="B5" s="960"/>
      <c r="C5" s="958"/>
      <c r="E5" s="396" t="s">
        <v>72</v>
      </c>
      <c r="F5" s="461">
        <f>'2045_24hr_all_attractions'!$Q$40</f>
        <v>0.85824475890316576</v>
      </c>
      <c r="G5" s="461">
        <f>'2045_24hr_all_attractions'!$S$40</f>
        <v>5.8216687295045359E-2</v>
      </c>
      <c r="H5" s="462">
        <f>'2045_24hr_all_attractions'!$T$40</f>
        <v>4.8538362404460834E-2</v>
      </c>
      <c r="I5" s="461">
        <f>'2045_24hr_all_attractions'!$R$40</f>
        <v>3.5000191397328094E-2</v>
      </c>
      <c r="J5" s="463">
        <f>+H5+I5</f>
        <v>8.3538553801788928E-2</v>
      </c>
      <c r="K5" s="60"/>
      <c r="S5" s="380"/>
      <c r="T5" s="11"/>
    </row>
    <row r="6" spans="1:36" ht="17.100000000000001" customHeight="1" x14ac:dyDescent="0.25">
      <c r="B6" s="955" t="s">
        <v>56</v>
      </c>
      <c r="C6" s="957" t="s">
        <v>393</v>
      </c>
      <c r="E6" s="396" t="s">
        <v>74</v>
      </c>
      <c r="F6" s="385">
        <f>'2045_24hr_all_productions'!$M$40</f>
        <v>7.6471373100006446</v>
      </c>
      <c r="G6" s="385">
        <f>'2045_24hr_all_productions'!$O$40</f>
        <v>5.637793526704173</v>
      </c>
      <c r="H6" s="386">
        <f>'2045_24hr_all_productions'!$P$40</f>
        <v>0.94649848902903699</v>
      </c>
      <c r="I6" s="385">
        <f>'2045_24hr_all_productions'!$N$40</f>
        <v>4.8688882138517613</v>
      </c>
      <c r="J6" s="398">
        <f>+((H4/J4)*H6)+(I4/J4*I6)</f>
        <v>2.5896037462143378</v>
      </c>
      <c r="K6" s="60"/>
      <c r="O6" s="60"/>
      <c r="P6" s="11"/>
      <c r="S6" s="380"/>
    </row>
    <row r="7" spans="1:36" ht="17.100000000000001" customHeight="1" thickBot="1" x14ac:dyDescent="0.3">
      <c r="B7" s="956"/>
      <c r="C7" s="958"/>
      <c r="E7" s="399" t="s">
        <v>75</v>
      </c>
      <c r="F7" s="400">
        <f>'2045_24hr_all_attractions'!$M$40</f>
        <v>7.6306695013739914</v>
      </c>
      <c r="G7" s="400">
        <f>'2045_24hr_all_attractions'!$O$40</f>
        <v>5.6227905022831042</v>
      </c>
      <c r="H7" s="402">
        <f>'2045_24hr_all_attractions'!$P$40</f>
        <v>0.94738827549947435</v>
      </c>
      <c r="I7" s="400">
        <f>'2045_24hr_all_attractions'!$N$40</f>
        <v>4.8918738607364203</v>
      </c>
      <c r="J7" s="401">
        <f>+((H5/J5)*H7)+(I5/J5*I7)</f>
        <v>2.6000114556285321</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66</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9686.8112567981298</v>
      </c>
      <c r="I12" s="487">
        <f>ITECountywide!$B$9*E12</f>
        <v>17.853918169193626</v>
      </c>
      <c r="J12" s="488">
        <f>IF(F12="Prod",$M$3,$M$4)</f>
        <v>1.67</v>
      </c>
      <c r="K12" s="372">
        <f>IF(F12="Prod",$F$4,$F$5)</f>
        <v>0.85824475890316576</v>
      </c>
      <c r="L12" s="488">
        <f>Passby_Length_Adj!H7</f>
        <v>1</v>
      </c>
      <c r="M12" s="488">
        <f>Passby_Length_Adj!J7</f>
        <v>1</v>
      </c>
      <c r="N12" s="372">
        <v>0.5</v>
      </c>
      <c r="O12" s="481">
        <f>L12*M12*N12</f>
        <v>0.5</v>
      </c>
      <c r="P12" s="489">
        <f>IF($F12="Prod",$I12*$O12*$F$4*$F$6,$I12*O12*$F$5*$F$7)</f>
        <v>58.462495310272018</v>
      </c>
      <c r="Q12" s="490">
        <f>+P12/J12</f>
        <v>35.007482221719776</v>
      </c>
      <c r="R12" s="491">
        <f>+$Q$4</f>
        <v>261.71052631578948</v>
      </c>
      <c r="S12" s="500">
        <f>+Q12*R12</f>
        <v>9161.8265972369263</v>
      </c>
      <c r="T12" s="489">
        <f>IF($F12="Prod",$I12*$O12*$G$4*$G$6,$I12*$O12*$G$5*$G$7)</f>
        <v>2.9221528970579684</v>
      </c>
      <c r="U12" s="493">
        <f>+$R$4</f>
        <v>154.50490219883392</v>
      </c>
      <c r="V12" s="500">
        <f>+T12*U12</f>
        <v>451.4869475699806</v>
      </c>
      <c r="W12" s="489">
        <f>IF($F12="Prod",$I12*$O12*$J$4*$J$6,$I12*$O12*$J$5*$J$7)</f>
        <v>1.938946197595478</v>
      </c>
      <c r="X12" s="493">
        <f>$S$4</f>
        <v>37.9060089869281</v>
      </c>
      <c r="Y12" s="763">
        <f>+W12*X12</f>
        <v>73.497711991224264</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4877.8257699206824</v>
      </c>
      <c r="I14" s="487">
        <f>ITECountywide!$B$9*E14</f>
        <v>8.9903994029645062</v>
      </c>
      <c r="J14" s="488">
        <f t="shared" ref="J14:J20" si="1">IF(F14="Prod",$M$3,$M$4)</f>
        <v>1.67</v>
      </c>
      <c r="K14" s="372">
        <f t="shared" ref="K14:K20" si="2">IF(F14="Prod",$F$4,$F$5)</f>
        <v>0.85824475890316576</v>
      </c>
      <c r="L14" s="488">
        <f>Passby_Length_Adj!H9</f>
        <v>1</v>
      </c>
      <c r="M14" s="488">
        <f>Passby_Length_Adj!J9</f>
        <v>1</v>
      </c>
      <c r="N14" s="372">
        <v>0.5</v>
      </c>
      <c r="O14" s="481">
        <f t="shared" ref="O14:O20" si="3">L14*M14*N14</f>
        <v>0.5</v>
      </c>
      <c r="P14" s="489">
        <f t="shared" ref="P14:P20" si="4">IF($F14="Prod",$I14*$O14*$F$4*$F$6,$I14*O14*$F$5*$F$7)</f>
        <v>29.438982410045604</v>
      </c>
      <c r="Q14" s="490">
        <f t="shared" ref="Q14:Q20" si="5">+P14/J14</f>
        <v>17.628133179668026</v>
      </c>
      <c r="R14" s="491">
        <f t="shared" ref="R14:R20" si="6">+$Q$4</f>
        <v>261.71052631578948</v>
      </c>
      <c r="S14" s="500">
        <f t="shared" ref="S14:S20" si="7">+Q14*R14</f>
        <v>4613.4680124157503</v>
      </c>
      <c r="T14" s="489">
        <f t="shared" ref="T14:T20" si="8">IF($F14="Prod",$I14*$O14*$G$4*$G$6,$I14*$O14*$G$5*$G$7)</f>
        <v>1.4714597329347741</v>
      </c>
      <c r="U14" s="493">
        <f t="shared" ref="U14:U20" si="9">+$R$4</f>
        <v>154.50490219883392</v>
      </c>
      <c r="V14" s="500">
        <f t="shared" ref="V14:V20" si="10">+T14*U14</f>
        <v>227.34774212660955</v>
      </c>
      <c r="W14" s="489">
        <f t="shared" ref="W14:W20" si="11">IF($F14="Prod",$I14*$O14*$J$4*$J$6,$I14*$O14*$J$5*$J$7)</f>
        <v>0.97636275533741845</v>
      </c>
      <c r="X14" s="493">
        <f t="shared" ref="X14:X20" si="12">$S$4</f>
        <v>37.9060089869281</v>
      </c>
      <c r="Y14" s="763">
        <f t="shared" ref="Y14:Y20" si="13">+W14*X14</f>
        <v>37.010015378322066</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3314.1679122243349</v>
      </c>
      <c r="I15" s="487">
        <f>ITECountywide!$B$9*E15</f>
        <v>6.1083963685464484</v>
      </c>
      <c r="J15" s="488">
        <f t="shared" si="1"/>
        <v>1.67</v>
      </c>
      <c r="K15" s="372">
        <f t="shared" si="2"/>
        <v>0.85824475890316576</v>
      </c>
      <c r="L15" s="488">
        <f>Passby_Length_Adj!H10</f>
        <v>1</v>
      </c>
      <c r="M15" s="488">
        <f>Passby_Length_Adj!J10</f>
        <v>1</v>
      </c>
      <c r="N15" s="372">
        <v>0.5</v>
      </c>
      <c r="O15" s="481">
        <f t="shared" si="3"/>
        <v>0.5</v>
      </c>
      <c r="P15" s="489">
        <f t="shared" si="4"/>
        <v>20.001889258438244</v>
      </c>
      <c r="Q15" s="490">
        <f t="shared" si="5"/>
        <v>11.977179196669608</v>
      </c>
      <c r="R15" s="491">
        <f t="shared" si="6"/>
        <v>261.71052631578948</v>
      </c>
      <c r="S15" s="500">
        <f t="shared" si="7"/>
        <v>3134.5538713389278</v>
      </c>
      <c r="T15" s="489">
        <f t="shared" si="8"/>
        <v>0.99976195564318304</v>
      </c>
      <c r="U15" s="493">
        <f t="shared" si="9"/>
        <v>154.50490219883392</v>
      </c>
      <c r="V15" s="500">
        <f t="shared" si="10"/>
        <v>154.46812317876493</v>
      </c>
      <c r="W15" s="489">
        <f t="shared" si="11"/>
        <v>0.66337550110627019</v>
      </c>
      <c r="X15" s="493">
        <f t="shared" si="12"/>
        <v>37.9060089869281</v>
      </c>
      <c r="Y15" s="763">
        <f t="shared" si="13"/>
        <v>25.145917706642209</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3864.890176570218</v>
      </c>
      <c r="I16" s="487">
        <f>ITECountywide!$B$9*E16</f>
        <v>7.1234414624295379</v>
      </c>
      <c r="J16" s="488">
        <f t="shared" si="1"/>
        <v>1.67</v>
      </c>
      <c r="K16" s="372">
        <f t="shared" si="2"/>
        <v>0.85824475890316576</v>
      </c>
      <c r="L16" s="488">
        <f>Passby_Length_Adj!H11</f>
        <v>1</v>
      </c>
      <c r="M16" s="488">
        <f>Passby_Length_Adj!J11</f>
        <v>1</v>
      </c>
      <c r="N16" s="372">
        <v>0.5</v>
      </c>
      <c r="O16" s="481">
        <f t="shared" si="3"/>
        <v>0.5</v>
      </c>
      <c r="P16" s="489">
        <f t="shared" si="4"/>
        <v>23.32564533699178</v>
      </c>
      <c r="Q16" s="490">
        <f t="shared" si="5"/>
        <v>13.967452297599868</v>
      </c>
      <c r="R16" s="491">
        <f t="shared" si="6"/>
        <v>261.71052631578948</v>
      </c>
      <c r="S16" s="500">
        <f t="shared" si="7"/>
        <v>3655.4292920955445</v>
      </c>
      <c r="T16" s="489">
        <f t="shared" si="8"/>
        <v>1.165894506135819</v>
      </c>
      <c r="U16" s="493">
        <f t="shared" si="9"/>
        <v>154.50490219883392</v>
      </c>
      <c r="V16" s="500">
        <f t="shared" si="10"/>
        <v>180.13641664467249</v>
      </c>
      <c r="W16" s="489">
        <f t="shared" si="11"/>
        <v>0.77361000574113992</v>
      </c>
      <c r="X16" s="493">
        <f t="shared" si="12"/>
        <v>37.9060089869281</v>
      </c>
      <c r="Y16" s="763">
        <f t="shared" si="13"/>
        <v>29.324467830001147</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1711.1727499318524</v>
      </c>
      <c r="I17" s="487">
        <f>ITECountywide!$B$9*E17</f>
        <v>3.1538901131367418</v>
      </c>
      <c r="J17" s="488">
        <f t="shared" si="1"/>
        <v>1.67</v>
      </c>
      <c r="K17" s="372">
        <f t="shared" si="2"/>
        <v>0.85824475890316576</v>
      </c>
      <c r="L17" s="488">
        <f>Passby_Length_Adj!H12</f>
        <v>1</v>
      </c>
      <c r="M17" s="488">
        <f>Passby_Length_Adj!J12</f>
        <v>1</v>
      </c>
      <c r="N17" s="372">
        <v>0.5</v>
      </c>
      <c r="O17" s="481">
        <f t="shared" si="3"/>
        <v>0.5</v>
      </c>
      <c r="P17" s="489">
        <f t="shared" si="4"/>
        <v>10.327384958362773</v>
      </c>
      <c r="Q17" s="490">
        <f t="shared" si="5"/>
        <v>6.1840628493190257</v>
      </c>
      <c r="R17" s="491">
        <f t="shared" si="6"/>
        <v>261.71052631578948</v>
      </c>
      <c r="S17" s="500">
        <f t="shared" si="7"/>
        <v>1618.4343430652029</v>
      </c>
      <c r="T17" s="489">
        <f t="shared" si="8"/>
        <v>0.51619756760211821</v>
      </c>
      <c r="U17" s="493">
        <f t="shared" si="9"/>
        <v>154.50490219883392</v>
      </c>
      <c r="V17" s="500">
        <f t="shared" si="10"/>
        <v>79.755054697641228</v>
      </c>
      <c r="W17" s="489">
        <f t="shared" si="11"/>
        <v>0.34251435368691696</v>
      </c>
      <c r="X17" s="493">
        <f t="shared" si="12"/>
        <v>37.9060089869281</v>
      </c>
      <c r="Y17" s="763">
        <f t="shared" si="13"/>
        <v>12.983352169008144</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1484.9832485040788</v>
      </c>
      <c r="I18" s="487">
        <f>ITECountywide!$B$9*E18</f>
        <v>2.736996592434759</v>
      </c>
      <c r="J18" s="495">
        <f t="shared" si="1"/>
        <v>1.67</v>
      </c>
      <c r="K18" s="372">
        <f t="shared" si="2"/>
        <v>0.85824475890316576</v>
      </c>
      <c r="L18" s="488">
        <f>Passby_Length_Adj!H13</f>
        <v>1</v>
      </c>
      <c r="M18" s="488">
        <f>Passby_Length_Adj!J13</f>
        <v>1</v>
      </c>
      <c r="N18" s="372">
        <v>0.5</v>
      </c>
      <c r="O18" s="481">
        <f t="shared" si="3"/>
        <v>0.5</v>
      </c>
      <c r="P18" s="489">
        <f t="shared" si="4"/>
        <v>8.9622708546711412</v>
      </c>
      <c r="Q18" s="490">
        <f t="shared" si="5"/>
        <v>5.3666292542940965</v>
      </c>
      <c r="R18" s="491">
        <f t="shared" si="6"/>
        <v>261.71052631578948</v>
      </c>
      <c r="S18" s="500">
        <f t="shared" si="7"/>
        <v>1404.5033666830209</v>
      </c>
      <c r="T18" s="489">
        <f t="shared" si="8"/>
        <v>0.44796455579264288</v>
      </c>
      <c r="U18" s="493">
        <f t="shared" si="9"/>
        <v>154.50490219883392</v>
      </c>
      <c r="V18" s="500">
        <f t="shared" si="10"/>
        <v>69.212719881286375</v>
      </c>
      <c r="W18" s="489">
        <f t="shared" si="11"/>
        <v>0.29723946785473826</v>
      </c>
      <c r="X18" s="493">
        <f t="shared" si="12"/>
        <v>37.9060089869281</v>
      </c>
      <c r="Y18" s="763">
        <f t="shared" si="13"/>
        <v>11.267161939771434</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973.59828875432981</v>
      </c>
      <c r="I19" s="487">
        <f>ITECountywide!$B$9*E19</f>
        <v>1.7944547195433187</v>
      </c>
      <c r="J19" s="488">
        <f t="shared" si="1"/>
        <v>1.67</v>
      </c>
      <c r="K19" s="372">
        <f t="shared" si="2"/>
        <v>0.85824475890316576</v>
      </c>
      <c r="L19" s="488">
        <f>Passby_Length_Adj!H14</f>
        <v>1</v>
      </c>
      <c r="M19" s="488">
        <f>Passby_Length_Adj!J14</f>
        <v>1</v>
      </c>
      <c r="N19" s="372">
        <v>0.5</v>
      </c>
      <c r="O19" s="481">
        <f t="shared" si="3"/>
        <v>0.5</v>
      </c>
      <c r="P19" s="489">
        <f t="shared" si="4"/>
        <v>5.8759259245857161</v>
      </c>
      <c r="Q19" s="490">
        <f t="shared" si="5"/>
        <v>3.5185185177159979</v>
      </c>
      <c r="R19" s="491">
        <f t="shared" si="6"/>
        <v>261.71052631578948</v>
      </c>
      <c r="S19" s="500">
        <f t="shared" si="7"/>
        <v>920.83333312330524</v>
      </c>
      <c r="T19" s="489">
        <f t="shared" si="8"/>
        <v>0.29369861604948105</v>
      </c>
      <c r="U19" s="493">
        <f t="shared" si="9"/>
        <v>154.50490219883392</v>
      </c>
      <c r="V19" s="500">
        <f t="shared" si="10"/>
        <v>45.377875948657945</v>
      </c>
      <c r="W19" s="489">
        <f t="shared" si="11"/>
        <v>0.19487885640807345</v>
      </c>
      <c r="X19" s="493">
        <f t="shared" si="12"/>
        <v>37.9060089869281</v>
      </c>
      <c r="Y19" s="763">
        <f t="shared" si="13"/>
        <v>7.3870796823667026</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13020.647821320532</v>
      </c>
      <c r="I20" s="487">
        <f>ITECountywide!$B$9*E20</f>
        <v>23.998566148235899</v>
      </c>
      <c r="J20" s="488">
        <f t="shared" si="1"/>
        <v>1.67</v>
      </c>
      <c r="K20" s="372">
        <f t="shared" si="2"/>
        <v>0.85824475890316576</v>
      </c>
      <c r="L20" s="488">
        <f>Passby_Length_Adj!H15</f>
        <v>1</v>
      </c>
      <c r="M20" s="488">
        <f>Passby_Length_Adj!J15</f>
        <v>1</v>
      </c>
      <c r="N20" s="372">
        <v>0.5</v>
      </c>
      <c r="O20" s="481">
        <f t="shared" si="3"/>
        <v>0.5</v>
      </c>
      <c r="P20" s="489">
        <f t="shared" si="4"/>
        <v>78.583090142944314</v>
      </c>
      <c r="Q20" s="490">
        <f t="shared" si="5"/>
        <v>47.055742600565459</v>
      </c>
      <c r="R20" s="491">
        <f t="shared" si="6"/>
        <v>261.71052631578948</v>
      </c>
      <c r="S20" s="500">
        <f t="shared" si="7"/>
        <v>12314.983162174303</v>
      </c>
      <c r="T20" s="489">
        <f t="shared" si="8"/>
        <v>3.9278481580758884</v>
      </c>
      <c r="U20" s="493">
        <f t="shared" si="9"/>
        <v>154.50490219883392</v>
      </c>
      <c r="V20" s="500">
        <f t="shared" si="10"/>
        <v>606.87179551538509</v>
      </c>
      <c r="W20" s="489">
        <f t="shared" si="11"/>
        <v>2.6062586452958505</v>
      </c>
      <c r="X20" s="493">
        <f t="shared" si="12"/>
        <v>37.9060089869281</v>
      </c>
      <c r="Y20" s="763">
        <f t="shared" si="13"/>
        <v>98.79286363084357</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9303.2013255702077</v>
      </c>
      <c r="I22" s="487">
        <f>ITECountywide!$B$9*E22</f>
        <v>17.110760154029219</v>
      </c>
      <c r="J22" s="488">
        <f t="shared" ref="J22:J35" si="14">IF(F22="Prod",$M$3,$M$4)</f>
        <v>1.67</v>
      </c>
      <c r="K22" s="372">
        <f t="shared" ref="K22:K35" si="15">IF(F22="Prod",$F$4,$F$5)</f>
        <v>0.85822198498152991</v>
      </c>
      <c r="L22" s="488">
        <f>Passby_Length_Adj!H17</f>
        <v>1</v>
      </c>
      <c r="M22" s="488">
        <f>Passby_Length_Adj!J17</f>
        <v>1</v>
      </c>
      <c r="N22" s="372">
        <v>0.5</v>
      </c>
      <c r="O22" s="481">
        <f t="shared" ref="O22:O35" si="16">L22*M22*N22</f>
        <v>0.5</v>
      </c>
      <c r="P22" s="489">
        <f t="shared" ref="P22:P35" si="17">IF($F22="Prod",$I22*$O22*$F$4*$F$6,$I22*O22*$F$5*$F$7)</f>
        <v>56.148457771776705</v>
      </c>
      <c r="Q22" s="490">
        <f t="shared" ref="Q22:Q35" si="18">+P22/J22</f>
        <v>33.621831001063896</v>
      </c>
      <c r="R22" s="491">
        <f t="shared" ref="R22:R35" si="19">+$Q$4</f>
        <v>261.71052631578948</v>
      </c>
      <c r="S22" s="500">
        <f t="shared" ref="S22:S35" si="20">+Q22*R22</f>
        <v>8799.187086988959</v>
      </c>
      <c r="T22" s="489">
        <f t="shared" ref="T22:T35" si="21">IF($F22="Prod",$I22*$O22*$G$4*$G$6,$I22*$O22*$G$5*$G$7)</f>
        <v>2.8079199135946391</v>
      </c>
      <c r="U22" s="493">
        <f t="shared" ref="U22:U35" si="22">+$R$4</f>
        <v>154.50490219883392</v>
      </c>
      <c r="V22" s="500">
        <f t="shared" ref="V22:V35" si="23">+T22*U22</f>
        <v>433.83739163209788</v>
      </c>
      <c r="W22" s="489">
        <f t="shared" ref="W22:W35" si="24">IF($F22="Prod",$I22*$O22*$J$4*$J$6,$I22*$O22*$J$5*$J$7)</f>
        <v>1.8513383187703023</v>
      </c>
      <c r="X22" s="493">
        <f t="shared" ref="X22:X35" si="25">$S$4</f>
        <v>37.9060089869281</v>
      </c>
      <c r="Y22" s="763">
        <f t="shared" ref="Y22:Y35" si="26">+W22*X22</f>
        <v>70.17684694915144</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7213.9230617769008</v>
      </c>
      <c r="I23" s="487">
        <f>ITECountywide!$B$9*E23</f>
        <v>13.268089441471812</v>
      </c>
      <c r="J23" s="488">
        <f t="shared" si="14"/>
        <v>1.67</v>
      </c>
      <c r="K23" s="372">
        <f t="shared" si="15"/>
        <v>0.85822198498152991</v>
      </c>
      <c r="L23" s="488">
        <f>Passby_Length_Adj!H18</f>
        <v>1</v>
      </c>
      <c r="M23" s="488">
        <f>Passby_Length_Adj!J18</f>
        <v>1</v>
      </c>
      <c r="N23" s="372">
        <v>0.5</v>
      </c>
      <c r="O23" s="481">
        <f t="shared" si="16"/>
        <v>0.5</v>
      </c>
      <c r="P23" s="489">
        <f t="shared" si="17"/>
        <v>43.538846492521778</v>
      </c>
      <c r="Q23" s="490">
        <f t="shared" si="18"/>
        <v>26.071165564384298</v>
      </c>
      <c r="R23" s="491">
        <f t="shared" si="19"/>
        <v>261.71052631578948</v>
      </c>
      <c r="S23" s="500">
        <f t="shared" si="20"/>
        <v>6823.0984615211009</v>
      </c>
      <c r="T23" s="489">
        <f t="shared" si="21"/>
        <v>2.1773277296094027</v>
      </c>
      <c r="U23" s="493">
        <f t="shared" si="22"/>
        <v>154.50490219883392</v>
      </c>
      <c r="V23" s="500">
        <f t="shared" si="23"/>
        <v>336.40780791810988</v>
      </c>
      <c r="W23" s="489">
        <f t="shared" si="24"/>
        <v>1.4355716624362942</v>
      </c>
      <c r="X23" s="493">
        <f t="shared" si="25"/>
        <v>37.9060089869281</v>
      </c>
      <c r="Y23" s="763">
        <f t="shared" si="26"/>
        <v>54.416792337689479</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5361.1668655828316</v>
      </c>
      <c r="I24" s="487">
        <f>ITECountywide!$B$9*E24</f>
        <v>9.8604380548642965</v>
      </c>
      <c r="J24" s="488">
        <f t="shared" si="14"/>
        <v>1.67</v>
      </c>
      <c r="K24" s="372">
        <f t="shared" si="15"/>
        <v>0.85822198498152991</v>
      </c>
      <c r="L24" s="488">
        <f>Passby_Length_Adj!H19</f>
        <v>1</v>
      </c>
      <c r="M24" s="488">
        <f>Passby_Length_Adj!J19</f>
        <v>1</v>
      </c>
      <c r="N24" s="372">
        <v>0.5</v>
      </c>
      <c r="O24" s="481">
        <f t="shared" si="16"/>
        <v>0.5</v>
      </c>
      <c r="P24" s="489">
        <f t="shared" si="17"/>
        <v>32.356738376956066</v>
      </c>
      <c r="Q24" s="490">
        <f t="shared" si="18"/>
        <v>19.375292441291059</v>
      </c>
      <c r="R24" s="491">
        <f t="shared" si="19"/>
        <v>261.71052631578948</v>
      </c>
      <c r="S24" s="500">
        <f t="shared" si="20"/>
        <v>5070.7179823326205</v>
      </c>
      <c r="T24" s="489">
        <f t="shared" si="21"/>
        <v>1.6181233400375887</v>
      </c>
      <c r="U24" s="493">
        <f t="shared" si="22"/>
        <v>154.50490219883392</v>
      </c>
      <c r="V24" s="500">
        <f t="shared" si="23"/>
        <v>250.00798839815812</v>
      </c>
      <c r="W24" s="489">
        <f t="shared" si="24"/>
        <v>1.0668729294608523</v>
      </c>
      <c r="X24" s="493">
        <f t="shared" si="25"/>
        <v>37.9060089869281</v>
      </c>
      <c r="Y24" s="763">
        <f t="shared" si="26"/>
        <v>40.440894852053376</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4385.5133367359567</v>
      </c>
      <c r="I25" s="487">
        <f>ITECountywide!$B$9*E25</f>
        <v>8.0659833353209791</v>
      </c>
      <c r="J25" s="488">
        <f t="shared" si="14"/>
        <v>1.67</v>
      </c>
      <c r="K25" s="372">
        <f t="shared" si="15"/>
        <v>0.85822198498152991</v>
      </c>
      <c r="L25" s="488">
        <f>Passby_Length_Adj!H20</f>
        <v>1</v>
      </c>
      <c r="M25" s="488">
        <f>Passby_Length_Adj!J20</f>
        <v>1</v>
      </c>
      <c r="N25" s="372">
        <v>0.5</v>
      </c>
      <c r="O25" s="481">
        <f t="shared" si="16"/>
        <v>0.5</v>
      </c>
      <c r="P25" s="489">
        <f t="shared" si="17"/>
        <v>26.468287826737967</v>
      </c>
      <c r="Q25" s="490">
        <f t="shared" si="18"/>
        <v>15.849274147747286</v>
      </c>
      <c r="R25" s="491">
        <f t="shared" si="19"/>
        <v>261.71052631578948</v>
      </c>
      <c r="S25" s="500">
        <f t="shared" si="20"/>
        <v>4147.9218789301776</v>
      </c>
      <c r="T25" s="489">
        <f t="shared" si="21"/>
        <v>1.3236486880822189</v>
      </c>
      <c r="U25" s="493">
        <f t="shared" si="22"/>
        <v>154.50490219883392</v>
      </c>
      <c r="V25" s="500">
        <f t="shared" si="23"/>
        <v>204.51021109775806</v>
      </c>
      <c r="W25" s="489">
        <f t="shared" si="24"/>
        <v>0.87271774560676352</v>
      </c>
      <c r="X25" s="493">
        <f t="shared" si="25"/>
        <v>37.9060089869281</v>
      </c>
      <c r="Y25" s="763">
        <f t="shared" si="26"/>
        <v>33.081246708021609</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5775.0804838815075</v>
      </c>
      <c r="I26" s="487">
        <f>ITECountywide!$B$9*E26</f>
        <v>10.621721875276615</v>
      </c>
      <c r="J26" s="488">
        <f t="shared" si="14"/>
        <v>1.67</v>
      </c>
      <c r="K26" s="372">
        <f t="shared" si="15"/>
        <v>0.85822198498152991</v>
      </c>
      <c r="L26" s="488">
        <f>Passby_Length_Adj!H22</f>
        <v>1</v>
      </c>
      <c r="M26" s="488">
        <f>Passby_Length_Adj!J22</f>
        <v>1</v>
      </c>
      <c r="N26" s="372">
        <v>0.5</v>
      </c>
      <c r="O26" s="481">
        <f t="shared" si="16"/>
        <v>0.5</v>
      </c>
      <c r="P26" s="489">
        <f t="shared" si="17"/>
        <v>34.85486891341224</v>
      </c>
      <c r="Q26" s="490">
        <f t="shared" si="18"/>
        <v>20.871178990067211</v>
      </c>
      <c r="R26" s="491">
        <f t="shared" si="19"/>
        <v>261.71052631578948</v>
      </c>
      <c r="S26" s="500">
        <f t="shared" si="20"/>
        <v>5462.2072383215373</v>
      </c>
      <c r="T26" s="489">
        <f t="shared" si="21"/>
        <v>1.7430519802610793</v>
      </c>
      <c r="U26" s="493">
        <f t="shared" si="22"/>
        <v>154.50490219883392</v>
      </c>
      <c r="V26" s="500">
        <f t="shared" si="23"/>
        <v>269.31007573772183</v>
      </c>
      <c r="W26" s="489">
        <f t="shared" si="24"/>
        <v>1.1492417953383447</v>
      </c>
      <c r="X26" s="493">
        <f t="shared" si="25"/>
        <v>37.9060089869281</v>
      </c>
      <c r="Y26" s="763">
        <f t="shared" si="26"/>
        <v>43.563169822248682</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3390.1496355891445</v>
      </c>
      <c r="I27" s="487">
        <f>ITECountywide!$B$9*E27</f>
        <v>6.2352770052818345</v>
      </c>
      <c r="J27" s="488">
        <f t="shared" si="14"/>
        <v>1.67</v>
      </c>
      <c r="K27" s="372">
        <f t="shared" si="15"/>
        <v>0.85822198498152991</v>
      </c>
      <c r="L27" s="488">
        <f>Passby_Length_Adj!H22</f>
        <v>1</v>
      </c>
      <c r="M27" s="488">
        <f>Passby_Length_Adj!J22</f>
        <v>1</v>
      </c>
      <c r="N27" s="372">
        <v>0.5</v>
      </c>
      <c r="O27" s="481">
        <f t="shared" si="16"/>
        <v>0.5</v>
      </c>
      <c r="P27" s="489">
        <f t="shared" si="17"/>
        <v>20.46087867954575</v>
      </c>
      <c r="Q27" s="490">
        <f t="shared" si="18"/>
        <v>12.252023161404642</v>
      </c>
      <c r="R27" s="491">
        <f t="shared" si="19"/>
        <v>261.71052631578948</v>
      </c>
      <c r="S27" s="500">
        <f t="shared" si="20"/>
        <v>3206.4834300044517</v>
      </c>
      <c r="T27" s="489">
        <f t="shared" si="21"/>
        <v>1.0232250532590637</v>
      </c>
      <c r="U27" s="493">
        <f t="shared" si="22"/>
        <v>154.50490219883392</v>
      </c>
      <c r="V27" s="500">
        <f t="shared" si="23"/>
        <v>158.09328678118825</v>
      </c>
      <c r="W27" s="489">
        <f t="shared" si="24"/>
        <v>0.67464023480612723</v>
      </c>
      <c r="X27" s="493">
        <f t="shared" si="25"/>
        <v>37.9060089869281</v>
      </c>
      <c r="Y27" s="763">
        <f t="shared" si="26"/>
        <v>25.572918803504344</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4927.5430749842217</v>
      </c>
      <c r="I28" s="487">
        <f>ITECountywide!$B$9*E28</f>
        <v>9.0629026239561554</v>
      </c>
      <c r="J28" s="488">
        <f t="shared" si="14"/>
        <v>1.67</v>
      </c>
      <c r="K28" s="372">
        <f t="shared" si="15"/>
        <v>0.85822198498152991</v>
      </c>
      <c r="L28" s="488">
        <f>Passby_Length_Adj!H23</f>
        <v>1</v>
      </c>
      <c r="M28" s="488">
        <f>Passby_Length_Adj!J23</f>
        <v>1</v>
      </c>
      <c r="N28" s="372">
        <v>0.5</v>
      </c>
      <c r="O28" s="481">
        <f t="shared" si="16"/>
        <v>0.5</v>
      </c>
      <c r="P28" s="489">
        <f t="shared" si="17"/>
        <v>29.7396492435258</v>
      </c>
      <c r="Q28" s="490">
        <f t="shared" si="18"/>
        <v>17.808173199716048</v>
      </c>
      <c r="R28" s="491">
        <f t="shared" si="19"/>
        <v>261.71052631578948</v>
      </c>
      <c r="S28" s="500">
        <f t="shared" si="20"/>
        <v>4660.586380820424</v>
      </c>
      <c r="T28" s="489">
        <f t="shared" si="21"/>
        <v>1.4872457169463134</v>
      </c>
      <c r="U28" s="493">
        <f t="shared" si="22"/>
        <v>154.50490219883392</v>
      </c>
      <c r="V28" s="500">
        <f t="shared" si="23"/>
        <v>229.78675404242477</v>
      </c>
      <c r="W28" s="489">
        <f t="shared" si="24"/>
        <v>0.98058173663681292</v>
      </c>
      <c r="X28" s="493">
        <f t="shared" si="25"/>
        <v>37.9060089869281</v>
      </c>
      <c r="Y28" s="763">
        <f t="shared" si="26"/>
        <v>37.169940121372591</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4208.121786036525</v>
      </c>
      <c r="I29" s="487">
        <f>ITECountywide!$B$9*E29</f>
        <v>7.739718840858556</v>
      </c>
      <c r="J29" s="488">
        <f t="shared" si="14"/>
        <v>1.67</v>
      </c>
      <c r="K29" s="372">
        <f t="shared" si="15"/>
        <v>0.85822198498152991</v>
      </c>
      <c r="L29" s="488">
        <f>Passby_Length_Adj!H24</f>
        <v>1</v>
      </c>
      <c r="M29" s="488">
        <f>Passby_Length_Adj!J24</f>
        <v>1</v>
      </c>
      <c r="N29" s="372">
        <v>0.5</v>
      </c>
      <c r="O29" s="481">
        <f t="shared" si="16"/>
        <v>0.5</v>
      </c>
      <c r="P29" s="489">
        <f t="shared" si="17"/>
        <v>25.397660453971032</v>
      </c>
      <c r="Q29" s="490">
        <f t="shared" si="18"/>
        <v>15.208179912557505</v>
      </c>
      <c r="R29" s="491">
        <f t="shared" si="19"/>
        <v>261.71052631578948</v>
      </c>
      <c r="S29" s="500">
        <f t="shared" si="20"/>
        <v>3980.1407692206417</v>
      </c>
      <c r="T29" s="489">
        <f t="shared" si="21"/>
        <v>1.2701078422721517</v>
      </c>
      <c r="U29" s="493">
        <f t="shared" si="22"/>
        <v>154.50490219883392</v>
      </c>
      <c r="V29" s="500">
        <f t="shared" si="23"/>
        <v>196.23788795223078</v>
      </c>
      <c r="W29" s="489">
        <f t="shared" si="24"/>
        <v>0.83741680308783817</v>
      </c>
      <c r="X29" s="493">
        <f t="shared" si="25"/>
        <v>37.9060089869281</v>
      </c>
      <c r="Y29" s="763">
        <f t="shared" si="26"/>
        <v>31.743128863652192</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3646.3818754883237</v>
      </c>
      <c r="I30" s="487">
        <f>ITECountywide!$B$9*E30</f>
        <v>6.7065479417275551</v>
      </c>
      <c r="J30" s="488">
        <f t="shared" si="14"/>
        <v>1.67</v>
      </c>
      <c r="K30" s="372">
        <f t="shared" si="15"/>
        <v>0.85822198498152991</v>
      </c>
      <c r="L30" s="488">
        <f>Passby_Length_Adj!H25</f>
        <v>1</v>
      </c>
      <c r="M30" s="488">
        <f>Passby_Length_Adj!J25</f>
        <v>1</v>
      </c>
      <c r="N30" s="372">
        <v>0.5</v>
      </c>
      <c r="O30" s="481">
        <f t="shared" si="16"/>
        <v>0.5</v>
      </c>
      <c r="P30" s="489">
        <f t="shared" si="17"/>
        <v>22.007340440209092</v>
      </c>
      <c r="Q30" s="490">
        <f t="shared" si="18"/>
        <v>13.178048167789875</v>
      </c>
      <c r="R30" s="491">
        <f t="shared" si="19"/>
        <v>261.71052631578948</v>
      </c>
      <c r="S30" s="500">
        <f t="shared" si="20"/>
        <v>3448.8339218071133</v>
      </c>
      <c r="T30" s="489">
        <f t="shared" si="21"/>
        <v>1.1005618305402718</v>
      </c>
      <c r="U30" s="493">
        <f t="shared" si="22"/>
        <v>154.50490219883392</v>
      </c>
      <c r="V30" s="500">
        <f t="shared" si="23"/>
        <v>170.04219799139432</v>
      </c>
      <c r="W30" s="489">
        <f t="shared" si="24"/>
        <v>0.72563048511124151</v>
      </c>
      <c r="X30" s="493">
        <f t="shared" si="25"/>
        <v>37.9060089869281</v>
      </c>
      <c r="Y30" s="763">
        <f t="shared" si="26"/>
        <v>27.505755689815718</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663.15881053324551</v>
      </c>
      <c r="I31" s="487">
        <f>ITECountywide!$B$9*E31</f>
        <v>3.6614126600782866</v>
      </c>
      <c r="J31" s="488">
        <f t="shared" si="14"/>
        <v>1.67</v>
      </c>
      <c r="K31" s="372">
        <f t="shared" si="15"/>
        <v>0.85822198498152991</v>
      </c>
      <c r="L31" s="488">
        <f>Passby_Length_Adj!H26</f>
        <v>0.46525679758308158</v>
      </c>
      <c r="M31" s="488">
        <f>Passby_Length_Adj!J26</f>
        <v>0.71599999999999997</v>
      </c>
      <c r="N31" s="372">
        <v>0.5</v>
      </c>
      <c r="O31" s="481">
        <f t="shared" si="16"/>
        <v>0.16656193353474319</v>
      </c>
      <c r="P31" s="489">
        <f t="shared" si="17"/>
        <v>4.0024227323625494</v>
      </c>
      <c r="Q31" s="490">
        <f t="shared" si="18"/>
        <v>2.3966603187799698</v>
      </c>
      <c r="R31" s="491">
        <f t="shared" si="19"/>
        <v>261.71052631578948</v>
      </c>
      <c r="S31" s="500">
        <f t="shared" si="20"/>
        <v>627.23123342807366</v>
      </c>
      <c r="T31" s="489">
        <f t="shared" si="21"/>
        <v>0.20015656598272144</v>
      </c>
      <c r="U31" s="493">
        <f t="shared" si="22"/>
        <v>154.50490219883392</v>
      </c>
      <c r="V31" s="500">
        <f t="shared" si="23"/>
        <v>30.925170651614824</v>
      </c>
      <c r="W31" s="489">
        <f t="shared" si="24"/>
        <v>0.13196869275481177</v>
      </c>
      <c r="X31" s="493">
        <f t="shared" si="25"/>
        <v>37.9060089869281</v>
      </c>
      <c r="Y31" s="763">
        <f t="shared" si="26"/>
        <v>5.0024064535570485</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853.57074623091023</v>
      </c>
      <c r="I32" s="487">
        <f>ITECountywide!$B$9*E32</f>
        <v>4.7127093644572007</v>
      </c>
      <c r="J32" s="495">
        <f t="shared" si="14"/>
        <v>1.67</v>
      </c>
      <c r="K32" s="372">
        <f t="shared" si="15"/>
        <v>0.85822198498152991</v>
      </c>
      <c r="L32" s="488">
        <f>Passby_Length_Adj!H27</f>
        <v>0.46525679758308158</v>
      </c>
      <c r="M32" s="488">
        <f>Passby_Length_Adj!J27</f>
        <v>0.71599999999999997</v>
      </c>
      <c r="N32" s="372">
        <v>0.5</v>
      </c>
      <c r="O32" s="481">
        <f t="shared" si="16"/>
        <v>0.16656193353474319</v>
      </c>
      <c r="P32" s="489">
        <f t="shared" si="17"/>
        <v>5.1516332198725889</v>
      </c>
      <c r="Q32" s="490">
        <f t="shared" si="18"/>
        <v>3.0848103113009517</v>
      </c>
      <c r="R32" s="491">
        <f t="shared" si="19"/>
        <v>261.71052631578948</v>
      </c>
      <c r="S32" s="500">
        <f t="shared" si="20"/>
        <v>807.32733015494648</v>
      </c>
      <c r="T32" s="489">
        <f t="shared" si="21"/>
        <v>0.25762726314607709</v>
      </c>
      <c r="U32" s="493">
        <f t="shared" si="22"/>
        <v>154.50490219883392</v>
      </c>
      <c r="V32" s="500">
        <f t="shared" si="23"/>
        <v>39.804675096137892</v>
      </c>
      <c r="W32" s="489">
        <f t="shared" si="24"/>
        <v>0.16986069364480724</v>
      </c>
      <c r="X32" s="493">
        <f t="shared" si="25"/>
        <v>37.9060089869281</v>
      </c>
      <c r="Y32" s="763">
        <f t="shared" si="26"/>
        <v>6.4387409798259041</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787.91145805930159</v>
      </c>
      <c r="I33" s="487">
        <f>ITECountywide!$B$9*E33</f>
        <v>4.3501932594989539</v>
      </c>
      <c r="J33" s="495">
        <f t="shared" si="14"/>
        <v>1.67</v>
      </c>
      <c r="K33" s="372">
        <f t="shared" si="15"/>
        <v>0.85822198498152991</v>
      </c>
      <c r="L33" s="488">
        <f>Passby_Length_Adj!H28</f>
        <v>0.46525679758308158</v>
      </c>
      <c r="M33" s="488">
        <f>Passby_Length_Adj!J28</f>
        <v>0.71599999999999997</v>
      </c>
      <c r="N33" s="372">
        <v>0.5</v>
      </c>
      <c r="O33" s="481">
        <f t="shared" si="16"/>
        <v>0.16656193353474319</v>
      </c>
      <c r="P33" s="489">
        <f t="shared" si="17"/>
        <v>4.7553537414208504</v>
      </c>
      <c r="Q33" s="490">
        <f t="shared" si="18"/>
        <v>2.8475172104316471</v>
      </c>
      <c r="R33" s="491">
        <f t="shared" si="19"/>
        <v>261.71052631578948</v>
      </c>
      <c r="S33" s="500">
        <f t="shared" si="20"/>
        <v>745.22522783533498</v>
      </c>
      <c r="T33" s="489">
        <f t="shared" si="21"/>
        <v>0.23780978136560954</v>
      </c>
      <c r="U33" s="493">
        <f t="shared" si="22"/>
        <v>154.50490219883392</v>
      </c>
      <c r="V33" s="500">
        <f t="shared" si="23"/>
        <v>36.742777011819577</v>
      </c>
      <c r="W33" s="489">
        <f t="shared" si="24"/>
        <v>0.15679448644136051</v>
      </c>
      <c r="X33" s="493">
        <f t="shared" si="25"/>
        <v>37.9060089869281</v>
      </c>
      <c r="Y33" s="763">
        <f t="shared" si="26"/>
        <v>5.9434532121469879</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8504.9393474227654</v>
      </c>
      <c r="I34" s="487">
        <f>ITECountywide!$B$9*E34</f>
        <v>15.642569928948324</v>
      </c>
      <c r="J34" s="495">
        <f t="shared" si="14"/>
        <v>1.67</v>
      </c>
      <c r="K34" s="372">
        <f t="shared" si="15"/>
        <v>0.85822198498152991</v>
      </c>
      <c r="L34" s="488">
        <f>Passby_Length_Adj!H29</f>
        <v>1</v>
      </c>
      <c r="M34" s="488">
        <f>Passby_Length_Adj!J29</f>
        <v>1</v>
      </c>
      <c r="N34" s="372">
        <v>0.5</v>
      </c>
      <c r="O34" s="481">
        <f t="shared" si="16"/>
        <v>0.5</v>
      </c>
      <c r="P34" s="489">
        <f t="shared" si="17"/>
        <v>51.330634594325538</v>
      </c>
      <c r="Q34" s="490">
        <f t="shared" si="18"/>
        <v>30.736906942709904</v>
      </c>
      <c r="R34" s="491">
        <f t="shared" si="19"/>
        <v>261.71052631578948</v>
      </c>
      <c r="S34" s="500">
        <f t="shared" si="20"/>
        <v>8044.1720932960525</v>
      </c>
      <c r="T34" s="489">
        <f t="shared" si="21"/>
        <v>2.566986107449337</v>
      </c>
      <c r="U34" s="493">
        <f t="shared" si="22"/>
        <v>154.50490219883392</v>
      </c>
      <c r="V34" s="500">
        <f t="shared" si="23"/>
        <v>396.61193747722518</v>
      </c>
      <c r="W34" s="489">
        <f t="shared" si="24"/>
        <v>1.6924840774351393</v>
      </c>
      <c r="X34" s="493">
        <f t="shared" si="25"/>
        <v>37.9060089869281</v>
      </c>
      <c r="Y34" s="763">
        <f t="shared" si="26"/>
        <v>64.155316649489109</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7716.5324554252911</v>
      </c>
      <c r="I35" s="487">
        <f>ITECountywide!$B$9*E35</f>
        <v>14.192505509115339</v>
      </c>
      <c r="J35" s="495">
        <f t="shared" si="14"/>
        <v>1.67</v>
      </c>
      <c r="K35" s="372">
        <f t="shared" si="15"/>
        <v>0.85822198498152991</v>
      </c>
      <c r="L35" s="488">
        <f>Passby_Length_Adj!H30</f>
        <v>1</v>
      </c>
      <c r="M35" s="488">
        <f>Passby_Length_Adj!J30</f>
        <v>1</v>
      </c>
      <c r="N35" s="372">
        <v>0.5</v>
      </c>
      <c r="O35" s="481">
        <f t="shared" si="16"/>
        <v>0.5</v>
      </c>
      <c r="P35" s="489">
        <f t="shared" si="17"/>
        <v>46.572290715361405</v>
      </c>
      <c r="Q35" s="490">
        <f t="shared" si="18"/>
        <v>27.887599230755335</v>
      </c>
      <c r="R35" s="491">
        <f t="shared" si="19"/>
        <v>261.71052631578948</v>
      </c>
      <c r="S35" s="500">
        <f t="shared" si="20"/>
        <v>7298.4782723647841</v>
      </c>
      <c r="T35" s="489">
        <f t="shared" si="21"/>
        <v>2.3290267927379267</v>
      </c>
      <c r="U35" s="493">
        <f t="shared" si="22"/>
        <v>154.50490219883392</v>
      </c>
      <c r="V35" s="500">
        <f t="shared" si="23"/>
        <v>359.84605683043719</v>
      </c>
      <c r="W35" s="489">
        <f t="shared" si="24"/>
        <v>1.5355909995732488</v>
      </c>
      <c r="X35" s="493">
        <f t="shared" si="25"/>
        <v>37.9060089869281</v>
      </c>
      <c r="Y35" s="763">
        <f t="shared" si="26"/>
        <v>58.208126230069475</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5157.0608857351863</v>
      </c>
      <c r="I37" s="487">
        <f>ITECountywide!$B$9*E37</f>
        <v>15.153173187254691</v>
      </c>
      <c r="J37" s="495">
        <f>IF(F37="Prod",$M$3,$M$4)</f>
        <v>1.67</v>
      </c>
      <c r="K37" s="372">
        <f>IF(F37="Prod",$F$4,$F$5)</f>
        <v>0.85822198498152991</v>
      </c>
      <c r="L37" s="488">
        <f>Passby_Length_Adj!H32</f>
        <v>0.9441087613293051</v>
      </c>
      <c r="M37" s="488">
        <f>Passby_Length_Adj!J32</f>
        <v>0.66300000000000003</v>
      </c>
      <c r="N37" s="372">
        <v>0.5</v>
      </c>
      <c r="O37" s="481">
        <f>L37*M37*N37</f>
        <v>0.31297205438066467</v>
      </c>
      <c r="P37" s="489">
        <f>IF($F37="Prod",$I37*$O37*$F$4*$F$6,$I37*O37*$F$5*$F$7)</f>
        <v>31.124878978305439</v>
      </c>
      <c r="Q37" s="490">
        <f>+P37/J37</f>
        <v>18.637652082817628</v>
      </c>
      <c r="R37" s="491">
        <f>+$Q$4</f>
        <v>261.71052631578948</v>
      </c>
      <c r="S37" s="500">
        <f>+Q37*R37</f>
        <v>4877.6697358847714</v>
      </c>
      <c r="T37" s="489">
        <f>IF($F37="Prod",$I37*$O37*$G$4*$G$6,$I37*$O37*$G$5*$G$7)</f>
        <v>1.5565194657107237</v>
      </c>
      <c r="U37" s="493">
        <f>+$R$4</f>
        <v>154.50490219883392</v>
      </c>
      <c r="V37" s="500">
        <f>+T37*U37</f>
        <v>240.48988782021661</v>
      </c>
      <c r="W37" s="489">
        <f>IF($F37="Prod",$I37*$O37*$J$4*$J$6,$I37*$O37*$J$5*$J$7)</f>
        <v>1.0262558119377134</v>
      </c>
      <c r="X37" s="493">
        <f>$S$4</f>
        <v>37.9060089869281</v>
      </c>
      <c r="Y37" s="763">
        <f>+W37*X37</f>
        <v>38.901262030198161</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2751.2549701410203</v>
      </c>
      <c r="I38" s="487">
        <f>ITECountywide!$B$9*E38</f>
        <v>8.0841091405688896</v>
      </c>
      <c r="J38" s="495">
        <f>IF(F38="Prod",$M$3,$M$4)</f>
        <v>1.67</v>
      </c>
      <c r="K38" s="372">
        <f>IF(F38="Prod",$F$4,$F$5)</f>
        <v>0.85822198498152991</v>
      </c>
      <c r="L38" s="488">
        <f>Passby_Length_Adj!H33</f>
        <v>0.9441087613293051</v>
      </c>
      <c r="M38" s="488">
        <f>Passby_Length_Adj!J33</f>
        <v>0.66300000000000003</v>
      </c>
      <c r="N38" s="372">
        <v>0.5</v>
      </c>
      <c r="O38" s="481">
        <f>L38*M38*N38</f>
        <v>0.31297205438066467</v>
      </c>
      <c r="P38" s="489">
        <f>IF($F38="Prod",$I38*$O38*$F$4*$F$6,$I38*O38*$F$5*$F$7)</f>
        <v>16.604899550627064</v>
      </c>
      <c r="Q38" s="490">
        <f>+P38/J38</f>
        <v>9.9430536231299786</v>
      </c>
      <c r="R38" s="491">
        <f>+$Q$4</f>
        <v>261.71052631578948</v>
      </c>
      <c r="S38" s="500">
        <f>+Q38*R38</f>
        <v>2602.2017968954642</v>
      </c>
      <c r="T38" s="489">
        <f>IF($F38="Prod",$I38*$O38*$G$4*$G$6,$I38*$O38*$G$5*$G$7)</f>
        <v>0.83039196376433333</v>
      </c>
      <c r="U38" s="493">
        <f>+$R$4</f>
        <v>154.50490219883392</v>
      </c>
      <c r="V38" s="500">
        <f>+T38*U38</f>
        <v>128.29962914810596</v>
      </c>
      <c r="W38" s="489">
        <f>IF($F38="Prod",$I38*$O38*$J$4*$J$6,$I38*$O38*$J$5*$J$7)</f>
        <v>0.54750011019643563</v>
      </c>
      <c r="X38" s="493">
        <f>$S$4</f>
        <v>37.9060089869281</v>
      </c>
      <c r="Y38" s="763">
        <f>+W38*X38</f>
        <v>20.753544097450213</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1657.9282886909918</v>
      </c>
      <c r="I39" s="487">
        <f>ITECountywide!$B$9*E39</f>
        <v>6.0721447580506238</v>
      </c>
      <c r="J39" s="495">
        <f>IF(F39="Prod",$M$3,$M$4)</f>
        <v>1.67</v>
      </c>
      <c r="K39" s="372">
        <f>IF(F39="Prod",$F$4,$F$5)</f>
        <v>0.85822198498152991</v>
      </c>
      <c r="L39" s="488">
        <f>Passby_Length_Adj!H34</f>
        <v>0.65558912386706947</v>
      </c>
      <c r="M39" s="488">
        <f>Passby_Length_Adj!J34</f>
        <v>0.76600000000000001</v>
      </c>
      <c r="N39" s="372">
        <v>0.5</v>
      </c>
      <c r="O39" s="481">
        <f>L39*M39*N39</f>
        <v>0.25109063444108759</v>
      </c>
      <c r="P39" s="489">
        <f>IF($F39="Prod",$I39*$O39*$F$4*$F$6,$I39*O39*$F$5*$F$7)</f>
        <v>10.006245511460488</v>
      </c>
      <c r="Q39" s="490">
        <f>+P39/J39</f>
        <v>5.9917637793176581</v>
      </c>
      <c r="R39" s="491">
        <f>+$Q$4</f>
        <v>261.71052631578948</v>
      </c>
      <c r="S39" s="500">
        <f>+Q39*R39</f>
        <v>1568.1076522451083</v>
      </c>
      <c r="T39" s="489">
        <f>IF($F39="Prod",$I39*$O39*$G$4*$G$6,$I39*$O39*$G$5*$G$7)</f>
        <v>0.50040085065470552</v>
      </c>
      <c r="U39" s="493">
        <f>+$R$4</f>
        <v>154.50490219883392</v>
      </c>
      <c r="V39" s="500">
        <f>+T39*U39</f>
        <v>77.314384490618579</v>
      </c>
      <c r="W39" s="489">
        <f>IF($F39="Prod",$I39*$O39*$J$4*$J$6,$I39*$O39*$J$5*$J$7)</f>
        <v>0.32992795310046424</v>
      </c>
      <c r="X39" s="493">
        <f>$S$4</f>
        <v>37.9060089869281</v>
      </c>
      <c r="Y39" s="763">
        <f>+W39*X39</f>
        <v>12.50625195526499</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2479.8307129970626</v>
      </c>
      <c r="I40" s="487">
        <f>ITECountywide!$B$9*E40</f>
        <v>7.2865737096607477</v>
      </c>
      <c r="J40" s="495">
        <f>IF(F40="Prod",$M$3,$M$4)</f>
        <v>1.67</v>
      </c>
      <c r="K40" s="372">
        <f>IF(F40="Prod",$F$4,$F$5)</f>
        <v>0.85822198498152991</v>
      </c>
      <c r="L40" s="488">
        <f>Passby_Length_Adj!H35</f>
        <v>0.9441087613293051</v>
      </c>
      <c r="M40" s="488">
        <f>Passby_Length_Adj!J35</f>
        <v>0.66300000000000003</v>
      </c>
      <c r="N40" s="372">
        <v>0.5</v>
      </c>
      <c r="O40" s="481">
        <f>L40*M40*N40</f>
        <v>0.31297205438066467</v>
      </c>
      <c r="P40" s="489">
        <f>IF($F40="Prod",$I40*$O40*$F$4*$F$6,$I40*O40*$F$5*$F$7)</f>
        <v>14.966748025453089</v>
      </c>
      <c r="Q40" s="490">
        <f>+P40/J40</f>
        <v>8.9621245661395754</v>
      </c>
      <c r="R40" s="491">
        <f>+$Q$4</f>
        <v>261.71052631578948</v>
      </c>
      <c r="S40" s="500">
        <f>+Q40*R40</f>
        <v>2345.4823371120547</v>
      </c>
      <c r="T40" s="489">
        <f>IF($F40="Prod",$I40*$O40*$G$4*$G$6,$I40*$O40*$G$5*$G$7)</f>
        <v>0.74846988662166358</v>
      </c>
      <c r="U40" s="493">
        <f>+$R$4</f>
        <v>154.50490219883392</v>
      </c>
      <c r="V40" s="500">
        <f>+T40*U40</f>
        <v>115.64226663125244</v>
      </c>
      <c r="W40" s="489">
        <f>IF($F40="Prod",$I40*$O40*$J$4*$J$6,$I40*$O40*$J$5*$J$7)</f>
        <v>0.49348664641024009</v>
      </c>
      <c r="X40" s="493">
        <f>$S$4</f>
        <v>37.9060089869281</v>
      </c>
      <c r="Y40" s="763">
        <f>+W40*X40</f>
        <v>18.706109253755571</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2237.6063084564826</v>
      </c>
      <c r="I42" s="487">
        <f>ITECountywide!$B$9*E42</f>
        <v>4.368319064746867</v>
      </c>
      <c r="J42" s="495">
        <f t="shared" ref="J42:J50" si="27">IF(F42="Prod",$M$3,$M$4)</f>
        <v>1.67</v>
      </c>
      <c r="K42" s="372">
        <f t="shared" ref="K42:K50" si="28">IF(F42="Prod",$F$4,$F$5)</f>
        <v>0.85824475890316576</v>
      </c>
      <c r="L42" s="488">
        <f>Passby_Length_Adj!H37</f>
        <v>0.9441087613293051</v>
      </c>
      <c r="M42" s="488">
        <f>Passby_Length_Adj!J37</f>
        <v>1</v>
      </c>
      <c r="N42" s="372">
        <v>0.5</v>
      </c>
      <c r="O42" s="481">
        <f t="shared" ref="O42:O50" si="29">L42*M42*N42</f>
        <v>0.47205438066465255</v>
      </c>
      <c r="P42" s="489">
        <f t="shared" ref="P42:P50" si="30">IF($F42="Prod",$I42*$O42*$F$4*$F$6,$I42*O42*$F$5*$F$7)</f>
        <v>13.504552204686188</v>
      </c>
      <c r="Q42" s="490">
        <f t="shared" ref="Q42:Q50" si="31">+P42/J42</f>
        <v>8.0865582063989159</v>
      </c>
      <c r="R42" s="491">
        <f t="shared" ref="R42:R50" si="32">+$Q$4</f>
        <v>261.71052631578948</v>
      </c>
      <c r="S42" s="500">
        <f t="shared" ref="S42:S50" si="33">+Q42*R42</f>
        <v>2116.3374042799269</v>
      </c>
      <c r="T42" s="489">
        <f t="shared" ref="T42:T50" si="34">IF($F42="Prod",$I42*$O42*$G$4*$G$6,$I42*$O42*$G$5*$G$7)</f>
        <v>0.67500311334573981</v>
      </c>
      <c r="U42" s="493">
        <f t="shared" ref="U42:U50" si="35">+$R$4</f>
        <v>154.50490219883392</v>
      </c>
      <c r="V42" s="500">
        <f t="shared" ref="V42:V50" si="36">+T42*U42</f>
        <v>104.29129001139194</v>
      </c>
      <c r="W42" s="489">
        <f t="shared" ref="W42:W50" si="37">IF($F42="Prod",$I42*$O42*$J$4*$J$6,$I42*$O42*$J$5*$J$7)</f>
        <v>0.44788714557151671</v>
      </c>
      <c r="X42" s="493">
        <f t="shared" ref="X42:X50" si="38">$S$4</f>
        <v>37.9060089869281</v>
      </c>
      <c r="Y42" s="763">
        <f t="shared" ref="Y42:Y50" si="39">+W42*X42</f>
        <v>16.977614165163487</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19070.153953525132</v>
      </c>
      <c r="I43" s="487">
        <f>ITECountywide!$B$9*E43</f>
        <v>55.066196343157593</v>
      </c>
      <c r="J43" s="495">
        <f t="shared" si="27"/>
        <v>1.67</v>
      </c>
      <c r="K43" s="372">
        <f t="shared" si="28"/>
        <v>0.85824475890316576</v>
      </c>
      <c r="L43" s="488">
        <f>Passby_Length_Adj!H38</f>
        <v>0.63829555828418605</v>
      </c>
      <c r="M43" s="488">
        <f>Passby_Length_Adj!J38</f>
        <v>1</v>
      </c>
      <c r="N43" s="372">
        <v>0.5</v>
      </c>
      <c r="O43" s="481">
        <f t="shared" si="29"/>
        <v>0.31914777914209302</v>
      </c>
      <c r="P43" s="489">
        <f t="shared" si="30"/>
        <v>115.09347674052265</v>
      </c>
      <c r="Q43" s="490">
        <f t="shared" si="31"/>
        <v>68.918249545223148</v>
      </c>
      <c r="R43" s="491">
        <f t="shared" si="32"/>
        <v>261.71052631578948</v>
      </c>
      <c r="S43" s="500">
        <f t="shared" si="33"/>
        <v>18036.631361243268</v>
      </c>
      <c r="T43" s="489">
        <f t="shared" si="34"/>
        <v>5.7527605468235921</v>
      </c>
      <c r="U43" s="493">
        <f t="shared" si="35"/>
        <v>154.50490219883392</v>
      </c>
      <c r="V43" s="500">
        <f t="shared" si="36"/>
        <v>888.82970566028939</v>
      </c>
      <c r="W43" s="489">
        <f t="shared" si="37"/>
        <v>3.8171490612866492</v>
      </c>
      <c r="X43" s="493">
        <f t="shared" si="38"/>
        <v>37.9060089869281</v>
      </c>
      <c r="Y43" s="763">
        <f t="shared" si="39"/>
        <v>144.69288662157589</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22611.508202157547</v>
      </c>
      <c r="I44" s="487">
        <f>ITECountywide!$B$9*E44</f>
        <v>141.54441318094723</v>
      </c>
      <c r="J44" s="495">
        <f t="shared" si="27"/>
        <v>1.67</v>
      </c>
      <c r="K44" s="372">
        <f t="shared" si="28"/>
        <v>0.85824475890316576</v>
      </c>
      <c r="L44" s="488">
        <f>Passby_Length_Adj!H39</f>
        <v>0.33534743202416922</v>
      </c>
      <c r="M44" s="488">
        <f>Passby_Length_Adj!J39</f>
        <v>0.878</v>
      </c>
      <c r="N44" s="372">
        <v>0.5</v>
      </c>
      <c r="O44" s="481">
        <f t="shared" si="29"/>
        <v>0.14721752265861029</v>
      </c>
      <c r="P44" s="489">
        <f t="shared" si="30"/>
        <v>136.46649626822202</v>
      </c>
      <c r="Q44" s="490">
        <f t="shared" si="31"/>
        <v>81.71646483127067</v>
      </c>
      <c r="R44" s="491">
        <f t="shared" si="32"/>
        <v>261.71052631578948</v>
      </c>
      <c r="S44" s="500">
        <f t="shared" si="33"/>
        <v>21386.059019657547</v>
      </c>
      <c r="T44" s="489">
        <f t="shared" si="34"/>
        <v>6.8210562225432314</v>
      </c>
      <c r="U44" s="493">
        <f t="shared" si="35"/>
        <v>154.50490219883392</v>
      </c>
      <c r="V44" s="500">
        <f t="shared" si="36"/>
        <v>1053.8866245567895</v>
      </c>
      <c r="W44" s="489">
        <f t="shared" si="37"/>
        <v>4.5259989782193824</v>
      </c>
      <c r="X44" s="493">
        <f t="shared" si="38"/>
        <v>37.9060089869281</v>
      </c>
      <c r="Y44" s="763">
        <f t="shared" si="39"/>
        <v>171.56255794321132</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63702.545837810998</v>
      </c>
      <c r="I45" s="487">
        <f>ITECountywide!$B$9*E45</f>
        <v>398.76771545407081</v>
      </c>
      <c r="J45" s="495">
        <f t="shared" si="27"/>
        <v>1.67</v>
      </c>
      <c r="K45" s="372">
        <f t="shared" si="28"/>
        <v>0.85824475890316576</v>
      </c>
      <c r="L45" s="488">
        <f>Passby_Length_Adj!H40</f>
        <v>0.33534743202416922</v>
      </c>
      <c r="M45" s="488">
        <f>Passby_Length_Adj!J40</f>
        <v>0.878</v>
      </c>
      <c r="N45" s="372">
        <v>0.5</v>
      </c>
      <c r="O45" s="481">
        <f t="shared" si="29"/>
        <v>0.14721752265861029</v>
      </c>
      <c r="P45" s="489">
        <f t="shared" si="30"/>
        <v>384.46189241911696</v>
      </c>
      <c r="Q45" s="490">
        <f t="shared" si="31"/>
        <v>230.21670204737543</v>
      </c>
      <c r="R45" s="491">
        <f t="shared" si="32"/>
        <v>261.71052631578948</v>
      </c>
      <c r="S45" s="500">
        <f t="shared" si="33"/>
        <v>60250.134259503917</v>
      </c>
      <c r="T45" s="489">
        <f t="shared" si="34"/>
        <v>19.216703405807539</v>
      </c>
      <c r="U45" s="493">
        <f t="shared" si="35"/>
        <v>154.50490219883392</v>
      </c>
      <c r="V45" s="500">
        <f t="shared" si="36"/>
        <v>2969.0748802982926</v>
      </c>
      <c r="W45" s="489">
        <f t="shared" si="37"/>
        <v>12.750925537306493</v>
      </c>
      <c r="X45" s="493">
        <f t="shared" si="38"/>
        <v>37.9060089869281</v>
      </c>
      <c r="Y45" s="763">
        <f t="shared" si="39"/>
        <v>483.33669800879096</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33526.560982810319</v>
      </c>
      <c r="I46" s="487">
        <f>ITECountywide!$B$9*E46</f>
        <v>96.80992582909964</v>
      </c>
      <c r="J46" s="495">
        <f t="shared" si="27"/>
        <v>1.67</v>
      </c>
      <c r="K46" s="372">
        <f t="shared" si="28"/>
        <v>0.85824475890316576</v>
      </c>
      <c r="L46" s="488">
        <f>Passby_Length_Adj!H41</f>
        <v>0.63829555828418605</v>
      </c>
      <c r="M46" s="488">
        <f>Passby_Length_Adj!J41</f>
        <v>1</v>
      </c>
      <c r="N46" s="372">
        <v>0.5</v>
      </c>
      <c r="O46" s="481">
        <f t="shared" si="29"/>
        <v>0.31914777914209302</v>
      </c>
      <c r="P46" s="489">
        <f t="shared" si="30"/>
        <v>202.34175749543499</v>
      </c>
      <c r="Q46" s="490">
        <f t="shared" si="31"/>
        <v>121.16272903918264</v>
      </c>
      <c r="R46" s="491">
        <f t="shared" si="32"/>
        <v>261.71052631578948</v>
      </c>
      <c r="S46" s="500">
        <f t="shared" si="33"/>
        <v>31709.561586701879</v>
      </c>
      <c r="T46" s="489">
        <f t="shared" si="34"/>
        <v>10.113724187157606</v>
      </c>
      <c r="U46" s="493">
        <f t="shared" si="35"/>
        <v>154.50490219883392</v>
      </c>
      <c r="V46" s="500">
        <f t="shared" si="36"/>
        <v>1562.619966402767</v>
      </c>
      <c r="W46" s="489">
        <f t="shared" si="37"/>
        <v>6.7107943174233027</v>
      </c>
      <c r="X46" s="493">
        <f t="shared" si="38"/>
        <v>37.9060089869281</v>
      </c>
      <c r="Y46" s="763">
        <f t="shared" si="39"/>
        <v>254.37942970567374</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19032.490713327257</v>
      </c>
      <c r="I47" s="487">
        <f>ITECountywide!$B$9*E47</f>
        <v>54.957441511670126</v>
      </c>
      <c r="J47" s="495">
        <f t="shared" si="27"/>
        <v>1.67</v>
      </c>
      <c r="K47" s="372">
        <f t="shared" si="28"/>
        <v>0.85824475890316576</v>
      </c>
      <c r="L47" s="488">
        <f>Passby_Length_Adj!H42</f>
        <v>0.63829555828418605</v>
      </c>
      <c r="M47" s="488">
        <f>Passby_Length_Adj!J42</f>
        <v>1</v>
      </c>
      <c r="N47" s="372">
        <v>0.5</v>
      </c>
      <c r="O47" s="481">
        <f t="shared" si="29"/>
        <v>0.31914777914209302</v>
      </c>
      <c r="P47" s="489">
        <f t="shared" si="30"/>
        <v>114.86616901819113</v>
      </c>
      <c r="Q47" s="490">
        <f t="shared" si="31"/>
        <v>68.782137136641396</v>
      </c>
      <c r="R47" s="491">
        <f t="shared" si="32"/>
        <v>261.71052631578948</v>
      </c>
      <c r="S47" s="500">
        <f t="shared" si="33"/>
        <v>18001.009311155231</v>
      </c>
      <c r="T47" s="489">
        <f t="shared" si="34"/>
        <v>5.7413989394236777</v>
      </c>
      <c r="U47" s="493">
        <f t="shared" si="35"/>
        <v>154.50490219883392</v>
      </c>
      <c r="V47" s="500">
        <f t="shared" si="36"/>
        <v>887.07428162014412</v>
      </c>
      <c r="W47" s="489">
        <f t="shared" si="37"/>
        <v>3.8096102547139967</v>
      </c>
      <c r="X47" s="493">
        <f t="shared" si="38"/>
        <v>37.9060089869281</v>
      </c>
      <c r="Y47" s="763">
        <f t="shared" si="39"/>
        <v>144.4071205518822</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24292.789927630769</v>
      </c>
      <c r="I48" s="487">
        <f>ITECountywide!$B$9*E48</f>
        <v>70.146866309420645</v>
      </c>
      <c r="J48" s="495">
        <f t="shared" si="27"/>
        <v>1.67</v>
      </c>
      <c r="K48" s="372">
        <f t="shared" si="28"/>
        <v>0.85824475890316576</v>
      </c>
      <c r="L48" s="488">
        <f>Passby_Length_Adj!H43</f>
        <v>0.63829555828418605</v>
      </c>
      <c r="M48" s="488">
        <f>Passby_Length_Adj!J43</f>
        <v>1</v>
      </c>
      <c r="N48" s="372">
        <v>0.5</v>
      </c>
      <c r="O48" s="481">
        <f t="shared" si="29"/>
        <v>0.31914777914209302</v>
      </c>
      <c r="P48" s="489">
        <f t="shared" si="30"/>
        <v>146.61348090382577</v>
      </c>
      <c r="Q48" s="490">
        <f t="shared" si="31"/>
        <v>87.792503535225023</v>
      </c>
      <c r="R48" s="491">
        <f t="shared" si="32"/>
        <v>261.71052631578948</v>
      </c>
      <c r="S48" s="500">
        <f t="shared" si="33"/>
        <v>22976.222306784548</v>
      </c>
      <c r="T48" s="489">
        <f t="shared" si="34"/>
        <v>7.3282367729451297</v>
      </c>
      <c r="U48" s="493">
        <f t="shared" si="35"/>
        <v>154.50490219883392</v>
      </c>
      <c r="V48" s="500">
        <f t="shared" si="36"/>
        <v>1132.2485058937855</v>
      </c>
      <c r="W48" s="489">
        <f t="shared" si="37"/>
        <v>4.8625302393612033</v>
      </c>
      <c r="X48" s="493">
        <f t="shared" si="38"/>
        <v>37.9060089869281</v>
      </c>
      <c r="Y48" s="763">
        <f t="shared" si="39"/>
        <v>184.31911495243543</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2372.0308676623026</v>
      </c>
      <c r="I49" s="487">
        <f>ITECountywide!$B$9*E49</f>
        <v>7.2865737096607477</v>
      </c>
      <c r="J49" s="495">
        <f t="shared" si="27"/>
        <v>1.67</v>
      </c>
      <c r="K49" s="372">
        <f t="shared" si="28"/>
        <v>0.85824475890316576</v>
      </c>
      <c r="L49" s="488">
        <f>Passby_Length_Adj!H44</f>
        <v>0.63829555828418605</v>
      </c>
      <c r="M49" s="488">
        <f>Passby_Length_Adj!J44</f>
        <v>0.94</v>
      </c>
      <c r="N49" s="372">
        <v>0.5</v>
      </c>
      <c r="O49" s="481">
        <f t="shared" si="29"/>
        <v>0.29999891239356741</v>
      </c>
      <c r="P49" s="489">
        <f t="shared" si="30"/>
        <v>14.315840352438672</v>
      </c>
      <c r="Q49" s="490">
        <f t="shared" si="31"/>
        <v>8.5723594924782471</v>
      </c>
      <c r="R49" s="491">
        <f t="shared" si="32"/>
        <v>261.71052631578948</v>
      </c>
      <c r="S49" s="500">
        <f t="shared" si="33"/>
        <v>2243.4767145446363</v>
      </c>
      <c r="T49" s="489">
        <f t="shared" si="34"/>
        <v>0.71555403404664208</v>
      </c>
      <c r="U49" s="493">
        <f t="shared" si="35"/>
        <v>154.50490219883392</v>
      </c>
      <c r="V49" s="500">
        <f t="shared" si="36"/>
        <v>110.55660604835751</v>
      </c>
      <c r="W49" s="489">
        <f t="shared" si="37"/>
        <v>0.47479403794568759</v>
      </c>
      <c r="X49" s="493">
        <f t="shared" si="38"/>
        <v>37.9060089869281</v>
      </c>
      <c r="Y49" s="763">
        <f t="shared" si="39"/>
        <v>17.997547069309114</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18090.909708380328</v>
      </c>
      <c r="I50" s="487">
        <f>ITECountywide!$B$9*E50</f>
        <v>52.238570724483274</v>
      </c>
      <c r="J50" s="495">
        <f t="shared" si="27"/>
        <v>1.67</v>
      </c>
      <c r="K50" s="372">
        <f t="shared" si="28"/>
        <v>0.85824475890316576</v>
      </c>
      <c r="L50" s="488">
        <f>Passby_Length_Adj!H45</f>
        <v>0.63829555828418605</v>
      </c>
      <c r="M50" s="488">
        <f>Passby_Length_Adj!J45</f>
        <v>1</v>
      </c>
      <c r="N50" s="372">
        <v>0.5</v>
      </c>
      <c r="O50" s="481">
        <f t="shared" si="29"/>
        <v>0.31914777914209302</v>
      </c>
      <c r="P50" s="489">
        <f t="shared" si="30"/>
        <v>109.1834759599033</v>
      </c>
      <c r="Q50" s="490">
        <f t="shared" si="31"/>
        <v>65.379326922097789</v>
      </c>
      <c r="R50" s="491">
        <f t="shared" si="32"/>
        <v>261.71052631578948</v>
      </c>
      <c r="S50" s="500">
        <f t="shared" si="33"/>
        <v>17110.458058954278</v>
      </c>
      <c r="T50" s="489">
        <f t="shared" si="34"/>
        <v>5.4573587544258038</v>
      </c>
      <c r="U50" s="493">
        <f t="shared" si="35"/>
        <v>154.50490219883392</v>
      </c>
      <c r="V50" s="500">
        <f t="shared" si="36"/>
        <v>843.18868061650892</v>
      </c>
      <c r="W50" s="489">
        <f t="shared" si="37"/>
        <v>3.6211400903976707</v>
      </c>
      <c r="X50" s="493">
        <f t="shared" si="38"/>
        <v>37.9060089869281</v>
      </c>
      <c r="Y50" s="763">
        <f t="shared" si="39"/>
        <v>137.26296880953973</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866.25546865574381</v>
      </c>
      <c r="I52" s="487">
        <f>ITECountywide!$B$9*E52</f>
        <v>3.4257771918554263</v>
      </c>
      <c r="J52" s="495">
        <f t="shared" ref="J52:J60" si="40">IF(F52="Prod",$M$3,$M$4)</f>
        <v>1.67</v>
      </c>
      <c r="K52" s="372">
        <f t="shared" ref="K52:K60" si="41">IF(F52="Prod",$F$4,$F$5)</f>
        <v>0.85824475890316576</v>
      </c>
      <c r="L52" s="488">
        <f>Passby_Length_Adj!H47</f>
        <v>0.87013619005702103</v>
      </c>
      <c r="M52" s="488">
        <f>Passby_Length_Adj!J47</f>
        <v>0.53561452513966479</v>
      </c>
      <c r="N52" s="372">
        <v>0.5</v>
      </c>
      <c r="O52" s="481">
        <f t="shared" ref="O52:O60" si="42">L52*M52*N52</f>
        <v>0.23302879112211422</v>
      </c>
      <c r="P52" s="489">
        <f t="shared" ref="P52:P60" si="43">IF($F52="Prod",$I52*$O52*$F$4*$F$6,$I52*O52*$F$5*$F$7)</f>
        <v>5.2280833115482377</v>
      </c>
      <c r="Q52" s="490">
        <f t="shared" ref="Q52:Q60" si="44">+P52/J52</f>
        <v>3.1305888093103222</v>
      </c>
      <c r="R52" s="491">
        <f t="shared" ref="R52:R60" si="45">+$Q$4</f>
        <v>261.71052631578948</v>
      </c>
      <c r="S52" s="500">
        <f t="shared" ref="S52:S60" si="46">+Q52*R52</f>
        <v>819.30804496292512</v>
      </c>
      <c r="T52" s="489">
        <f t="shared" ref="T52:T60" si="47">IF($F52="Prod",$I52*$O52*$G$4*$G$6,$I52*$O52*$G$5*$G$7)</f>
        <v>0.26131725499949443</v>
      </c>
      <c r="U52" s="493">
        <f t="shared" ref="U52:U60" si="48">+$R$4</f>
        <v>154.50490219883392</v>
      </c>
      <c r="V52" s="500">
        <f t="shared" ref="V52:V60" si="49">+T52*U52</f>
        <v>40.374796926564628</v>
      </c>
      <c r="W52" s="489">
        <f t="shared" ref="W52:W60" si="50">IF($F52="Prod",$I52*$O52*$J$4*$J$6,$I52*$O52*$J$5*$J$7)</f>
        <v>0.17339274014630943</v>
      </c>
      <c r="X52" s="493">
        <f t="shared" ref="X52:X60" si="51">$S$4</f>
        <v>37.9060089869281</v>
      </c>
      <c r="Y52" s="763">
        <f t="shared" ref="Y52:Y60" si="52">+W52*X52</f>
        <v>6.5726267662540936</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930.42254040802118</v>
      </c>
      <c r="I53" s="487">
        <f>ITECountywide!$B$9*E53</f>
        <v>3.6795384653261984</v>
      </c>
      <c r="J53" s="495">
        <f t="shared" si="40"/>
        <v>1.67</v>
      </c>
      <c r="K53" s="372">
        <f t="shared" si="41"/>
        <v>0.85824475890316576</v>
      </c>
      <c r="L53" s="488">
        <f>Passby_Length_Adj!H48</f>
        <v>0.87013619005702103</v>
      </c>
      <c r="M53" s="488">
        <f>Passby_Length_Adj!J48</f>
        <v>0.53561452513966479</v>
      </c>
      <c r="N53" s="372">
        <v>0.5</v>
      </c>
      <c r="O53" s="481">
        <f t="shared" si="42"/>
        <v>0.23302879112211422</v>
      </c>
      <c r="P53" s="489">
        <f t="shared" si="43"/>
        <v>5.6153487420332926</v>
      </c>
      <c r="Q53" s="490">
        <f t="shared" si="44"/>
        <v>3.3624842766666423</v>
      </c>
      <c r="R53" s="491">
        <f t="shared" si="45"/>
        <v>261.71052631578948</v>
      </c>
      <c r="S53" s="500">
        <f t="shared" si="46"/>
        <v>879.99752977499361</v>
      </c>
      <c r="T53" s="489">
        <f t="shared" si="47"/>
        <v>0.28067408870316068</v>
      </c>
      <c r="U53" s="493">
        <f t="shared" si="48"/>
        <v>154.50490219883392</v>
      </c>
      <c r="V53" s="500">
        <f t="shared" si="49"/>
        <v>43.365522624828678</v>
      </c>
      <c r="W53" s="489">
        <f t="shared" si="50"/>
        <v>0.18623664682381386</v>
      </c>
      <c r="X53" s="493">
        <f t="shared" si="51"/>
        <v>37.9060089869281</v>
      </c>
      <c r="Y53" s="763">
        <f t="shared" si="52"/>
        <v>7.0594880081988425</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1658.8476783710462</v>
      </c>
      <c r="I54" s="487">
        <f>ITECountywide!$B$9*E54</f>
        <v>7.4497059568919601</v>
      </c>
      <c r="J54" s="495">
        <f t="shared" si="40"/>
        <v>1.67</v>
      </c>
      <c r="K54" s="372">
        <f t="shared" si="41"/>
        <v>0.85824475890316576</v>
      </c>
      <c r="L54" s="488">
        <f>Passby_Length_Adj!H49</f>
        <v>0.76624514210263772</v>
      </c>
      <c r="M54" s="488">
        <f>Passby_Length_Adj!J49</f>
        <v>0.53561452513966479</v>
      </c>
      <c r="N54" s="372">
        <v>0.5</v>
      </c>
      <c r="O54" s="481">
        <f t="shared" si="42"/>
        <v>0.20520601396393964</v>
      </c>
      <c r="P54" s="489">
        <f t="shared" si="43"/>
        <v>10.011589164510957</v>
      </c>
      <c r="Q54" s="490">
        <f t="shared" si="44"/>
        <v>5.9949635715634475</v>
      </c>
      <c r="R54" s="491">
        <f t="shared" si="45"/>
        <v>261.71052631578948</v>
      </c>
      <c r="S54" s="500">
        <f t="shared" si="46"/>
        <v>1568.9450715578548</v>
      </c>
      <c r="T54" s="489">
        <f t="shared" si="47"/>
        <v>0.5004130276336255</v>
      </c>
      <c r="U54" s="493">
        <f t="shared" si="48"/>
        <v>154.50490219883392</v>
      </c>
      <c r="V54" s="500">
        <f t="shared" si="49"/>
        <v>77.316265893555681</v>
      </c>
      <c r="W54" s="489">
        <f t="shared" si="50"/>
        <v>0.3320407834012839</v>
      </c>
      <c r="X54" s="493">
        <f t="shared" si="51"/>
        <v>37.9060089869281</v>
      </c>
      <c r="Y54" s="763">
        <f t="shared" si="52"/>
        <v>12.586340919635715</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1000.9591830560083</v>
      </c>
      <c r="I55" s="487">
        <f>ITECountywide!$B$9*E55</f>
        <v>4.4951997014822531</v>
      </c>
      <c r="J55" s="495">
        <f t="shared" si="40"/>
        <v>1.67</v>
      </c>
      <c r="K55" s="372">
        <f t="shared" si="41"/>
        <v>0.85824475890316576</v>
      </c>
      <c r="L55" s="488">
        <f>Passby_Length_Adj!H50</f>
        <v>0.76624514210263772</v>
      </c>
      <c r="M55" s="488">
        <f>Passby_Length_Adj!J50</f>
        <v>0.53561452513966479</v>
      </c>
      <c r="N55" s="372">
        <v>0.5</v>
      </c>
      <c r="O55" s="481">
        <f t="shared" si="42"/>
        <v>0.20520601396393964</v>
      </c>
      <c r="P55" s="489">
        <f t="shared" si="43"/>
        <v>6.0410562355199922</v>
      </c>
      <c r="Q55" s="490">
        <f t="shared" si="44"/>
        <v>3.6173989434251452</v>
      </c>
      <c r="R55" s="491">
        <f t="shared" si="45"/>
        <v>261.71052631578948</v>
      </c>
      <c r="S55" s="500">
        <f t="shared" si="46"/>
        <v>946.7113813779755</v>
      </c>
      <c r="T55" s="489">
        <f t="shared" si="47"/>
        <v>0.30195238650398815</v>
      </c>
      <c r="U55" s="493">
        <f t="shared" si="48"/>
        <v>154.50490219883392</v>
      </c>
      <c r="V55" s="500">
        <f t="shared" si="49"/>
        <v>46.653123945503189</v>
      </c>
      <c r="W55" s="489">
        <f t="shared" si="50"/>
        <v>0.20035550920564088</v>
      </c>
      <c r="X55" s="493">
        <f t="shared" si="51"/>
        <v>37.9060089869281</v>
      </c>
      <c r="Y55" s="763">
        <f t="shared" si="52"/>
        <v>7.5946777325295791</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1819.3503375712223</v>
      </c>
      <c r="I56" s="487">
        <f>ITECountywide!$B$9*E56</f>
        <v>3.3532739708637775</v>
      </c>
      <c r="J56" s="495">
        <f t="shared" si="40"/>
        <v>1.67</v>
      </c>
      <c r="K56" s="372">
        <f t="shared" si="41"/>
        <v>0.85824475890316576</v>
      </c>
      <c r="L56" s="488">
        <f>Passby_Length_Adj!H51</f>
        <v>1</v>
      </c>
      <c r="M56" s="488">
        <f>Passby_Length_Adj!J51</f>
        <v>1</v>
      </c>
      <c r="N56" s="372">
        <v>0.5</v>
      </c>
      <c r="O56" s="481">
        <f t="shared" si="42"/>
        <v>0.5</v>
      </c>
      <c r="P56" s="489">
        <f t="shared" si="43"/>
        <v>10.980265616650076</v>
      </c>
      <c r="Q56" s="490">
        <f t="shared" si="44"/>
        <v>6.5750093512874708</v>
      </c>
      <c r="R56" s="491">
        <f t="shared" si="45"/>
        <v>261.71052631578948</v>
      </c>
      <c r="S56" s="500">
        <f t="shared" si="46"/>
        <v>1720.7491578566814</v>
      </c>
      <c r="T56" s="489">
        <f t="shared" si="47"/>
        <v>0.54883074716317171</v>
      </c>
      <c r="U56" s="493">
        <f t="shared" si="48"/>
        <v>154.50490219883392</v>
      </c>
      <c r="V56" s="500">
        <f t="shared" si="49"/>
        <v>84.797040914158785</v>
      </c>
      <c r="W56" s="489">
        <f t="shared" si="50"/>
        <v>0.36416755995448064</v>
      </c>
      <c r="X56" s="493">
        <f t="shared" si="51"/>
        <v>37.9060089869281</v>
      </c>
      <c r="Y56" s="763">
        <f t="shared" si="52"/>
        <v>13.804138800382221</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464.15445988484248</v>
      </c>
      <c r="I57" s="487">
        <f>ITECountywide!$B$9*E57</f>
        <v>2.0844676035099154</v>
      </c>
      <c r="J57" s="495">
        <f t="shared" si="40"/>
        <v>1.67</v>
      </c>
      <c r="K57" s="372">
        <f t="shared" si="41"/>
        <v>0.85824475890316576</v>
      </c>
      <c r="L57" s="488">
        <f>Passby_Length_Adj!H52</f>
        <v>0.76624514210263772</v>
      </c>
      <c r="M57" s="488">
        <f>Passby_Length_Adj!J52</f>
        <v>0.53561452513966479</v>
      </c>
      <c r="N57" s="372">
        <v>0.5</v>
      </c>
      <c r="O57" s="481">
        <f t="shared" si="42"/>
        <v>0.20520601396393964</v>
      </c>
      <c r="P57" s="489">
        <f t="shared" si="43"/>
        <v>2.8012962382451572</v>
      </c>
      <c r="Q57" s="490">
        <f t="shared" si="44"/>
        <v>1.6774228971527887</v>
      </c>
      <c r="R57" s="491">
        <f t="shared" si="45"/>
        <v>261.71052631578948</v>
      </c>
      <c r="S57" s="500">
        <f t="shared" si="46"/>
        <v>438.99922926801275</v>
      </c>
      <c r="T57" s="489">
        <f t="shared" si="47"/>
        <v>0.14001824374176866</v>
      </c>
      <c r="U57" s="493">
        <f t="shared" si="48"/>
        <v>154.50490219883392</v>
      </c>
      <c r="V57" s="500">
        <f t="shared" si="49"/>
        <v>21.633505055374457</v>
      </c>
      <c r="W57" s="489">
        <f t="shared" si="50"/>
        <v>9.2906788542938309E-2</v>
      </c>
      <c r="X57" s="493">
        <f t="shared" si="51"/>
        <v>37.9060089869281</v>
      </c>
      <c r="Y57" s="763">
        <f t="shared" si="52"/>
        <v>3.5217255614552481</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629.63561514813421</v>
      </c>
      <c r="I58" s="487">
        <f>ITECountywide!$B$9*E58</f>
        <v>2.8276256186743205</v>
      </c>
      <c r="J58" s="495">
        <f t="shared" si="40"/>
        <v>1.67</v>
      </c>
      <c r="K58" s="372">
        <f t="shared" si="41"/>
        <v>0.85824475890316576</v>
      </c>
      <c r="L58" s="488">
        <f>Passby_Length_Adj!H53</f>
        <v>0.76624514210263772</v>
      </c>
      <c r="M58" s="488">
        <f>Passby_Length_Adj!J53</f>
        <v>0.53561452513966479</v>
      </c>
      <c r="N58" s="372">
        <v>0.5</v>
      </c>
      <c r="O58" s="481">
        <f t="shared" si="42"/>
        <v>0.20520601396393964</v>
      </c>
      <c r="P58" s="489">
        <f t="shared" si="43"/>
        <v>3.8000192449238659</v>
      </c>
      <c r="Q58" s="490">
        <f t="shared" si="44"/>
        <v>2.2754606257029137</v>
      </c>
      <c r="R58" s="491">
        <f t="shared" si="45"/>
        <v>261.71052631578948</v>
      </c>
      <c r="S58" s="500">
        <f t="shared" si="46"/>
        <v>595.51199796356525</v>
      </c>
      <c r="T58" s="489">
        <f t="shared" si="47"/>
        <v>0.18993779151057319</v>
      </c>
      <c r="U58" s="493">
        <f t="shared" si="48"/>
        <v>154.50490219883392</v>
      </c>
      <c r="V58" s="500">
        <f t="shared" si="49"/>
        <v>29.346319901203618</v>
      </c>
      <c r="W58" s="489">
        <f t="shared" si="50"/>
        <v>0.12603007837129024</v>
      </c>
      <c r="X58" s="493">
        <f t="shared" si="51"/>
        <v>37.9060089869281</v>
      </c>
      <c r="Y58" s="763">
        <f t="shared" si="52"/>
        <v>4.7772972833653808</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6158.2310329664888</v>
      </c>
      <c r="I59" s="487">
        <f>ITECountywide!$B$9*E59</f>
        <v>12.597434647299055</v>
      </c>
      <c r="J59" s="495">
        <f t="shared" si="40"/>
        <v>1.67</v>
      </c>
      <c r="K59" s="372">
        <f t="shared" si="41"/>
        <v>0.85824475890316576</v>
      </c>
      <c r="L59" s="488">
        <f>Passby_Length_Adj!H54</f>
        <v>0.90100368260427022</v>
      </c>
      <c r="M59" s="488">
        <f>Passby_Length_Adj!J54</f>
        <v>1</v>
      </c>
      <c r="N59" s="372">
        <v>0.5</v>
      </c>
      <c r="O59" s="481">
        <f t="shared" si="42"/>
        <v>0.45050184130213511</v>
      </c>
      <c r="P59" s="489">
        <f t="shared" si="43"/>
        <v>37.166570436861953</v>
      </c>
      <c r="Q59" s="490">
        <f t="shared" si="44"/>
        <v>22.255431399318535</v>
      </c>
      <c r="R59" s="491">
        <f t="shared" si="45"/>
        <v>261.71052631578948</v>
      </c>
      <c r="S59" s="500">
        <f t="shared" si="46"/>
        <v>5824.4806649006014</v>
      </c>
      <c r="T59" s="489">
        <f t="shared" si="47"/>
        <v>1.8577106724471744</v>
      </c>
      <c r="U59" s="493">
        <f t="shared" si="48"/>
        <v>154.50490219883392</v>
      </c>
      <c r="V59" s="500">
        <f t="shared" si="49"/>
        <v>287.02540576018066</v>
      </c>
      <c r="W59" s="489">
        <f t="shared" si="50"/>
        <v>1.2326531743771834</v>
      </c>
      <c r="X59" s="493">
        <f t="shared" si="51"/>
        <v>37.9060089869281</v>
      </c>
      <c r="Y59" s="763">
        <f t="shared" si="52"/>
        <v>46.72496230570696</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10511.946160785283</v>
      </c>
      <c r="I60" s="487">
        <f>ITECountywide!$B$9*E60</f>
        <v>86.315084590558413</v>
      </c>
      <c r="J60" s="495">
        <f t="shared" si="40"/>
        <v>1.67</v>
      </c>
      <c r="K60" s="372">
        <f t="shared" si="41"/>
        <v>0.85824475890316576</v>
      </c>
      <c r="L60" s="488">
        <f>Passby_Length_Adj!H55</f>
        <v>0.30664652567975825</v>
      </c>
      <c r="M60" s="488">
        <f>Passby_Length_Adj!J55</f>
        <v>0.73199999999999998</v>
      </c>
      <c r="N60" s="372">
        <v>0.5</v>
      </c>
      <c r="O60" s="481">
        <f t="shared" si="42"/>
        <v>0.11223262839879151</v>
      </c>
      <c r="P60" s="489">
        <f t="shared" si="43"/>
        <v>63.442405022132739</v>
      </c>
      <c r="Q60" s="490">
        <f t="shared" si="44"/>
        <v>37.989464085109425</v>
      </c>
      <c r="R60" s="491">
        <f t="shared" si="45"/>
        <v>261.71052631578948</v>
      </c>
      <c r="S60" s="500">
        <f t="shared" si="46"/>
        <v>9942.2426401687699</v>
      </c>
      <c r="T60" s="489">
        <f t="shared" si="47"/>
        <v>3.1710655976597861</v>
      </c>
      <c r="U60" s="493">
        <f t="shared" si="48"/>
        <v>154.50490219883392</v>
      </c>
      <c r="V60" s="500">
        <f t="shared" si="49"/>
        <v>489.9451800325121</v>
      </c>
      <c r="W60" s="489">
        <f t="shared" si="50"/>
        <v>2.1041081009479781</v>
      </c>
      <c r="X60" s="493">
        <f t="shared" si="51"/>
        <v>37.9060089869281</v>
      </c>
      <c r="Y60" s="763">
        <f t="shared" si="52"/>
        <v>79.758340584002269</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10542.397631764054</v>
      </c>
      <c r="I62" s="487">
        <f>ITECountywide!$B$9*E62</f>
        <v>19.430863225761996</v>
      </c>
      <c r="J62" s="495">
        <f>IF(F62="Prod",$M$3,$M$4)</f>
        <v>1.67</v>
      </c>
      <c r="K62" s="372">
        <f>IF(F62="Prod",$F$4,$F$5)</f>
        <v>0.85824475890316576</v>
      </c>
      <c r="L62" s="488">
        <f>Passby_Length_Adj!H57</f>
        <v>1</v>
      </c>
      <c r="M62" s="488">
        <f>Passby_Length_Adj!J57</f>
        <v>1</v>
      </c>
      <c r="N62" s="372">
        <v>0.5</v>
      </c>
      <c r="O62" s="481">
        <f>L62*M62*N62</f>
        <v>0.5</v>
      </c>
      <c r="P62" s="489">
        <f>IF($F62="Prod",$I62*$O62*$F$4*$F$6,$I62*O62*$F$5*$F$7)</f>
        <v>63.626187789453397</v>
      </c>
      <c r="Q62" s="490">
        <f>+P62/J62</f>
        <v>38.099513646379279</v>
      </c>
      <c r="R62" s="491">
        <f>+$Q$4</f>
        <v>261.71052631578948</v>
      </c>
      <c r="S62" s="500">
        <f>+Q62*R62</f>
        <v>9971.0437687695248</v>
      </c>
      <c r="T62" s="489">
        <f>IF($F62="Prod",$I62*$O62*$G$4*$G$6,$I62*$O62*$G$5*$G$7)</f>
        <v>3.1802516808590271</v>
      </c>
      <c r="U62" s="493">
        <f>+$R$4</f>
        <v>154.50490219883392</v>
      </c>
      <c r="V62" s="500">
        <f>+T62*U62</f>
        <v>491.36447491880114</v>
      </c>
      <c r="W62" s="489">
        <f>IF($F62="Prod",$I62*$O62*$J$4*$J$6,$I62*$O62*$J$5*$J$7)</f>
        <v>2.1102033744389361</v>
      </c>
      <c r="X62" s="493">
        <f>$S$4</f>
        <v>37.9060089869281</v>
      </c>
      <c r="Y62" s="763">
        <f>+W62*X62</f>
        <v>79.989388075728314</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1047.8468569604311</v>
      </c>
      <c r="I63" s="487">
        <f>ITECountywide!$B$9*E63</f>
        <v>5.5464964058611672</v>
      </c>
      <c r="J63" s="495">
        <f>IF(F63="Prod",$M$3,$M$4)</f>
        <v>1.67</v>
      </c>
      <c r="K63" s="372">
        <f>IF(F63="Prod",$F$4,$F$5)</f>
        <v>0.85824475890316576</v>
      </c>
      <c r="L63" s="488">
        <f>Passby_Length_Adj!H58</f>
        <v>0.39123867069486401</v>
      </c>
      <c r="M63" s="488">
        <f>Passby_Length_Adj!J58</f>
        <v>0.89</v>
      </c>
      <c r="N63" s="372">
        <v>0.5</v>
      </c>
      <c r="O63" s="481">
        <f>L63*M63*N63</f>
        <v>0.17410120845921448</v>
      </c>
      <c r="P63" s="489">
        <f>IF($F63="Prod",$I63*$O63*$F$4*$F$6,$I63*O63*$F$5*$F$7)</f>
        <v>6.3240358810481476</v>
      </c>
      <c r="Q63" s="490">
        <f>+P63/J63</f>
        <v>3.7868478329629629</v>
      </c>
      <c r="R63" s="491">
        <f>+$Q$4</f>
        <v>261.71052631578948</v>
      </c>
      <c r="S63" s="500">
        <f>+Q63*R63</f>
        <v>991.0579394425439</v>
      </c>
      <c r="T63" s="489">
        <f>IF($F63="Prod",$I63*$O63*$G$4*$G$6,$I63*$O63*$G$5*$G$7)</f>
        <v>0.31609666458517438</v>
      </c>
      <c r="U63" s="493">
        <f>+$R$4</f>
        <v>154.50490219883392</v>
      </c>
      <c r="V63" s="500">
        <f>+T63*U63</f>
        <v>48.838484247109974</v>
      </c>
      <c r="W63" s="489">
        <f>IF($F63="Prod",$I63*$O63*$J$4*$J$6,$I63*$O63*$J$5*$J$7)</f>
        <v>0.20974071085982562</v>
      </c>
      <c r="X63" s="493">
        <f>$S$4</f>
        <v>37.9060089869281</v>
      </c>
      <c r="Y63" s="763">
        <f>+W63*X63</f>
        <v>7.9504332707772383</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26887.356685391333</v>
      </c>
      <c r="I64" s="487">
        <f>ITECountywide!$B$9*E64</f>
        <v>69.168072826033367</v>
      </c>
      <c r="J64" s="495">
        <f>IF(F64="Prod",$M$3,$M$4)</f>
        <v>1.67</v>
      </c>
      <c r="K64" s="372">
        <f>IF(F64="Prod",$F$4,$F$5)</f>
        <v>0.85824475890316576</v>
      </c>
      <c r="L64" s="488">
        <f>Passby_Length_Adj!H59</f>
        <v>0.7703927492447129</v>
      </c>
      <c r="M64" s="488">
        <f>Passby_Length_Adj!J59</f>
        <v>0.93</v>
      </c>
      <c r="N64" s="372">
        <v>0.5</v>
      </c>
      <c r="O64" s="481">
        <f>L64*M64*N64</f>
        <v>0.3582326283987915</v>
      </c>
      <c r="P64" s="489">
        <f>IF($F64="Prod",$I64*$O64*$F$4*$F$6,$I64*O64*$F$5*$F$7)</f>
        <v>162.27238483893791</v>
      </c>
      <c r="Q64" s="490">
        <f>+P64/J64</f>
        <v>97.169092717926901</v>
      </c>
      <c r="R64" s="491">
        <f>+$Q$4</f>
        <v>261.71052631578948</v>
      </c>
      <c r="S64" s="500">
        <f>+Q64*R64</f>
        <v>25430.174396836395</v>
      </c>
      <c r="T64" s="489">
        <f>IF($F64="Prod",$I64*$O64*$G$4*$G$6,$I64*$O64*$G$5*$G$7)</f>
        <v>8.1109216593136484</v>
      </c>
      <c r="U64" s="493">
        <f>+$R$4</f>
        <v>154.50490219883392</v>
      </c>
      <c r="V64" s="500">
        <f>+T64*U64</f>
        <v>1253.177157714659</v>
      </c>
      <c r="W64" s="489">
        <f>IF($F64="Prod",$I64*$O64*$J$4*$J$6,$I64*$O64*$J$5*$J$7)</f>
        <v>5.3818678434501592</v>
      </c>
      <c r="X64" s="493">
        <f>$S$4</f>
        <v>37.9060089869281</v>
      </c>
      <c r="Y64" s="763">
        <f>+W64*X64</f>
        <v>204.00513084028108</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12949.961107567589</v>
      </c>
      <c r="I65" s="487">
        <f>ITECountywide!$B$9*E65</f>
        <v>38.970481283011466</v>
      </c>
      <c r="J65" s="495">
        <f>IF(F65="Prod",$M$3,$M$4)</f>
        <v>1.67</v>
      </c>
      <c r="K65" s="372">
        <f>IF(F65="Prod",$F$4,$F$5)</f>
        <v>0.85824475890316576</v>
      </c>
      <c r="L65" s="488">
        <f>Passby_Length_Adj!H60</f>
        <v>0.61247081225203326</v>
      </c>
      <c r="M65" s="488">
        <f>Passby_Length_Adj!J60</f>
        <v>1</v>
      </c>
      <c r="N65" s="372">
        <v>0.5</v>
      </c>
      <c r="O65" s="481">
        <f>L65*M65*N65</f>
        <v>0.30623540612601663</v>
      </c>
      <c r="P65" s="489">
        <f>IF($F65="Prod",$I65*$O65*$F$4*$F$6,$I65*O65*$F$5*$F$7)</f>
        <v>78.156476930223789</v>
      </c>
      <c r="Q65" s="490">
        <f>+P65/J65</f>
        <v>46.800285586960356</v>
      </c>
      <c r="R65" s="491">
        <f>+$Q$4</f>
        <v>261.71052631578948</v>
      </c>
      <c r="S65" s="500">
        <f>+Q65*R65</f>
        <v>12248.127372692652</v>
      </c>
      <c r="T65" s="489">
        <f>IF($F65="Prod",$I65*$O65*$G$4*$G$6,$I65*$O65*$G$5*$G$7)</f>
        <v>3.9065245893698588</v>
      </c>
      <c r="U65" s="493">
        <f>+$R$4</f>
        <v>154.50490219883392</v>
      </c>
      <c r="V65" s="500">
        <f>+T65*U65</f>
        <v>603.57719961792986</v>
      </c>
      <c r="W65" s="489">
        <f>IF($F65="Prod",$I65*$O65*$J$4*$J$6,$I65*$O65*$J$5*$J$7)</f>
        <v>2.5921097441540426</v>
      </c>
      <c r="X65" s="493">
        <f>$S$4</f>
        <v>37.9060089869281</v>
      </c>
      <c r="Y65" s="763">
        <f>+W65*X65</f>
        <v>98.25653525700703</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15021.954884778399</v>
      </c>
      <c r="I66" s="487">
        <f>ITECountywide!$B$9*E66</f>
        <v>45.205758288293303</v>
      </c>
      <c r="J66" s="495">
        <f>IF(F66="Prod",$M$3,$M$4)</f>
        <v>1.67</v>
      </c>
      <c r="K66" s="372">
        <f>IF(F66="Prod",$F$4,$F$5)</f>
        <v>0.85824475890316576</v>
      </c>
      <c r="L66" s="488">
        <f>Passby_Length_Adj!H61</f>
        <v>0.61247081225203326</v>
      </c>
      <c r="M66" s="488">
        <f>Passby_Length_Adj!J61</f>
        <v>1</v>
      </c>
      <c r="N66" s="372">
        <v>0.5</v>
      </c>
      <c r="O66" s="481">
        <f>L66*M66*N66</f>
        <v>0.30623540612601663</v>
      </c>
      <c r="P66" s="489">
        <f>IF($F66="Prod",$I66*$O66*$F$4*$F$6,$I66*O66*$F$5*$F$7)</f>
        <v>90.661513239059573</v>
      </c>
      <c r="Q66" s="490">
        <f>+P66/J66</f>
        <v>54.288331280873997</v>
      </c>
      <c r="R66" s="491">
        <f>+$Q$4</f>
        <v>261.71052631578948</v>
      </c>
      <c r="S66" s="500">
        <f>+Q66*R66</f>
        <v>14207.827752323472</v>
      </c>
      <c r="T66" s="489">
        <f>IF($F66="Prod",$I66*$O66*$G$4*$G$6,$I66*$O66*$G$5*$G$7)</f>
        <v>4.5315685236690362</v>
      </c>
      <c r="U66" s="493">
        <f>+$R$4</f>
        <v>154.50490219883392</v>
      </c>
      <c r="V66" s="500">
        <f>+T66*U66</f>
        <v>700.14955155679866</v>
      </c>
      <c r="W66" s="489">
        <f>IF($F66="Prod",$I66*$O66*$J$4*$J$6,$I66*$O66*$J$5*$J$7)</f>
        <v>3.0068473032186893</v>
      </c>
      <c r="X66" s="493">
        <f>$S$4</f>
        <v>37.9060089869281</v>
      </c>
      <c r="Y66" s="763">
        <f>+W66*X66</f>
        <v>113.97758089812815</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13494.469917484486</v>
      </c>
      <c r="I68" s="487">
        <f>ITECountywide!$B$9*E68</f>
        <v>20.049119939245994</v>
      </c>
      <c r="J68" s="495">
        <f t="shared" ref="J68:J87" si="53">IF(F68="Prod",$M$3,$M$4)</f>
        <v>1.67</v>
      </c>
      <c r="K68" s="372">
        <f t="shared" ref="K68:K87" si="54">IF(F68="Prod",$F$4,$F$5)</f>
        <v>0.85824475890316576</v>
      </c>
      <c r="L68" s="488">
        <f>Passby_Length_Adj!H63</f>
        <v>1.2405469854222484</v>
      </c>
      <c r="M68" s="488">
        <f>Passby_Length_Adj!J63</f>
        <v>1</v>
      </c>
      <c r="N68" s="372">
        <v>0.5</v>
      </c>
      <c r="O68" s="481">
        <f t="shared" ref="O68:O87" si="55">L68*M68*N68</f>
        <v>0.6202734927111242</v>
      </c>
      <c r="P68" s="489">
        <f t="shared" ref="P68:P87" si="56">IF($F68="Prod",$I68*$O68*$F$4*$F$6,$I68*O68*$F$5*$F$7)</f>
        <v>81.442733150383759</v>
      </c>
      <c r="Q68" s="490">
        <f t="shared" ref="Q68:Q87" si="57">+P68/J68</f>
        <v>48.768103682864528</v>
      </c>
      <c r="R68" s="491">
        <f t="shared" ref="R68:R87" si="58">+$Q$4</f>
        <v>261.71052631578948</v>
      </c>
      <c r="S68" s="500">
        <f t="shared" ref="S68:S87" si="59">+Q68*R68</f>
        <v>12763.126082265468</v>
      </c>
      <c r="T68" s="489">
        <f t="shared" ref="T68:T87" si="60">IF($F68="Prod",$I68*$O68*$G$4*$G$6,$I68*$O68*$G$5*$G$7)</f>
        <v>4.0707827703327224</v>
      </c>
      <c r="U68" s="493">
        <f t="shared" ref="U68:U87" si="61">+$R$4</f>
        <v>154.50490219883392</v>
      </c>
      <c r="V68" s="500">
        <f t="shared" ref="V68:V87" si="62">+T68*U68</f>
        <v>628.95589380295542</v>
      </c>
      <c r="W68" s="489">
        <f t="shared" ref="W68:W87" si="63">IF($F68="Prod",$I68*$O68*$J$4*$J$6,$I68*$O68*$J$5*$J$7)</f>
        <v>2.7011005419054364</v>
      </c>
      <c r="X68" s="493">
        <f t="shared" ref="X68:X87" si="64">$S$4</f>
        <v>37.9060089869281</v>
      </c>
      <c r="Y68" s="763">
        <f t="shared" ref="Y68:Y87" si="65">+W68*X68</f>
        <v>102.38794141606382</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13056.963553954178</v>
      </c>
      <c r="I69" s="487">
        <f>ITECountywide!$B$9*E69</f>
        <v>19.399104220937762</v>
      </c>
      <c r="J69" s="495">
        <f t="shared" si="53"/>
        <v>1.67</v>
      </c>
      <c r="K69" s="372">
        <f t="shared" si="54"/>
        <v>0.85824475890316576</v>
      </c>
      <c r="L69" s="488">
        <f>Passby_Length_Adj!H64</f>
        <v>1.2405469854222484</v>
      </c>
      <c r="M69" s="488">
        <f>Passby_Length_Adj!J64</f>
        <v>1</v>
      </c>
      <c r="N69" s="372">
        <v>0.5</v>
      </c>
      <c r="O69" s="481">
        <f t="shared" si="55"/>
        <v>0.6202734927111242</v>
      </c>
      <c r="P69" s="489">
        <f t="shared" si="56"/>
        <v>78.802265296924276</v>
      </c>
      <c r="Q69" s="490">
        <f t="shared" si="57"/>
        <v>47.186985207739092</v>
      </c>
      <c r="R69" s="491">
        <f t="shared" si="58"/>
        <v>261.71052631578948</v>
      </c>
      <c r="S69" s="500">
        <f t="shared" si="59"/>
        <v>12349.330733972771</v>
      </c>
      <c r="T69" s="489">
        <f t="shared" si="60"/>
        <v>3.9388032722523634</v>
      </c>
      <c r="U69" s="493">
        <f t="shared" si="61"/>
        <v>154.50490219883392</v>
      </c>
      <c r="V69" s="500">
        <f t="shared" si="62"/>
        <v>608.56441435979843</v>
      </c>
      <c r="W69" s="489">
        <f t="shared" si="63"/>
        <v>2.6135277300169433</v>
      </c>
      <c r="X69" s="493">
        <f t="shared" si="64"/>
        <v>37.9060089869281</v>
      </c>
      <c r="Y69" s="763">
        <f t="shared" si="65"/>
        <v>99.068405621608051</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12858.394009697637</v>
      </c>
      <c r="I70" s="487">
        <f>ITECountywide!$B$9*E70</f>
        <v>19.10408376934355</v>
      </c>
      <c r="J70" s="495">
        <f t="shared" si="53"/>
        <v>1.67</v>
      </c>
      <c r="K70" s="372">
        <f t="shared" si="54"/>
        <v>0.85824475890316576</v>
      </c>
      <c r="L70" s="488">
        <f>Passby_Length_Adj!H65</f>
        <v>1.2405469854222484</v>
      </c>
      <c r="M70" s="488">
        <f>Passby_Length_Adj!J65</f>
        <v>1</v>
      </c>
      <c r="N70" s="372">
        <v>0.5</v>
      </c>
      <c r="O70" s="481">
        <f t="shared" si="55"/>
        <v>0.6202734927111242</v>
      </c>
      <c r="P70" s="489">
        <f t="shared" si="56"/>
        <v>77.60384501783463</v>
      </c>
      <c r="Q70" s="490">
        <f t="shared" si="57"/>
        <v>46.469368274152473</v>
      </c>
      <c r="R70" s="491">
        <f t="shared" si="58"/>
        <v>261.71052631578948</v>
      </c>
      <c r="S70" s="500">
        <f t="shared" si="59"/>
        <v>12161.522828590694</v>
      </c>
      <c r="T70" s="489">
        <f t="shared" si="60"/>
        <v>3.8789021805892512</v>
      </c>
      <c r="U70" s="493">
        <f t="shared" si="61"/>
        <v>154.50490219883392</v>
      </c>
      <c r="V70" s="500">
        <f t="shared" si="62"/>
        <v>599.30940205078582</v>
      </c>
      <c r="W70" s="489">
        <f t="shared" si="63"/>
        <v>2.5737813519171033</v>
      </c>
      <c r="X70" s="493">
        <f t="shared" si="64"/>
        <v>37.9060089869281</v>
      </c>
      <c r="Y70" s="763">
        <f t="shared" si="65"/>
        <v>97.561779056157675</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12729.252118402923</v>
      </c>
      <c r="I71" s="487">
        <f>ITECountywide!$B$9*E71</f>
        <v>18.912213967596532</v>
      </c>
      <c r="J71" s="495">
        <f t="shared" si="53"/>
        <v>1.67</v>
      </c>
      <c r="K71" s="372">
        <f t="shared" si="54"/>
        <v>0.85824475890316576</v>
      </c>
      <c r="L71" s="488">
        <f>Passby_Length_Adj!H66</f>
        <v>1.2405469854222484</v>
      </c>
      <c r="M71" s="488">
        <f>Passby_Length_Adj!J66</f>
        <v>1</v>
      </c>
      <c r="N71" s="372">
        <v>0.5</v>
      </c>
      <c r="O71" s="481">
        <f t="shared" si="55"/>
        <v>0.6202734927111242</v>
      </c>
      <c r="P71" s="489">
        <f t="shared" si="56"/>
        <v>76.824439183032339</v>
      </c>
      <c r="Q71" s="490">
        <f t="shared" si="57"/>
        <v>46.002658193432538</v>
      </c>
      <c r="R71" s="491">
        <f t="shared" si="58"/>
        <v>261.71052631578948</v>
      </c>
      <c r="S71" s="500">
        <f t="shared" si="59"/>
        <v>12039.379887728595</v>
      </c>
      <c r="T71" s="489">
        <f t="shared" si="60"/>
        <v>3.8399448455308689</v>
      </c>
      <c r="U71" s="493">
        <f t="shared" si="61"/>
        <v>154.50490219883392</v>
      </c>
      <c r="V71" s="500">
        <f t="shared" si="62"/>
        <v>593.29030280766335</v>
      </c>
      <c r="W71" s="489">
        <f t="shared" si="63"/>
        <v>2.5479318569245741</v>
      </c>
      <c r="X71" s="493">
        <f t="shared" si="64"/>
        <v>37.9060089869281</v>
      </c>
      <c r="Y71" s="763">
        <f t="shared" si="65"/>
        <v>96.581927866663307</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12593.772087468009</v>
      </c>
      <c r="I72" s="487">
        <f>ITECountywide!$B$9*E72</f>
        <v>18.710927410496026</v>
      </c>
      <c r="J72" s="495">
        <f t="shared" si="53"/>
        <v>1.67</v>
      </c>
      <c r="K72" s="372">
        <f t="shared" si="54"/>
        <v>0.85824475890316576</v>
      </c>
      <c r="L72" s="488">
        <f>Passby_Length_Adj!H67</f>
        <v>1.2405469854222484</v>
      </c>
      <c r="M72" s="488">
        <f>Passby_Length_Adj!J67</f>
        <v>1</v>
      </c>
      <c r="N72" s="372">
        <v>0.5</v>
      </c>
      <c r="O72" s="481">
        <f t="shared" si="55"/>
        <v>0.6202734927111242</v>
      </c>
      <c r="P72" s="489">
        <f t="shared" si="56"/>
        <v>76.006780981257293</v>
      </c>
      <c r="Q72" s="490">
        <f t="shared" si="57"/>
        <v>45.513042503746881</v>
      </c>
      <c r="R72" s="491">
        <f t="shared" si="58"/>
        <v>261.71052631578948</v>
      </c>
      <c r="S72" s="500">
        <f t="shared" si="59"/>
        <v>11911.242307888493</v>
      </c>
      <c r="T72" s="489">
        <f t="shared" si="60"/>
        <v>3.7990755280233017</v>
      </c>
      <c r="U72" s="493">
        <f t="shared" si="61"/>
        <v>154.50490219883392</v>
      </c>
      <c r="V72" s="500">
        <f t="shared" si="62"/>
        <v>586.97579290322358</v>
      </c>
      <c r="W72" s="489">
        <f t="shared" si="63"/>
        <v>2.5208136976183306</v>
      </c>
      <c r="X72" s="493">
        <f t="shared" si="64"/>
        <v>37.9060089869281</v>
      </c>
      <c r="Y72" s="763">
        <f t="shared" si="65"/>
        <v>95.553986676291899</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12467.287897865197</v>
      </c>
      <c r="I73" s="487">
        <f>ITECountywide!$B$9*E73</f>
        <v>18.523006232171017</v>
      </c>
      <c r="J73" s="495">
        <f t="shared" si="53"/>
        <v>1.67</v>
      </c>
      <c r="K73" s="372">
        <f t="shared" si="54"/>
        <v>0.85824475890316576</v>
      </c>
      <c r="L73" s="488">
        <f>Passby_Length_Adj!H68</f>
        <v>1.2405469854222484</v>
      </c>
      <c r="M73" s="488">
        <f>Passby_Length_Adj!J68</f>
        <v>1</v>
      </c>
      <c r="N73" s="372">
        <v>0.5</v>
      </c>
      <c r="O73" s="481">
        <f t="shared" si="55"/>
        <v>0.6202734927111242</v>
      </c>
      <c r="P73" s="489">
        <f t="shared" si="56"/>
        <v>75.243415086594226</v>
      </c>
      <c r="Q73" s="490">
        <f t="shared" si="57"/>
        <v>45.055937177601336</v>
      </c>
      <c r="R73" s="491">
        <f t="shared" si="58"/>
        <v>261.71052631578948</v>
      </c>
      <c r="S73" s="500">
        <f t="shared" si="59"/>
        <v>11791.613032401192</v>
      </c>
      <c r="T73" s="489">
        <f t="shared" si="60"/>
        <v>3.7609199233272266</v>
      </c>
      <c r="U73" s="493">
        <f t="shared" si="61"/>
        <v>154.50490219883392</v>
      </c>
      <c r="V73" s="500">
        <f t="shared" si="62"/>
        <v>581.08056493131915</v>
      </c>
      <c r="W73" s="489">
        <f t="shared" si="63"/>
        <v>2.4954961775402755</v>
      </c>
      <c r="X73" s="493">
        <f t="shared" si="64"/>
        <v>37.9060089869281</v>
      </c>
      <c r="Y73" s="763">
        <f t="shared" si="65"/>
        <v>94.594300532686404</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12373.64506844752</v>
      </c>
      <c r="I74" s="487">
        <f>ITECountywide!$B$9*E74</f>
        <v>18.383878402035741</v>
      </c>
      <c r="J74" s="495">
        <f t="shared" si="53"/>
        <v>1.67</v>
      </c>
      <c r="K74" s="372">
        <f t="shared" si="54"/>
        <v>0.85824475890316576</v>
      </c>
      <c r="L74" s="488">
        <f>Passby_Length_Adj!H69</f>
        <v>1.2405469854222484</v>
      </c>
      <c r="M74" s="488">
        <f>Passby_Length_Adj!J69</f>
        <v>1</v>
      </c>
      <c r="N74" s="372">
        <v>0.5</v>
      </c>
      <c r="O74" s="481">
        <f t="shared" si="55"/>
        <v>0.6202734927111242</v>
      </c>
      <c r="P74" s="489">
        <f t="shared" si="56"/>
        <v>74.678255579452028</v>
      </c>
      <c r="Q74" s="490">
        <f t="shared" si="57"/>
        <v>44.717518311049119</v>
      </c>
      <c r="R74" s="491">
        <f t="shared" si="58"/>
        <v>261.71052631578948</v>
      </c>
      <c r="S74" s="500">
        <f t="shared" si="59"/>
        <v>11703.045252720618</v>
      </c>
      <c r="T74" s="489">
        <f t="shared" si="60"/>
        <v>3.7326713430651162</v>
      </c>
      <c r="U74" s="493">
        <f t="shared" si="61"/>
        <v>154.50490219883392</v>
      </c>
      <c r="V74" s="500">
        <f t="shared" si="62"/>
        <v>576.71602080066577</v>
      </c>
      <c r="W74" s="489">
        <f t="shared" si="63"/>
        <v>2.4767522995789841</v>
      </c>
      <c r="X74" s="493">
        <f t="shared" si="64"/>
        <v>37.9060089869281</v>
      </c>
      <c r="Y74" s="763">
        <f t="shared" si="65"/>
        <v>93.883794926235808</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12299.378002264122</v>
      </c>
      <c r="I75" s="487">
        <f>ITECountywide!$B$9*E75</f>
        <v>18.273537697543336</v>
      </c>
      <c r="J75" s="495">
        <f t="shared" si="53"/>
        <v>1.67</v>
      </c>
      <c r="K75" s="372">
        <f t="shared" si="54"/>
        <v>0.85824475890316576</v>
      </c>
      <c r="L75" s="488">
        <f>Passby_Length_Adj!H70</f>
        <v>1.2405469854222484</v>
      </c>
      <c r="M75" s="488">
        <f>Passby_Length_Adj!J70</f>
        <v>1</v>
      </c>
      <c r="N75" s="372">
        <v>0.5</v>
      </c>
      <c r="O75" s="481">
        <f t="shared" si="55"/>
        <v>0.6202734927111242</v>
      </c>
      <c r="P75" s="489">
        <f t="shared" si="56"/>
        <v>74.230033982751934</v>
      </c>
      <c r="Q75" s="490">
        <f t="shared" si="57"/>
        <v>44.449122145360441</v>
      </c>
      <c r="R75" s="491">
        <f t="shared" si="58"/>
        <v>261.71052631578948</v>
      </c>
      <c r="S75" s="500">
        <f t="shared" si="59"/>
        <v>11632.803150937094</v>
      </c>
      <c r="T75" s="489">
        <f t="shared" si="60"/>
        <v>3.7102677143734253</v>
      </c>
      <c r="U75" s="493">
        <f t="shared" si="61"/>
        <v>154.50490219883392</v>
      </c>
      <c r="V75" s="500">
        <f t="shared" si="62"/>
        <v>573.25455034075708</v>
      </c>
      <c r="W75" s="489">
        <f t="shared" si="63"/>
        <v>2.4618867425070627</v>
      </c>
      <c r="X75" s="493">
        <f t="shared" si="64"/>
        <v>37.9060089869281</v>
      </c>
      <c r="Y75" s="763">
        <f t="shared" si="65"/>
        <v>93.32030098627186</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12237.892362341981</v>
      </c>
      <c r="I76" s="487">
        <f>ITECountywide!$B$9*E76</f>
        <v>18.182186723634896</v>
      </c>
      <c r="J76" s="495">
        <f t="shared" si="53"/>
        <v>1.67</v>
      </c>
      <c r="K76" s="372">
        <f t="shared" si="54"/>
        <v>0.85824475890316576</v>
      </c>
      <c r="L76" s="488">
        <f>Passby_Length_Adj!H71</f>
        <v>1.2405469854222484</v>
      </c>
      <c r="M76" s="488">
        <f>Passby_Length_Adj!J71</f>
        <v>1</v>
      </c>
      <c r="N76" s="372">
        <v>0.5</v>
      </c>
      <c r="O76" s="481">
        <f t="shared" si="55"/>
        <v>0.6202734927111242</v>
      </c>
      <c r="P76" s="489">
        <f t="shared" si="56"/>
        <v>73.858951710133624</v>
      </c>
      <c r="Q76" s="490">
        <f t="shared" si="57"/>
        <v>44.226917191696785</v>
      </c>
      <c r="R76" s="491">
        <f t="shared" si="58"/>
        <v>261.71052631578948</v>
      </c>
      <c r="S76" s="500">
        <f t="shared" si="59"/>
        <v>11574.649775563803</v>
      </c>
      <c r="T76" s="489">
        <f t="shared" si="60"/>
        <v>3.6917197695376194</v>
      </c>
      <c r="U76" s="493">
        <f t="shared" si="61"/>
        <v>154.50490219883392</v>
      </c>
      <c r="V76" s="500">
        <f t="shared" si="62"/>
        <v>570.38880193791158</v>
      </c>
      <c r="W76" s="489">
        <f t="shared" si="63"/>
        <v>2.4495795606519297</v>
      </c>
      <c r="X76" s="493">
        <f t="shared" si="64"/>
        <v>37.9060089869281</v>
      </c>
      <c r="Y76" s="763">
        <f t="shared" si="65"/>
        <v>92.853784840267437</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6">+S77+V77+Y77</f>
        <v>12161.897255820822</v>
      </c>
      <c r="I77" s="487">
        <f>ITECountywide!$B$9*E77</f>
        <v>18.069278620185472</v>
      </c>
      <c r="J77" s="495">
        <f t="shared" si="53"/>
        <v>1.67</v>
      </c>
      <c r="K77" s="372">
        <f t="shared" si="54"/>
        <v>0.85824475890316576</v>
      </c>
      <c r="L77" s="488">
        <f>Passby_Length_Adj!H72</f>
        <v>1.2405469854222484</v>
      </c>
      <c r="M77" s="488">
        <f>Passby_Length_Adj!J72</f>
        <v>1</v>
      </c>
      <c r="N77" s="372">
        <v>0.5</v>
      </c>
      <c r="O77" s="481">
        <f t="shared" si="55"/>
        <v>0.6202734927111242</v>
      </c>
      <c r="P77" s="489">
        <f t="shared" si="56"/>
        <v>73.400300928073747</v>
      </c>
      <c r="Q77" s="490">
        <f t="shared" si="57"/>
        <v>43.95227600483458</v>
      </c>
      <c r="R77" s="491">
        <f t="shared" si="58"/>
        <v>261.71052631578948</v>
      </c>
      <c r="S77" s="500">
        <f t="shared" si="59"/>
        <v>11502.773286002102</v>
      </c>
      <c r="T77" s="489">
        <f t="shared" si="60"/>
        <v>3.6687948549505633</v>
      </c>
      <c r="U77" s="493">
        <f t="shared" si="61"/>
        <v>154.50490219883392</v>
      </c>
      <c r="V77" s="500">
        <f t="shared" si="62"/>
        <v>566.84679025172181</v>
      </c>
      <c r="W77" s="489">
        <f t="shared" si="63"/>
        <v>2.4343681129506383</v>
      </c>
      <c r="X77" s="493">
        <f t="shared" si="64"/>
        <v>37.9060089869281</v>
      </c>
      <c r="Y77" s="763">
        <f t="shared" si="65"/>
        <v>92.2771795669981</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6"/>
        <v>19751.708782047601</v>
      </c>
      <c r="I78" s="487">
        <f>ITECountywide!$B$9*E78</f>
        <v>29.345678696370033</v>
      </c>
      <c r="J78" s="495">
        <f t="shared" si="53"/>
        <v>1.67</v>
      </c>
      <c r="K78" s="372">
        <f t="shared" si="54"/>
        <v>0.85824475890316576</v>
      </c>
      <c r="L78" s="488">
        <f>Passby_Length_Adj!H73</f>
        <v>1.2405469854222484</v>
      </c>
      <c r="M78" s="488">
        <f>Passby_Length_Adj!J73</f>
        <v>1</v>
      </c>
      <c r="N78" s="372">
        <v>0.5</v>
      </c>
      <c r="O78" s="481">
        <f t="shared" si="55"/>
        <v>0.6202734927111242</v>
      </c>
      <c r="P78" s="489">
        <f t="shared" si="56"/>
        <v>119.20684231665325</v>
      </c>
      <c r="Q78" s="490">
        <f t="shared" si="57"/>
        <v>71.381342704582792</v>
      </c>
      <c r="R78" s="491">
        <f t="shared" si="58"/>
        <v>261.71052631578948</v>
      </c>
      <c r="S78" s="500">
        <f t="shared" si="59"/>
        <v>18681.248768344103</v>
      </c>
      <c r="T78" s="489">
        <f t="shared" si="60"/>
        <v>5.9583604458897659</v>
      </c>
      <c r="U78" s="493">
        <f t="shared" si="61"/>
        <v>154.50490219883392</v>
      </c>
      <c r="V78" s="500">
        <f t="shared" si="62"/>
        <v>920.59589795759871</v>
      </c>
      <c r="W78" s="489">
        <f t="shared" si="63"/>
        <v>3.9535714719420709</v>
      </c>
      <c r="X78" s="493">
        <f t="shared" si="64"/>
        <v>37.9060089869281</v>
      </c>
      <c r="Y78" s="763">
        <f t="shared" si="65"/>
        <v>149.86411574589869</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6"/>
        <v>9698.9552079850782</v>
      </c>
      <c r="I79" s="487">
        <f>ITECountywide!$B$9*E79</f>
        <v>14.410015172090286</v>
      </c>
      <c r="J79" s="495">
        <f t="shared" si="53"/>
        <v>1.67</v>
      </c>
      <c r="K79" s="372">
        <f t="shared" si="54"/>
        <v>0.85824475890316576</v>
      </c>
      <c r="L79" s="488">
        <f>Passby_Length_Adj!H74</f>
        <v>1.2405469854222484</v>
      </c>
      <c r="M79" s="488">
        <f>Passby_Length_Adj!J74</f>
        <v>1</v>
      </c>
      <c r="N79" s="372">
        <v>0.5</v>
      </c>
      <c r="O79" s="481">
        <f t="shared" si="55"/>
        <v>0.6202734927111242</v>
      </c>
      <c r="P79" s="489">
        <f t="shared" si="56"/>
        <v>58.535787301877292</v>
      </c>
      <c r="Q79" s="490">
        <f t="shared" si="57"/>
        <v>35.05136964184269</v>
      </c>
      <c r="R79" s="491">
        <f t="shared" si="58"/>
        <v>261.71052631578948</v>
      </c>
      <c r="S79" s="500">
        <f t="shared" si="59"/>
        <v>9173.3123970559354</v>
      </c>
      <c r="T79" s="489">
        <f t="shared" si="60"/>
        <v>2.9258162782472907</v>
      </c>
      <c r="U79" s="493">
        <f t="shared" si="61"/>
        <v>154.50490219883392</v>
      </c>
      <c r="V79" s="500">
        <f t="shared" si="62"/>
        <v>452.05295792235393</v>
      </c>
      <c r="W79" s="489">
        <f t="shared" si="63"/>
        <v>1.9413769735601893</v>
      </c>
      <c r="X79" s="493">
        <f t="shared" si="64"/>
        <v>37.9060089869281</v>
      </c>
      <c r="Y79" s="763">
        <f t="shared" si="65"/>
        <v>73.58985300678782</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6"/>
        <v>13724.936615073218</v>
      </c>
      <c r="I80" s="487">
        <f>ITECountywide!$B$9*E80</f>
        <v>20.391530903901348</v>
      </c>
      <c r="J80" s="495">
        <f t="shared" si="53"/>
        <v>1.67</v>
      </c>
      <c r="K80" s="372">
        <f t="shared" si="54"/>
        <v>0.85824475890316576</v>
      </c>
      <c r="L80" s="488">
        <f>Passby_Length_Adj!H75</f>
        <v>1.2405469854222484</v>
      </c>
      <c r="M80" s="488">
        <f>Passby_Length_Adj!J75</f>
        <v>1</v>
      </c>
      <c r="N80" s="372">
        <v>0.5</v>
      </c>
      <c r="O80" s="481">
        <f t="shared" si="55"/>
        <v>0.6202734927111242</v>
      </c>
      <c r="P80" s="489">
        <f t="shared" si="56"/>
        <v>82.833661276241429</v>
      </c>
      <c r="Q80" s="490">
        <f t="shared" si="57"/>
        <v>49.600994776192472</v>
      </c>
      <c r="R80" s="491">
        <f t="shared" si="58"/>
        <v>261.71052631578948</v>
      </c>
      <c r="S80" s="500">
        <f t="shared" si="59"/>
        <v>12981.102448664056</v>
      </c>
      <c r="T80" s="489">
        <f t="shared" si="60"/>
        <v>4.1403060541235241</v>
      </c>
      <c r="U80" s="493">
        <f t="shared" si="61"/>
        <v>154.50490219883392</v>
      </c>
      <c r="V80" s="500">
        <f t="shared" si="62"/>
        <v>639.69758196559508</v>
      </c>
      <c r="W80" s="489">
        <f t="shared" si="63"/>
        <v>2.7472315663587579</v>
      </c>
      <c r="X80" s="493">
        <f t="shared" si="64"/>
        <v>37.9060089869281</v>
      </c>
      <c r="Y80" s="763">
        <f t="shared" si="65"/>
        <v>104.13658444356764</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6"/>
        <v>28047.620586179077</v>
      </c>
      <c r="I81" s="487">
        <f>ITECountywide!$B$9*E81</f>
        <v>63.077802262734835</v>
      </c>
      <c r="J81" s="495">
        <f t="shared" si="53"/>
        <v>1.67</v>
      </c>
      <c r="K81" s="372">
        <f t="shared" si="54"/>
        <v>0.85824475890316576</v>
      </c>
      <c r="L81" s="488">
        <f>Passby_Length_Adj!H76</f>
        <v>0.892749244712991</v>
      </c>
      <c r="M81" s="488">
        <f>Passby_Length_Adj!J76</f>
        <v>0.91800000000000004</v>
      </c>
      <c r="N81" s="372">
        <v>0.5</v>
      </c>
      <c r="O81" s="481">
        <f t="shared" si="55"/>
        <v>0.40977190332326291</v>
      </c>
      <c r="P81" s="489">
        <f t="shared" si="56"/>
        <v>169.27488762961397</v>
      </c>
      <c r="Q81" s="490">
        <f t="shared" si="57"/>
        <v>101.36220816144549</v>
      </c>
      <c r="R81" s="491">
        <f t="shared" si="58"/>
        <v>261.71052631578948</v>
      </c>
      <c r="S81" s="500">
        <f t="shared" si="59"/>
        <v>26527.556846462514</v>
      </c>
      <c r="T81" s="489">
        <f t="shared" si="60"/>
        <v>8.4609303906863467</v>
      </c>
      <c r="U81" s="493">
        <f t="shared" si="61"/>
        <v>154.50490219883392</v>
      </c>
      <c r="V81" s="500">
        <f t="shared" si="62"/>
        <v>1307.2552225241357</v>
      </c>
      <c r="W81" s="489">
        <f t="shared" si="63"/>
        <v>5.6141103450330077</v>
      </c>
      <c r="X81" s="493">
        <f t="shared" si="64"/>
        <v>37.9060089869281</v>
      </c>
      <c r="Y81" s="763">
        <f t="shared" si="65"/>
        <v>212.80851719242722</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6"/>
        <v>27559.672723067026</v>
      </c>
      <c r="I82" s="487">
        <f>ITECountywide!$B$9*E82</f>
        <v>40.946194055033907</v>
      </c>
      <c r="J82" s="495">
        <f t="shared" si="53"/>
        <v>1.67</v>
      </c>
      <c r="K82" s="372">
        <f t="shared" si="54"/>
        <v>0.85824475890316576</v>
      </c>
      <c r="L82" s="488">
        <f>Passby_Length_Adj!H77</f>
        <v>1.2405469854222484</v>
      </c>
      <c r="M82" s="488">
        <f>Passby_Length_Adj!J77</f>
        <v>1</v>
      </c>
      <c r="N82" s="372">
        <v>0.5</v>
      </c>
      <c r="O82" s="481">
        <f t="shared" si="55"/>
        <v>0.6202734927111242</v>
      </c>
      <c r="P82" s="489">
        <f t="shared" si="56"/>
        <v>166.32999184269281</v>
      </c>
      <c r="Q82" s="490">
        <f t="shared" si="57"/>
        <v>99.598797510594494</v>
      </c>
      <c r="R82" s="491">
        <f t="shared" si="58"/>
        <v>261.71052631578948</v>
      </c>
      <c r="S82" s="500">
        <f t="shared" si="59"/>
        <v>26066.053716917428</v>
      </c>
      <c r="T82" s="489">
        <f t="shared" si="60"/>
        <v>8.3137345566800374</v>
      </c>
      <c r="U82" s="493">
        <f t="shared" si="61"/>
        <v>154.50490219883392</v>
      </c>
      <c r="V82" s="500">
        <f t="shared" si="62"/>
        <v>1284.512744586915</v>
      </c>
      <c r="W82" s="489">
        <f t="shared" si="63"/>
        <v>5.5164409852483853</v>
      </c>
      <c r="X82" s="493">
        <f t="shared" si="64"/>
        <v>37.9060089869281</v>
      </c>
      <c r="Y82" s="763">
        <f t="shared" si="65"/>
        <v>209.10626156268378</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6"/>
        <v>6752.0494891084963</v>
      </c>
      <c r="I83" s="487">
        <f>ITECountywide!$B$9*E83</f>
        <v>20.319027682909702</v>
      </c>
      <c r="J83" s="495">
        <f t="shared" si="53"/>
        <v>1.67</v>
      </c>
      <c r="K83" s="372">
        <f t="shared" si="54"/>
        <v>0.85824475890316576</v>
      </c>
      <c r="L83" s="488">
        <f>Passby_Length_Adj!H78</f>
        <v>0.61247081225203326</v>
      </c>
      <c r="M83" s="488">
        <f>Passby_Length_Adj!J78</f>
        <v>1</v>
      </c>
      <c r="N83" s="372">
        <v>0.5</v>
      </c>
      <c r="O83" s="481">
        <f t="shared" si="55"/>
        <v>0.30623540612601663</v>
      </c>
      <c r="P83" s="489">
        <f t="shared" si="56"/>
        <v>40.750423552921333</v>
      </c>
      <c r="Q83" s="490">
        <f t="shared" si="57"/>
        <v>24.401451229294214</v>
      </c>
      <c r="R83" s="491">
        <f t="shared" si="58"/>
        <v>261.71052631578948</v>
      </c>
      <c r="S83" s="500">
        <f t="shared" si="59"/>
        <v>6386.1166440876568</v>
      </c>
      <c r="T83" s="489">
        <f t="shared" si="60"/>
        <v>2.0368437510156334</v>
      </c>
      <c r="U83" s="493">
        <f t="shared" si="61"/>
        <v>154.50490219883392</v>
      </c>
      <c r="V83" s="500">
        <f t="shared" si="62"/>
        <v>314.70234454497648</v>
      </c>
      <c r="W83" s="489">
        <f t="shared" si="63"/>
        <v>1.3515139642775265</v>
      </c>
      <c r="X83" s="493">
        <f t="shared" si="64"/>
        <v>37.9060089869281</v>
      </c>
      <c r="Y83" s="763">
        <f t="shared" si="65"/>
        <v>51.23050047586274</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6"/>
        <v>41455.408549350053</v>
      </c>
      <c r="I84" s="487">
        <f>ITECountywide!$B$9*E84</f>
        <v>61.591486232406027</v>
      </c>
      <c r="J84" s="495">
        <f t="shared" si="53"/>
        <v>1.67</v>
      </c>
      <c r="K84" s="372">
        <f t="shared" si="54"/>
        <v>0.85824475890316576</v>
      </c>
      <c r="L84" s="488">
        <f>Passby_Length_Adj!H79</f>
        <v>1.2405469854222484</v>
      </c>
      <c r="M84" s="488">
        <f>Passby_Length_Adj!J79</f>
        <v>1</v>
      </c>
      <c r="N84" s="372">
        <v>0.5</v>
      </c>
      <c r="O84" s="481">
        <f t="shared" si="55"/>
        <v>0.6202734927111242</v>
      </c>
      <c r="P84" s="489">
        <f t="shared" si="56"/>
        <v>250.19447201481637</v>
      </c>
      <c r="Q84" s="490">
        <f t="shared" si="57"/>
        <v>149.81704911066848</v>
      </c>
      <c r="R84" s="491">
        <f t="shared" si="58"/>
        <v>261.71052631578948</v>
      </c>
      <c r="S84" s="500">
        <f t="shared" si="59"/>
        <v>39208.698773831529</v>
      </c>
      <c r="T84" s="489">
        <f t="shared" si="60"/>
        <v>12.505564419477098</v>
      </c>
      <c r="U84" s="493">
        <f t="shared" si="61"/>
        <v>154.50490219883392</v>
      </c>
      <c r="V84" s="500">
        <f t="shared" si="62"/>
        <v>1932.1710075725264</v>
      </c>
      <c r="W84" s="489">
        <f t="shared" si="63"/>
        <v>8.2978603222107203</v>
      </c>
      <c r="X84" s="493">
        <f t="shared" si="64"/>
        <v>37.9060089869281</v>
      </c>
      <c r="Y84" s="763">
        <f t="shared" si="65"/>
        <v>314.53876794599364</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6"/>
        <v>13505.337629232048</v>
      </c>
      <c r="I85" s="487">
        <f>ITECountywide!$B$9*E85</f>
        <v>20.065266409438927</v>
      </c>
      <c r="J85" s="495">
        <f t="shared" si="53"/>
        <v>1.67</v>
      </c>
      <c r="K85" s="372">
        <f t="shared" si="54"/>
        <v>0.85824475890316576</v>
      </c>
      <c r="L85" s="488">
        <f>Passby_Length_Adj!H80</f>
        <v>1.2405469854222484</v>
      </c>
      <c r="M85" s="488">
        <f>Passby_Length_Adj!J80</f>
        <v>1</v>
      </c>
      <c r="N85" s="372">
        <v>0.5</v>
      </c>
      <c r="O85" s="481">
        <f t="shared" si="55"/>
        <v>0.6202734927111242</v>
      </c>
      <c r="P85" s="489">
        <f t="shared" si="56"/>
        <v>81.508322695821576</v>
      </c>
      <c r="Q85" s="490">
        <f t="shared" si="57"/>
        <v>48.807378859773401</v>
      </c>
      <c r="R85" s="491">
        <f t="shared" si="58"/>
        <v>261.71052631578948</v>
      </c>
      <c r="S85" s="500">
        <f t="shared" si="59"/>
        <v>12773.404809485433</v>
      </c>
      <c r="T85" s="489">
        <f t="shared" si="60"/>
        <v>4.0740611572575478</v>
      </c>
      <c r="U85" s="493">
        <f t="shared" si="61"/>
        <v>154.50490219883392</v>
      </c>
      <c r="V85" s="500">
        <f t="shared" si="62"/>
        <v>629.4624206541456</v>
      </c>
      <c r="W85" s="489">
        <f t="shared" si="63"/>
        <v>2.7032758612970178</v>
      </c>
      <c r="X85" s="493">
        <f t="shared" si="64"/>
        <v>37.9060089869281</v>
      </c>
      <c r="Y85" s="763">
        <f t="shared" si="65"/>
        <v>102.47039909247056</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6"/>
        <v>13737.136558731065</v>
      </c>
      <c r="I86" s="487">
        <f>ITECountywide!$B$9*E86</f>
        <v>20.40965670914926</v>
      </c>
      <c r="J86" s="495">
        <f t="shared" si="53"/>
        <v>1.67</v>
      </c>
      <c r="K86" s="372">
        <f t="shared" si="54"/>
        <v>0.85824475890316576</v>
      </c>
      <c r="L86" s="488">
        <f>Passby_Length_Adj!H81</f>
        <v>1.2405469854222484</v>
      </c>
      <c r="M86" s="488">
        <f>Passby_Length_Adj!J81</f>
        <v>1</v>
      </c>
      <c r="N86" s="372">
        <v>0.5</v>
      </c>
      <c r="O86" s="481">
        <f t="shared" si="55"/>
        <v>0.6202734927111242</v>
      </c>
      <c r="P86" s="489">
        <f t="shared" si="56"/>
        <v>82.907291197375869</v>
      </c>
      <c r="Q86" s="490">
        <f t="shared" si="57"/>
        <v>49.645084549326867</v>
      </c>
      <c r="R86" s="491">
        <f t="shared" si="58"/>
        <v>261.71052631578948</v>
      </c>
      <c r="S86" s="500">
        <f t="shared" si="59"/>
        <v>12992.641206396203</v>
      </c>
      <c r="T86" s="489">
        <f t="shared" si="60"/>
        <v>4.1439863261716336</v>
      </c>
      <c r="U86" s="493">
        <f t="shared" si="61"/>
        <v>154.50490219883392</v>
      </c>
      <c r="V86" s="500">
        <f t="shared" si="62"/>
        <v>640.26620203845334</v>
      </c>
      <c r="W86" s="489">
        <f t="shared" si="63"/>
        <v>2.7496735499732989</v>
      </c>
      <c r="X86" s="493">
        <f t="shared" si="64"/>
        <v>37.9060089869281</v>
      </c>
      <c r="Y86" s="763">
        <f t="shared" si="65"/>
        <v>104.22915029640636</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6"/>
        <v>15176.72991035652</v>
      </c>
      <c r="I87" s="487">
        <f>ITECountywide!$B$9*E87</f>
        <v>22.548501728402911</v>
      </c>
      <c r="J87" s="495">
        <f t="shared" si="53"/>
        <v>1.67</v>
      </c>
      <c r="K87" s="372">
        <f t="shared" si="54"/>
        <v>0.85824475890316576</v>
      </c>
      <c r="L87" s="488">
        <f>Passby_Length_Adj!H82</f>
        <v>1.2405469854222484</v>
      </c>
      <c r="M87" s="488">
        <f>Passby_Length_Adj!J82</f>
        <v>1</v>
      </c>
      <c r="N87" s="372">
        <v>0.5</v>
      </c>
      <c r="O87" s="481">
        <f t="shared" si="55"/>
        <v>0.6202734927111242</v>
      </c>
      <c r="P87" s="489">
        <f t="shared" si="56"/>
        <v>91.595621891239404</v>
      </c>
      <c r="Q87" s="490">
        <f t="shared" si="57"/>
        <v>54.847677779185275</v>
      </c>
      <c r="R87" s="491">
        <f t="shared" si="58"/>
        <v>261.71052631578948</v>
      </c>
      <c r="S87" s="500">
        <f t="shared" si="59"/>
        <v>14354.21461878941</v>
      </c>
      <c r="T87" s="489">
        <f t="shared" si="60"/>
        <v>4.5782584278485894</v>
      </c>
      <c r="U87" s="493">
        <f t="shared" si="61"/>
        <v>154.50490219883392</v>
      </c>
      <c r="V87" s="500">
        <f t="shared" si="62"/>
        <v>707.36337063573342</v>
      </c>
      <c r="W87" s="489">
        <f t="shared" si="63"/>
        <v>3.0378276164891509</v>
      </c>
      <c r="X87" s="493">
        <f t="shared" si="64"/>
        <v>37.9060089869281</v>
      </c>
      <c r="Y87" s="763">
        <f t="shared" si="65"/>
        <v>115.15192093137613</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6"/>
        <v>15533.542968135054</v>
      </c>
      <c r="I89" s="487">
        <f>ITECountywide!$B$9*E89</f>
        <v>32.717078472481724</v>
      </c>
      <c r="J89" s="495">
        <f t="shared" ref="J89:J126" si="67">IF(F89="Prod",$M$3,$M$4)</f>
        <v>1.67</v>
      </c>
      <c r="K89" s="372">
        <f t="shared" ref="K89:K126" si="68">IF(F89="Prod",$F$4,$F$5)</f>
        <v>0.85824475890316576</v>
      </c>
      <c r="L89" s="488">
        <f>Passby_Length_Adj!H84</f>
        <v>0.87508191706880245</v>
      </c>
      <c r="M89" s="488">
        <f>Passby_Length_Adj!J84</f>
        <v>1</v>
      </c>
      <c r="N89" s="372">
        <v>0.5</v>
      </c>
      <c r="O89" s="481">
        <f t="shared" ref="O89:O126" si="69">L89*M89*N89</f>
        <v>0.43754095853440123</v>
      </c>
      <c r="P89" s="489">
        <f t="shared" ref="P89:P126" si="70">IF($F89="Prod",$I89*$O89*$F$4*$F$6,$I89*O89*$F$5*$F$7)</f>
        <v>93.749084074409524</v>
      </c>
      <c r="Q89" s="490">
        <f t="shared" ref="Q89:Q126" si="71">+P89/J89</f>
        <v>56.137176092460798</v>
      </c>
      <c r="R89" s="491">
        <f t="shared" ref="R89:R126" si="72">+$Q$4</f>
        <v>261.71052631578948</v>
      </c>
      <c r="S89" s="500">
        <f t="shared" ref="S89:S126" si="73">+Q89*R89</f>
        <v>14691.68990104007</v>
      </c>
      <c r="T89" s="489">
        <f t="shared" ref="T89:T126" si="74">IF($F89="Prod",$I89*$O89*$G$4*$G$6,$I89*$O89*$G$5*$G$7)</f>
        <v>4.6858957382962272</v>
      </c>
      <c r="U89" s="493">
        <f t="shared" ref="U89:U126" si="75">+$R$4</f>
        <v>154.50490219883392</v>
      </c>
      <c r="V89" s="500">
        <f t="shared" ref="V89:V126" si="76">+T89*U89</f>
        <v>723.99386275939128</v>
      </c>
      <c r="W89" s="489">
        <f t="shared" ref="W89:W126" si="77">IF($F89="Prod",$I89*$O89*$J$4*$J$6,$I89*$O89*$J$5*$J$7)</f>
        <v>3.1092485726006442</v>
      </c>
      <c r="X89" s="493">
        <f t="shared" ref="X89:X126" si="78">$S$4</f>
        <v>37.9060089869281</v>
      </c>
      <c r="Y89" s="763">
        <f t="shared" ref="Y89:Y126" si="79">+W89*X89</f>
        <v>117.85920433559339</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6"/>
        <v>42853.061290307713</v>
      </c>
      <c r="I90" s="487">
        <f>ITECountywide!$B$9*E90</f>
        <v>91.897832606915415</v>
      </c>
      <c r="J90" s="495">
        <f t="shared" si="67"/>
        <v>1.67</v>
      </c>
      <c r="K90" s="372">
        <f t="shared" si="68"/>
        <v>0.85824475890316576</v>
      </c>
      <c r="L90" s="488">
        <f>Passby_Length_Adj!H85</f>
        <v>0.8594671567024027</v>
      </c>
      <c r="M90" s="488">
        <f>Passby_Length_Adj!J85</f>
        <v>1</v>
      </c>
      <c r="N90" s="372">
        <v>0.5</v>
      </c>
      <c r="O90" s="481">
        <f t="shared" si="69"/>
        <v>0.42973357835120135</v>
      </c>
      <c r="P90" s="489">
        <f t="shared" si="70"/>
        <v>258.62967991218119</v>
      </c>
      <c r="Q90" s="490">
        <f t="shared" si="71"/>
        <v>154.86807180370133</v>
      </c>
      <c r="R90" s="491">
        <f t="shared" si="72"/>
        <v>261.71052631578948</v>
      </c>
      <c r="S90" s="500">
        <f t="shared" si="73"/>
        <v>40530.604581258151</v>
      </c>
      <c r="T90" s="489">
        <f t="shared" si="74"/>
        <v>12.927184589190245</v>
      </c>
      <c r="U90" s="493">
        <f t="shared" si="75"/>
        <v>154.50490219883392</v>
      </c>
      <c r="V90" s="500">
        <f t="shared" si="76"/>
        <v>1997.313390659112</v>
      </c>
      <c r="W90" s="489">
        <f t="shared" si="77"/>
        <v>8.577619408642482</v>
      </c>
      <c r="X90" s="493">
        <f t="shared" si="78"/>
        <v>37.9060089869281</v>
      </c>
      <c r="Y90" s="763">
        <f t="shared" si="79"/>
        <v>325.14331839045082</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6"/>
        <v>7725.3842247221428</v>
      </c>
      <c r="I91" s="487">
        <f>ITECountywide!$B$9*E91</f>
        <v>16.566985996591853</v>
      </c>
      <c r="J91" s="495">
        <f t="shared" si="67"/>
        <v>1.67</v>
      </c>
      <c r="K91" s="372">
        <f t="shared" si="68"/>
        <v>0.85824475890316576</v>
      </c>
      <c r="L91" s="488">
        <f>Passby_Length_Adj!H86</f>
        <v>0.8594671567024027</v>
      </c>
      <c r="M91" s="488">
        <f>Passby_Length_Adj!J86</f>
        <v>1</v>
      </c>
      <c r="N91" s="372">
        <v>0.5</v>
      </c>
      <c r="O91" s="481">
        <f t="shared" si="69"/>
        <v>0.42973357835120135</v>
      </c>
      <c r="P91" s="489">
        <f t="shared" si="70"/>
        <v>46.624758863852797</v>
      </c>
      <c r="Q91" s="490">
        <f t="shared" si="71"/>
        <v>27.919017283744193</v>
      </c>
      <c r="R91" s="491">
        <f t="shared" si="72"/>
        <v>261.71052631578948</v>
      </c>
      <c r="S91" s="500">
        <f t="shared" si="73"/>
        <v>7306.7007075483161</v>
      </c>
      <c r="T91" s="489">
        <f t="shared" si="74"/>
        <v>2.3304628628244353</v>
      </c>
      <c r="U91" s="493">
        <f t="shared" si="75"/>
        <v>154.50490219883392</v>
      </c>
      <c r="V91" s="500">
        <f t="shared" si="76"/>
        <v>360.06793669870387</v>
      </c>
      <c r="W91" s="489">
        <f t="shared" si="77"/>
        <v>1.5463400669623728</v>
      </c>
      <c r="X91" s="493">
        <f t="shared" si="78"/>
        <v>37.9060089869281</v>
      </c>
      <c r="Y91" s="763">
        <f t="shared" si="79"/>
        <v>58.615580475122705</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6"/>
        <v>57560.029070413329</v>
      </c>
      <c r="I92" s="710">
        <f>ITECountywide!$B$9*E92</f>
        <v>123.43673373828283</v>
      </c>
      <c r="J92" s="711">
        <f t="shared" si="67"/>
        <v>1.67</v>
      </c>
      <c r="K92" s="712">
        <f t="shared" si="68"/>
        <v>0.85824475890316576</v>
      </c>
      <c r="L92" s="713">
        <f>Passby_Length_Adj!H87</f>
        <v>0.8594671567024027</v>
      </c>
      <c r="M92" s="713">
        <f>Passby_Length_Adj!J87</f>
        <v>1</v>
      </c>
      <c r="N92" s="712">
        <v>0.5</v>
      </c>
      <c r="O92" s="714">
        <f t="shared" si="69"/>
        <v>0.42973357835120135</v>
      </c>
      <c r="P92" s="715">
        <f t="shared" si="70"/>
        <v>347.39016177553339</v>
      </c>
      <c r="Q92" s="716">
        <f t="shared" si="71"/>
        <v>208.01806094343317</v>
      </c>
      <c r="R92" s="717">
        <f t="shared" si="72"/>
        <v>261.71052631578948</v>
      </c>
      <c r="S92" s="721">
        <f t="shared" si="73"/>
        <v>54440.516212695868</v>
      </c>
      <c r="T92" s="715">
        <f t="shared" si="74"/>
        <v>17.363733146427133</v>
      </c>
      <c r="U92" s="719">
        <f t="shared" si="75"/>
        <v>154.50490219883392</v>
      </c>
      <c r="V92" s="721">
        <f t="shared" si="76"/>
        <v>2682.7818915953749</v>
      </c>
      <c r="W92" s="715">
        <f t="shared" si="77"/>
        <v>11.521417785573039</v>
      </c>
      <c r="X92" s="719">
        <f t="shared" si="78"/>
        <v>37.9060089869281</v>
      </c>
      <c r="Y92" s="764">
        <f t="shared" si="79"/>
        <v>436.73096612208485</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6"/>
        <v>18634.874302174205</v>
      </c>
      <c r="I94" s="693">
        <f>ITECountywide!$B$9*E94</f>
        <v>284.21511603055654</v>
      </c>
      <c r="J94" s="694">
        <f t="shared" si="67"/>
        <v>1.67</v>
      </c>
      <c r="K94" s="695">
        <f t="shared" si="68"/>
        <v>0.85824475890316576</v>
      </c>
      <c r="L94" s="696">
        <f>Passby_Length_Adj!H89</f>
        <v>0.30211480362537763</v>
      </c>
      <c r="M94" s="696">
        <f>Passby_Length_Adj!J89</f>
        <v>0.4</v>
      </c>
      <c r="N94" s="695">
        <v>0.5</v>
      </c>
      <c r="O94" s="697">
        <f t="shared" si="69"/>
        <v>6.0422960725075525E-2</v>
      </c>
      <c r="P94" s="698">
        <f t="shared" si="70"/>
        <v>112.46644769028677</v>
      </c>
      <c r="Q94" s="699">
        <f t="shared" si="71"/>
        <v>67.345178257656755</v>
      </c>
      <c r="R94" s="700">
        <f t="shared" si="72"/>
        <v>261.71052631578948</v>
      </c>
      <c r="S94" s="704">
        <f t="shared" si="73"/>
        <v>17624.942046642012</v>
      </c>
      <c r="T94" s="698">
        <f t="shared" si="74"/>
        <v>5.6214527655005222</v>
      </c>
      <c r="U94" s="702">
        <f t="shared" si="75"/>
        <v>154.50490219883392</v>
      </c>
      <c r="V94" s="704">
        <f t="shared" si="76"/>
        <v>868.54200974902267</v>
      </c>
      <c r="W94" s="698">
        <f t="shared" si="77"/>
        <v>3.7300219559365511</v>
      </c>
      <c r="X94" s="702">
        <f t="shared" si="78"/>
        <v>37.9060089869281</v>
      </c>
      <c r="Y94" s="765">
        <f t="shared" si="79"/>
        <v>141.39024578317003</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6"/>
        <v>15098.225965492606</v>
      </c>
      <c r="I95" s="487">
        <f>ITECountywide!$B$9*E95</f>
        <v>160.19124330117839</v>
      </c>
      <c r="J95" s="495">
        <f t="shared" si="67"/>
        <v>1.67</v>
      </c>
      <c r="K95" s="372">
        <f t="shared" si="68"/>
        <v>0.85824475890316576</v>
      </c>
      <c r="L95" s="488">
        <f>Passby_Length_Adj!H90</f>
        <v>0.34743202416918428</v>
      </c>
      <c r="M95" s="488">
        <f>Passby_Length_Adj!J90</f>
        <v>0.5</v>
      </c>
      <c r="N95" s="372">
        <v>0.5</v>
      </c>
      <c r="O95" s="481">
        <f t="shared" si="69"/>
        <v>8.6858006042296071E-2</v>
      </c>
      <c r="P95" s="489">
        <f t="shared" si="70"/>
        <v>91.121829599144988</v>
      </c>
      <c r="Q95" s="490">
        <f t="shared" si="71"/>
        <v>54.563969819847301</v>
      </c>
      <c r="R95" s="491">
        <f t="shared" si="72"/>
        <v>261.71052631578948</v>
      </c>
      <c r="S95" s="500">
        <f t="shared" si="73"/>
        <v>14279.96525943109</v>
      </c>
      <c r="T95" s="489">
        <f t="shared" si="74"/>
        <v>4.554576689469144</v>
      </c>
      <c r="U95" s="493">
        <f t="shared" si="75"/>
        <v>154.50490219883392</v>
      </c>
      <c r="V95" s="500">
        <f t="shared" si="76"/>
        <v>703.70442596351882</v>
      </c>
      <c r="W95" s="489">
        <f t="shared" si="77"/>
        <v>3.0221139908847174</v>
      </c>
      <c r="X95" s="493">
        <f t="shared" si="78"/>
        <v>37.9060089869281</v>
      </c>
      <c r="Y95" s="763">
        <f t="shared" si="79"/>
        <v>114.55628009799725</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66"/>
        <v>14100.99536567681</v>
      </c>
      <c r="I96" s="487">
        <f>ITECountywide!$B$9*E96</f>
        <v>119.48075804939616</v>
      </c>
      <c r="J96" s="495">
        <f t="shared" si="67"/>
        <v>1.67</v>
      </c>
      <c r="K96" s="372">
        <f t="shared" si="68"/>
        <v>0.85824475890316576</v>
      </c>
      <c r="L96" s="488">
        <f>Passby_Length_Adj!H91</f>
        <v>0.36253776435045315</v>
      </c>
      <c r="M96" s="488">
        <f>Passby_Length_Adj!J91</f>
        <v>0.6</v>
      </c>
      <c r="N96" s="372">
        <v>0.5</v>
      </c>
      <c r="O96" s="481">
        <f t="shared" si="69"/>
        <v>0.10876132930513595</v>
      </c>
      <c r="P96" s="489">
        <f t="shared" si="70"/>
        <v>85.103276360164941</v>
      </c>
      <c r="Q96" s="490">
        <f t="shared" si="71"/>
        <v>50.960045724649667</v>
      </c>
      <c r="R96" s="491">
        <f t="shared" si="72"/>
        <v>261.71052631578948</v>
      </c>
      <c r="S96" s="500">
        <f t="shared" si="73"/>
        <v>13336.780387674762</v>
      </c>
      <c r="T96" s="489">
        <f t="shared" si="74"/>
        <v>4.2537490787069832</v>
      </c>
      <c r="U96" s="493">
        <f t="shared" si="75"/>
        <v>154.50490219883392</v>
      </c>
      <c r="V96" s="500">
        <f t="shared" si="76"/>
        <v>657.22508538400234</v>
      </c>
      <c r="W96" s="489">
        <f t="shared" si="77"/>
        <v>2.822504808009215</v>
      </c>
      <c r="X96" s="493">
        <f t="shared" si="78"/>
        <v>37.9060089869281</v>
      </c>
      <c r="Y96" s="763">
        <f t="shared" si="79"/>
        <v>106.98989261804508</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6"/>
        <v>13031.322102645205</v>
      </c>
      <c r="I97" s="487">
        <f>ITECountywide!$B$9*E97</f>
        <v>93.94431278308474</v>
      </c>
      <c r="J97" s="495">
        <f t="shared" si="67"/>
        <v>1.67</v>
      </c>
      <c r="K97" s="372">
        <f t="shared" si="68"/>
        <v>0.85824475890316576</v>
      </c>
      <c r="L97" s="488">
        <f>Passby_Length_Adj!H92</f>
        <v>0.37764350453172207</v>
      </c>
      <c r="M97" s="488">
        <f>Passby_Length_Adj!J92</f>
        <v>0.67700000000000005</v>
      </c>
      <c r="N97" s="372">
        <v>0.5</v>
      </c>
      <c r="O97" s="481">
        <f t="shared" si="69"/>
        <v>0.12783232628398794</v>
      </c>
      <c r="P97" s="489">
        <f t="shared" si="70"/>
        <v>78.647512284074224</v>
      </c>
      <c r="Q97" s="490">
        <f t="shared" si="71"/>
        <v>47.094318732978579</v>
      </c>
      <c r="R97" s="491">
        <f t="shared" si="72"/>
        <v>261.71052631578948</v>
      </c>
      <c r="S97" s="500">
        <f t="shared" si="73"/>
        <v>12325.078942091368</v>
      </c>
      <c r="T97" s="489">
        <f t="shared" si="74"/>
        <v>3.9310681941920058</v>
      </c>
      <c r="U97" s="493">
        <f t="shared" si="75"/>
        <v>154.50490219883392</v>
      </c>
      <c r="V97" s="500">
        <f t="shared" si="76"/>
        <v>607.36930688058249</v>
      </c>
      <c r="W97" s="489">
        <f t="shared" si="77"/>
        <v>2.6083952469739322</v>
      </c>
      <c r="X97" s="493">
        <f t="shared" si="78"/>
        <v>37.9060089869281</v>
      </c>
      <c r="Y97" s="763">
        <f t="shared" si="79"/>
        <v>98.873853673254416</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6"/>
        <v>12123.763816158507</v>
      </c>
      <c r="I98" s="487">
        <f>ITECountywide!$B$9*E98</f>
        <v>81.278704137667205</v>
      </c>
      <c r="J98" s="495">
        <f t="shared" si="67"/>
        <v>1.67</v>
      </c>
      <c r="K98" s="372">
        <f t="shared" si="68"/>
        <v>0.85824475890316576</v>
      </c>
      <c r="L98" s="488">
        <f>Passby_Length_Adj!H93</f>
        <v>0.39274924471299094</v>
      </c>
      <c r="M98" s="488">
        <f>Passby_Length_Adj!J93</f>
        <v>0.7</v>
      </c>
      <c r="N98" s="372">
        <v>0.5</v>
      </c>
      <c r="O98" s="481">
        <f t="shared" si="69"/>
        <v>0.13746223564954682</v>
      </c>
      <c r="P98" s="489">
        <f t="shared" si="70"/>
        <v>73.170155426285632</v>
      </c>
      <c r="Q98" s="490">
        <f t="shared" si="71"/>
        <v>43.814464327117143</v>
      </c>
      <c r="R98" s="491">
        <f t="shared" si="72"/>
        <v>261.71052631578948</v>
      </c>
      <c r="S98" s="500">
        <f t="shared" si="73"/>
        <v>11466.70651929421</v>
      </c>
      <c r="T98" s="489">
        <f t="shared" si="74"/>
        <v>3.6572914057524781</v>
      </c>
      <c r="U98" s="493">
        <f t="shared" si="75"/>
        <v>154.50490219883392</v>
      </c>
      <c r="V98" s="500">
        <f t="shared" si="76"/>
        <v>565.06945095842241</v>
      </c>
      <c r="W98" s="489">
        <f t="shared" si="77"/>
        <v>2.4267351896000786</v>
      </c>
      <c r="X98" s="493">
        <f t="shared" si="78"/>
        <v>37.9060089869281</v>
      </c>
      <c r="Y98" s="763">
        <f t="shared" si="79"/>
        <v>91.987845905875247</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6"/>
        <v>11627.90214908899</v>
      </c>
      <c r="I99" s="487">
        <f>ITECountywide!$B$9*E99</f>
        <v>72.982006524219813</v>
      </c>
      <c r="J99" s="495">
        <f t="shared" si="67"/>
        <v>1.67</v>
      </c>
      <c r="K99" s="372">
        <f t="shared" si="68"/>
        <v>0.85824475890316576</v>
      </c>
      <c r="L99" s="488">
        <f>Passby_Length_Adj!H94</f>
        <v>0.40785498489425986</v>
      </c>
      <c r="M99" s="488">
        <f>Passby_Length_Adj!J94</f>
        <v>0.72</v>
      </c>
      <c r="N99" s="372">
        <v>0.5</v>
      </c>
      <c r="O99" s="481">
        <f t="shared" si="69"/>
        <v>0.14682779456193354</v>
      </c>
      <c r="P99" s="489">
        <f t="shared" si="70"/>
        <v>70.177497717047103</v>
      </c>
      <c r="Q99" s="490">
        <f t="shared" si="71"/>
        <v>42.0224537227827</v>
      </c>
      <c r="R99" s="491">
        <f t="shared" si="72"/>
        <v>261.71052631578948</v>
      </c>
      <c r="S99" s="500">
        <f t="shared" si="73"/>
        <v>10997.718480870368</v>
      </c>
      <c r="T99" s="489">
        <f t="shared" si="74"/>
        <v>3.5077082696146373</v>
      </c>
      <c r="U99" s="493">
        <f t="shared" si="75"/>
        <v>154.50490219883392</v>
      </c>
      <c r="V99" s="500">
        <f t="shared" si="76"/>
        <v>541.95812313885051</v>
      </c>
      <c r="W99" s="489">
        <f t="shared" si="77"/>
        <v>2.3274817749923491</v>
      </c>
      <c r="X99" s="493">
        <f t="shared" si="78"/>
        <v>37.9060089869281</v>
      </c>
      <c r="Y99" s="763">
        <f t="shared" si="79"/>
        <v>88.225545079771351</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6"/>
        <v>11435.854699672638</v>
      </c>
      <c r="I100" s="487">
        <f>ITECountywide!$B$9*E100</f>
        <v>67.342551831206222</v>
      </c>
      <c r="J100" s="495">
        <f t="shared" si="67"/>
        <v>1.67</v>
      </c>
      <c r="K100" s="372">
        <f t="shared" si="68"/>
        <v>0.85824475890316576</v>
      </c>
      <c r="L100" s="488">
        <f>Passby_Length_Adj!H95</f>
        <v>0.42296072507552868</v>
      </c>
      <c r="M100" s="488">
        <f>Passby_Length_Adj!J95</f>
        <v>0.74</v>
      </c>
      <c r="N100" s="372">
        <v>0.5</v>
      </c>
      <c r="O100" s="481">
        <f t="shared" si="69"/>
        <v>0.15649546827794561</v>
      </c>
      <c r="P100" s="489">
        <f t="shared" si="70"/>
        <v>69.01844002373511</v>
      </c>
      <c r="Q100" s="490">
        <f t="shared" si="71"/>
        <v>41.328407199841386</v>
      </c>
      <c r="R100" s="491">
        <f t="shared" si="72"/>
        <v>261.71052631578948</v>
      </c>
      <c r="S100" s="500">
        <f t="shared" si="73"/>
        <v>10816.079200063752</v>
      </c>
      <c r="T100" s="489">
        <f t="shared" si="74"/>
        <v>3.4497746528849071</v>
      </c>
      <c r="U100" s="493">
        <f t="shared" si="75"/>
        <v>154.50490219883392</v>
      </c>
      <c r="V100" s="500">
        <f t="shared" si="76"/>
        <v>533.00709535199883</v>
      </c>
      <c r="W100" s="489">
        <f t="shared" si="77"/>
        <v>2.2890408823257955</v>
      </c>
      <c r="X100" s="493">
        <f t="shared" si="78"/>
        <v>37.9060089869281</v>
      </c>
      <c r="Y100" s="763">
        <f t="shared" si="79"/>
        <v>86.768404256887436</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6"/>
        <v>11407.813475396179</v>
      </c>
      <c r="I101" s="487">
        <f>ITECountywide!$B$9*E101</f>
        <v>63.154094551514092</v>
      </c>
      <c r="J101" s="495">
        <f t="shared" si="67"/>
        <v>1.67</v>
      </c>
      <c r="K101" s="372">
        <f t="shared" si="68"/>
        <v>0.85824475890316576</v>
      </c>
      <c r="L101" s="488">
        <f>Passby_Length_Adj!H96</f>
        <v>0.43806646525679754</v>
      </c>
      <c r="M101" s="488">
        <f>Passby_Length_Adj!J96</f>
        <v>0.76</v>
      </c>
      <c r="N101" s="372">
        <v>0.5</v>
      </c>
      <c r="O101" s="481">
        <f t="shared" si="69"/>
        <v>0.16646525679758306</v>
      </c>
      <c r="P101" s="489">
        <f t="shared" si="70"/>
        <v>68.84920373954445</v>
      </c>
      <c r="Q101" s="490">
        <f t="shared" si="71"/>
        <v>41.227068107511649</v>
      </c>
      <c r="R101" s="491">
        <f t="shared" si="72"/>
        <v>261.71052631578948</v>
      </c>
      <c r="S101" s="500">
        <f t="shared" si="73"/>
        <v>10789.557692873772</v>
      </c>
      <c r="T101" s="489">
        <f t="shared" si="74"/>
        <v>3.4413156520244339</v>
      </c>
      <c r="U101" s="493">
        <f t="shared" si="75"/>
        <v>154.50490219883392</v>
      </c>
      <c r="V101" s="500">
        <f t="shared" si="76"/>
        <v>531.70013825135152</v>
      </c>
      <c r="W101" s="489">
        <f t="shared" si="77"/>
        <v>2.2834280522886043</v>
      </c>
      <c r="X101" s="493">
        <f t="shared" si="78"/>
        <v>37.9060089869281</v>
      </c>
      <c r="Y101" s="763">
        <f t="shared" si="79"/>
        <v>86.55564427105557</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6"/>
        <v>11212.213700512284</v>
      </c>
      <c r="I102" s="487">
        <f>ITECountywide!$B$9*E102</f>
        <v>58.463687032601783</v>
      </c>
      <c r="J102" s="495">
        <f t="shared" si="67"/>
        <v>1.67</v>
      </c>
      <c r="K102" s="372">
        <f t="shared" si="68"/>
        <v>0.85824475890316576</v>
      </c>
      <c r="L102" s="488">
        <f>Passby_Length_Adj!H97</f>
        <v>0.45317220543806647</v>
      </c>
      <c r="M102" s="488">
        <f>Passby_Length_Adj!J97</f>
        <v>0.78</v>
      </c>
      <c r="N102" s="372">
        <v>0.5</v>
      </c>
      <c r="O102" s="481">
        <f t="shared" si="69"/>
        <v>0.17673716012084592</v>
      </c>
      <c r="P102" s="489">
        <f t="shared" si="70"/>
        <v>67.668706812465913</v>
      </c>
      <c r="Q102" s="490">
        <f t="shared" si="71"/>
        <v>40.520183720039469</v>
      </c>
      <c r="R102" s="491">
        <f t="shared" si="72"/>
        <v>261.71052631578948</v>
      </c>
      <c r="S102" s="500">
        <f t="shared" si="73"/>
        <v>10604.558607784014</v>
      </c>
      <c r="T102" s="489">
        <f t="shared" si="74"/>
        <v>3.3823104300077729</v>
      </c>
      <c r="U102" s="493">
        <f t="shared" si="75"/>
        <v>154.50490219883392</v>
      </c>
      <c r="V102" s="500">
        <f t="shared" si="76"/>
        <v>522.58354219444686</v>
      </c>
      <c r="W102" s="489">
        <f t="shared" si="77"/>
        <v>2.2442761136673681</v>
      </c>
      <c r="X102" s="493">
        <f t="shared" si="78"/>
        <v>37.9060089869281</v>
      </c>
      <c r="Y102" s="763">
        <f t="shared" si="79"/>
        <v>85.071550533823327</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6"/>
        <v>11672.213046532144</v>
      </c>
      <c r="I103" s="487">
        <f>ITECountywide!$B$9*E103</f>
        <v>53.946089751997178</v>
      </c>
      <c r="J103" s="495">
        <f t="shared" si="67"/>
        <v>1.67</v>
      </c>
      <c r="K103" s="372">
        <f t="shared" si="68"/>
        <v>0.85824475890316576</v>
      </c>
      <c r="L103" s="488">
        <f>Passby_Length_Adj!H98</f>
        <v>0.49848942598187307</v>
      </c>
      <c r="M103" s="488">
        <f>Passby_Length_Adj!J98</f>
        <v>0.8</v>
      </c>
      <c r="N103" s="372">
        <v>0.5</v>
      </c>
      <c r="O103" s="481">
        <f t="shared" si="69"/>
        <v>0.19939577039274925</v>
      </c>
      <c r="P103" s="489">
        <f t="shared" si="70"/>
        <v>70.444925827834993</v>
      </c>
      <c r="Q103" s="490">
        <f t="shared" si="71"/>
        <v>42.182590316068861</v>
      </c>
      <c r="R103" s="491">
        <f t="shared" si="72"/>
        <v>261.71052631578948</v>
      </c>
      <c r="S103" s="500">
        <f t="shared" si="73"/>
        <v>11039.627912981707</v>
      </c>
      <c r="T103" s="489">
        <f t="shared" si="74"/>
        <v>3.5210752294843148</v>
      </c>
      <c r="U103" s="493">
        <f t="shared" si="75"/>
        <v>154.50490219883392</v>
      </c>
      <c r="V103" s="500">
        <f t="shared" si="76"/>
        <v>544.02338396621076</v>
      </c>
      <c r="W103" s="489">
        <f t="shared" si="77"/>
        <v>2.3363512000107374</v>
      </c>
      <c r="X103" s="493">
        <f t="shared" si="78"/>
        <v>37.9060089869281</v>
      </c>
      <c r="Y103" s="763">
        <f t="shared" si="79"/>
        <v>88.561749584227258</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6"/>
        <v>11418.923375591912</v>
      </c>
      <c r="I104" s="487">
        <f>ITECountywide!$B$9*E104</f>
        <v>50.590842791664826</v>
      </c>
      <c r="J104" s="495">
        <f t="shared" si="67"/>
        <v>1.67</v>
      </c>
      <c r="K104" s="372">
        <f t="shared" si="68"/>
        <v>0.85824475890316576</v>
      </c>
      <c r="L104" s="488">
        <f>Passby_Length_Adj!H99</f>
        <v>0.51359516616314194</v>
      </c>
      <c r="M104" s="488">
        <f>Passby_Length_Adj!J99</f>
        <v>0.81</v>
      </c>
      <c r="N104" s="372">
        <v>0.5</v>
      </c>
      <c r="O104" s="481">
        <f t="shared" si="69"/>
        <v>0.2080060422960725</v>
      </c>
      <c r="P104" s="489">
        <f t="shared" si="70"/>
        <v>68.916254957006217</v>
      </c>
      <c r="Q104" s="490">
        <f t="shared" si="71"/>
        <v>41.267218537129473</v>
      </c>
      <c r="R104" s="491">
        <f t="shared" si="72"/>
        <v>261.71052631578948</v>
      </c>
      <c r="S104" s="500">
        <f t="shared" si="73"/>
        <v>10800.065482940858</v>
      </c>
      <c r="T104" s="489">
        <f t="shared" si="74"/>
        <v>3.4446670982519216</v>
      </c>
      <c r="U104" s="493">
        <f t="shared" si="75"/>
        <v>154.50490219883392</v>
      </c>
      <c r="V104" s="500">
        <f t="shared" si="76"/>
        <v>532.21795312295421</v>
      </c>
      <c r="W104" s="489">
        <f t="shared" si="77"/>
        <v>2.2856518489714457</v>
      </c>
      <c r="X104" s="493">
        <f t="shared" si="78"/>
        <v>37.9060089869281</v>
      </c>
      <c r="Y104" s="763">
        <f t="shared" si="79"/>
        <v>86.639939528100442</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6"/>
        <v>11280.462497878043</v>
      </c>
      <c r="I105" s="487">
        <f>ITECountywide!$B$9*E105</f>
        <v>47.957407840094127</v>
      </c>
      <c r="J105" s="495">
        <f t="shared" si="67"/>
        <v>1.67</v>
      </c>
      <c r="K105" s="372">
        <f t="shared" si="68"/>
        <v>0.85824475890316576</v>
      </c>
      <c r="L105" s="488">
        <f>Passby_Length_Adj!H100</f>
        <v>0.52870090634441091</v>
      </c>
      <c r="M105" s="488">
        <f>Passby_Length_Adj!J100</f>
        <v>0.82</v>
      </c>
      <c r="N105" s="372">
        <v>0.5</v>
      </c>
      <c r="O105" s="481">
        <f t="shared" si="69"/>
        <v>0.21676737160120846</v>
      </c>
      <c r="P105" s="489">
        <f t="shared" si="70"/>
        <v>68.080606548111859</v>
      </c>
      <c r="Q105" s="490">
        <f t="shared" si="71"/>
        <v>40.766830268330459</v>
      </c>
      <c r="R105" s="491">
        <f t="shared" si="72"/>
        <v>261.71052631578948</v>
      </c>
      <c r="S105" s="500">
        <f t="shared" si="73"/>
        <v>10669.108605751222</v>
      </c>
      <c r="T105" s="489">
        <f t="shared" si="74"/>
        <v>3.4028985694538791</v>
      </c>
      <c r="U105" s="493">
        <f t="shared" si="75"/>
        <v>154.50490219883392</v>
      </c>
      <c r="V105" s="500">
        <f t="shared" si="76"/>
        <v>525.7645106660234</v>
      </c>
      <c r="W105" s="489">
        <f t="shared" si="77"/>
        <v>2.2579370328940049</v>
      </c>
      <c r="X105" s="493">
        <f t="shared" si="78"/>
        <v>37.9060089869281</v>
      </c>
      <c r="Y105" s="763">
        <f t="shared" si="79"/>
        <v>85.589381460797924</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6"/>
        <v>26149.473230280433</v>
      </c>
      <c r="I106" s="487">
        <f>ITECountywide!$B$9*E106</f>
        <v>48.196516154198832</v>
      </c>
      <c r="J106" s="495">
        <f t="shared" si="67"/>
        <v>1.67</v>
      </c>
      <c r="K106" s="372">
        <f t="shared" si="68"/>
        <v>0.85824475890316576</v>
      </c>
      <c r="L106" s="488">
        <f>Passby_Length_Adj!H101</f>
        <v>1</v>
      </c>
      <c r="M106" s="488">
        <f>Passby_Length_Adj!J101</f>
        <v>1</v>
      </c>
      <c r="N106" s="372">
        <v>0.5</v>
      </c>
      <c r="O106" s="481">
        <f t="shared" si="69"/>
        <v>0.5</v>
      </c>
      <c r="P106" s="489">
        <f t="shared" si="70"/>
        <v>157.81906094417596</v>
      </c>
      <c r="Q106" s="490">
        <f t="shared" si="71"/>
        <v>94.502431703099376</v>
      </c>
      <c r="R106" s="491">
        <f t="shared" si="72"/>
        <v>261.71052631578948</v>
      </c>
      <c r="S106" s="500">
        <f t="shared" si="73"/>
        <v>24732.281139140086</v>
      </c>
      <c r="T106" s="489">
        <f t="shared" si="74"/>
        <v>7.8883294957128296</v>
      </c>
      <c r="U106" s="493">
        <f t="shared" si="75"/>
        <v>154.50490219883392</v>
      </c>
      <c r="V106" s="500">
        <f t="shared" si="76"/>
        <v>1218.7855772472876</v>
      </c>
      <c r="W106" s="489">
        <f t="shared" si="77"/>
        <v>5.2341704968592646</v>
      </c>
      <c r="X106" s="493">
        <f t="shared" si="78"/>
        <v>37.9060089869281</v>
      </c>
      <c r="Y106" s="763">
        <f t="shared" si="79"/>
        <v>198.4065138930612</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6"/>
        <v>14934.247250764756</v>
      </c>
      <c r="I107" s="487">
        <f>ITECountywide!$B$9*E107</f>
        <v>50.462241810187869</v>
      </c>
      <c r="J107" s="495">
        <f t="shared" si="67"/>
        <v>1.67</v>
      </c>
      <c r="K107" s="372">
        <f t="shared" si="68"/>
        <v>0.85824475890316576</v>
      </c>
      <c r="L107" s="488">
        <f>Passby_Length_Adj!H102</f>
        <v>0.69486404833836857</v>
      </c>
      <c r="M107" s="488">
        <f>Passby_Length_Adj!J102</f>
        <v>0.78500000000000003</v>
      </c>
      <c r="N107" s="372">
        <v>0.5</v>
      </c>
      <c r="O107" s="481">
        <f t="shared" si="69"/>
        <v>0.27273413897280968</v>
      </c>
      <c r="P107" s="489">
        <f t="shared" si="70"/>
        <v>90.132174222714127</v>
      </c>
      <c r="Q107" s="490">
        <f t="shared" si="71"/>
        <v>53.97136181000846</v>
      </c>
      <c r="R107" s="491">
        <f t="shared" si="72"/>
        <v>261.71052631578948</v>
      </c>
      <c r="S107" s="500">
        <f t="shared" si="73"/>
        <v>14124.873505277214</v>
      </c>
      <c r="T107" s="489">
        <f t="shared" si="74"/>
        <v>4.5051103724743182</v>
      </c>
      <c r="U107" s="493">
        <f t="shared" si="75"/>
        <v>154.50490219883392</v>
      </c>
      <c r="V107" s="500">
        <f t="shared" si="76"/>
        <v>696.06163749409677</v>
      </c>
      <c r="W107" s="489">
        <f t="shared" si="77"/>
        <v>2.9892914348361499</v>
      </c>
      <c r="X107" s="493">
        <f t="shared" si="78"/>
        <v>37.9060089869281</v>
      </c>
      <c r="Y107" s="763">
        <f t="shared" si="79"/>
        <v>113.31210799344629</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6"/>
        <v>29686.107861254379</v>
      </c>
      <c r="I108" s="487">
        <f>ITECountywide!$B$9*E108</f>
        <v>100.30820624194673</v>
      </c>
      <c r="J108" s="495">
        <f t="shared" si="67"/>
        <v>1.67</v>
      </c>
      <c r="K108" s="372">
        <f t="shared" si="68"/>
        <v>0.85824475890316576</v>
      </c>
      <c r="L108" s="488">
        <f>Passby_Length_Adj!H103</f>
        <v>0.69486404833836857</v>
      </c>
      <c r="M108" s="488">
        <f>Passby_Length_Adj!J103</f>
        <v>0.78500000000000003</v>
      </c>
      <c r="N108" s="372">
        <v>0.5</v>
      </c>
      <c r="O108" s="481">
        <f t="shared" si="69"/>
        <v>0.27273413897280968</v>
      </c>
      <c r="P108" s="489">
        <f t="shared" si="70"/>
        <v>179.16359631770837</v>
      </c>
      <c r="Q108" s="490">
        <f t="shared" si="71"/>
        <v>107.28359060940622</v>
      </c>
      <c r="R108" s="491">
        <f t="shared" si="72"/>
        <v>261.71052631578948</v>
      </c>
      <c r="S108" s="500">
        <f t="shared" si="73"/>
        <v>28077.244963435391</v>
      </c>
      <c r="T108" s="489">
        <f t="shared" si="74"/>
        <v>8.9552014372388218</v>
      </c>
      <c r="U108" s="493">
        <f t="shared" si="75"/>
        <v>154.50490219883392</v>
      </c>
      <c r="V108" s="500">
        <f t="shared" si="76"/>
        <v>1383.6225222314411</v>
      </c>
      <c r="W108" s="489">
        <f t="shared" si="77"/>
        <v>5.9420757185284687</v>
      </c>
      <c r="X108" s="493">
        <f t="shared" si="78"/>
        <v>37.9060089869281</v>
      </c>
      <c r="Y108" s="763">
        <f t="shared" si="79"/>
        <v>225.24037558754739</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6"/>
        <v>24105.903510839762</v>
      </c>
      <c r="I109" s="487">
        <f>ITECountywide!$B$9*E109</f>
        <v>51.694796567045906</v>
      </c>
      <c r="J109" s="495">
        <f t="shared" si="67"/>
        <v>1.67</v>
      </c>
      <c r="K109" s="372">
        <f t="shared" si="68"/>
        <v>0.85824475890316576</v>
      </c>
      <c r="L109" s="488">
        <f>Passby_Length_Adj!H104</f>
        <v>0.8594671567024027</v>
      </c>
      <c r="M109" s="488">
        <f>Passby_Length_Adj!J104</f>
        <v>1</v>
      </c>
      <c r="N109" s="372">
        <v>0.5</v>
      </c>
      <c r="O109" s="481">
        <f t="shared" si="69"/>
        <v>0.42973357835120135</v>
      </c>
      <c r="P109" s="489">
        <f t="shared" si="70"/>
        <v>145.48557142200016</v>
      </c>
      <c r="Q109" s="490">
        <f t="shared" si="71"/>
        <v>87.117108635928247</v>
      </c>
      <c r="R109" s="491">
        <f t="shared" si="72"/>
        <v>261.71052631578948</v>
      </c>
      <c r="S109" s="500">
        <f t="shared" si="73"/>
        <v>22799.464352218591</v>
      </c>
      <c r="T109" s="489">
        <f t="shared" si="74"/>
        <v>7.2718600489882794</v>
      </c>
      <c r="U109" s="493">
        <f t="shared" si="75"/>
        <v>154.50490219883392</v>
      </c>
      <c r="V109" s="500">
        <f t="shared" si="76"/>
        <v>1123.5380256725418</v>
      </c>
      <c r="W109" s="489">
        <f t="shared" si="77"/>
        <v>4.8251223971298547</v>
      </c>
      <c r="X109" s="493">
        <f t="shared" si="78"/>
        <v>37.9060089869281</v>
      </c>
      <c r="Y109" s="763">
        <f t="shared" si="79"/>
        <v>182.90113294863232</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6"/>
        <v>18476.848435748514</v>
      </c>
      <c r="I110" s="487">
        <f>ITECountywide!$B$9*E110</f>
        <v>193.54734843720766</v>
      </c>
      <c r="J110" s="495">
        <f t="shared" si="67"/>
        <v>1.67</v>
      </c>
      <c r="K110" s="372">
        <f t="shared" si="68"/>
        <v>0.85824475890316576</v>
      </c>
      <c r="L110" s="488">
        <f>Passby_Length_Adj!H105</f>
        <v>0.31419939577039274</v>
      </c>
      <c r="M110" s="488">
        <f>Passby_Length_Adj!J105</f>
        <v>0.56000000000000005</v>
      </c>
      <c r="N110" s="372">
        <v>0.5</v>
      </c>
      <c r="O110" s="481">
        <f t="shared" si="69"/>
        <v>8.7975830815709977E-2</v>
      </c>
      <c r="P110" s="489">
        <f t="shared" si="70"/>
        <v>111.51271934461163</v>
      </c>
      <c r="Q110" s="490">
        <f t="shared" si="71"/>
        <v>66.774083439887207</v>
      </c>
      <c r="R110" s="491">
        <f t="shared" si="72"/>
        <v>261.71052631578948</v>
      </c>
      <c r="S110" s="500">
        <f t="shared" si="73"/>
        <v>17475.480521307323</v>
      </c>
      <c r="T110" s="489">
        <f t="shared" si="74"/>
        <v>5.5737822027999382</v>
      </c>
      <c r="U110" s="493">
        <f t="shared" si="75"/>
        <v>154.50490219883392</v>
      </c>
      <c r="V110" s="500">
        <f t="shared" si="76"/>
        <v>861.17667412120556</v>
      </c>
      <c r="W110" s="489">
        <f t="shared" si="77"/>
        <v>3.6983909429328872</v>
      </c>
      <c r="X110" s="493">
        <f t="shared" si="78"/>
        <v>37.9060089869281</v>
      </c>
      <c r="Y110" s="763">
        <f t="shared" si="79"/>
        <v>140.19124031998751</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6"/>
        <v>167126.87991878588</v>
      </c>
      <c r="I111" s="487">
        <f>ITECountywide!$B$9*E111</f>
        <v>1381.6938824378594</v>
      </c>
      <c r="J111" s="495">
        <f t="shared" si="67"/>
        <v>1.67</v>
      </c>
      <c r="K111" s="372">
        <f t="shared" si="68"/>
        <v>0.85824475890316576</v>
      </c>
      <c r="L111" s="488">
        <f>Passby_Length_Adj!H106</f>
        <v>0.32930513595166166</v>
      </c>
      <c r="M111" s="488">
        <f>Passby_Length_Adj!J106</f>
        <v>0.67700000000000005</v>
      </c>
      <c r="N111" s="372">
        <v>0.5</v>
      </c>
      <c r="O111" s="481">
        <f t="shared" si="69"/>
        <v>0.11146978851963749</v>
      </c>
      <c r="P111" s="489">
        <f t="shared" si="70"/>
        <v>1008.6553948922506</v>
      </c>
      <c r="Q111" s="490">
        <f t="shared" si="71"/>
        <v>603.98526640254522</v>
      </c>
      <c r="R111" s="491">
        <f t="shared" si="72"/>
        <v>261.71052631578948</v>
      </c>
      <c r="S111" s="500">
        <f t="shared" si="73"/>
        <v>158069.30195719242</v>
      </c>
      <c r="T111" s="489">
        <f t="shared" si="74"/>
        <v>50.416002065509936</v>
      </c>
      <c r="U111" s="493">
        <f t="shared" si="75"/>
        <v>154.50490219883392</v>
      </c>
      <c r="V111" s="500">
        <f t="shared" si="76"/>
        <v>7789.5194683878217</v>
      </c>
      <c r="W111" s="489">
        <f t="shared" si="77"/>
        <v>33.452703861356873</v>
      </c>
      <c r="X111" s="493">
        <f t="shared" si="78"/>
        <v>37.9060089869281</v>
      </c>
      <c r="Y111" s="763">
        <f t="shared" si="79"/>
        <v>1268.0584932056379</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6"/>
        <v>136853.38516726947</v>
      </c>
      <c r="I112" s="487">
        <f>ITECountywide!$B$9*E112</f>
        <v>1131.4127635746866</v>
      </c>
      <c r="J112" s="495">
        <f t="shared" si="67"/>
        <v>1.67</v>
      </c>
      <c r="K112" s="372">
        <f t="shared" si="68"/>
        <v>0.85824475890316576</v>
      </c>
      <c r="L112" s="488">
        <f>Passby_Length_Adj!H107</f>
        <v>0.32930513595166166</v>
      </c>
      <c r="M112" s="488">
        <f>Passby_Length_Adj!J107</f>
        <v>0.67700000000000005</v>
      </c>
      <c r="N112" s="372">
        <v>0.5</v>
      </c>
      <c r="O112" s="481">
        <f t="shared" si="69"/>
        <v>0.11146978851963749</v>
      </c>
      <c r="P112" s="489">
        <f t="shared" si="70"/>
        <v>825.9467616777863</v>
      </c>
      <c r="Q112" s="490">
        <f t="shared" si="71"/>
        <v>494.57889920825528</v>
      </c>
      <c r="R112" s="491">
        <f t="shared" si="72"/>
        <v>261.71052631578948</v>
      </c>
      <c r="S112" s="500">
        <f t="shared" si="73"/>
        <v>129436.50401647629</v>
      </c>
      <c r="T112" s="489">
        <f t="shared" si="74"/>
        <v>41.283607715395014</v>
      </c>
      <c r="U112" s="493">
        <f t="shared" si="75"/>
        <v>154.50490219883392</v>
      </c>
      <c r="V112" s="500">
        <f t="shared" si="76"/>
        <v>6378.5197724821319</v>
      </c>
      <c r="W112" s="489">
        <f t="shared" si="77"/>
        <v>27.393054717766386</v>
      </c>
      <c r="X112" s="493">
        <f t="shared" si="78"/>
        <v>37.9060089869281</v>
      </c>
      <c r="Y112" s="763">
        <f t="shared" si="79"/>
        <v>1038.3613783110659</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6"/>
        <v>35330.531793587033</v>
      </c>
      <c r="I113" s="487">
        <f>ITECountywide!$B$9*E113</f>
        <v>75.765865936273457</v>
      </c>
      <c r="J113" s="495">
        <f t="shared" si="67"/>
        <v>1.67</v>
      </c>
      <c r="K113" s="372">
        <f t="shared" si="68"/>
        <v>0.85824475890316576</v>
      </c>
      <c r="L113" s="488">
        <f>Passby_Length_Adj!H108</f>
        <v>0.8594671567024027</v>
      </c>
      <c r="M113" s="488">
        <f>Passby_Length_Adj!J108</f>
        <v>1</v>
      </c>
      <c r="N113" s="372">
        <v>0.5</v>
      </c>
      <c r="O113" s="481">
        <f t="shared" si="69"/>
        <v>0.42973357835120135</v>
      </c>
      <c r="P113" s="489">
        <f t="shared" si="70"/>
        <v>213.22920355678846</v>
      </c>
      <c r="Q113" s="490">
        <f t="shared" si="71"/>
        <v>127.68215781843621</v>
      </c>
      <c r="R113" s="491">
        <f t="shared" si="72"/>
        <v>261.71052631578948</v>
      </c>
      <c r="S113" s="500">
        <f t="shared" si="73"/>
        <v>33415.764723798638</v>
      </c>
      <c r="T113" s="489">
        <f t="shared" si="74"/>
        <v>10.657915499569079</v>
      </c>
      <c r="U113" s="493">
        <f t="shared" si="75"/>
        <v>154.50490219883392</v>
      </c>
      <c r="V113" s="500">
        <f t="shared" si="76"/>
        <v>1646.7001919043566</v>
      </c>
      <c r="W113" s="489">
        <f t="shared" si="77"/>
        <v>7.0718834572239802</v>
      </c>
      <c r="X113" s="493">
        <f t="shared" si="78"/>
        <v>37.9060089869281</v>
      </c>
      <c r="Y113" s="763">
        <f t="shared" si="79"/>
        <v>268.06687788404037</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6"/>
        <v>24300.30595850783</v>
      </c>
      <c r="I114" s="487">
        <f>ITECountywide!$B$9*E114</f>
        <v>52.111690087747888</v>
      </c>
      <c r="J114" s="495">
        <f t="shared" si="67"/>
        <v>1.67</v>
      </c>
      <c r="K114" s="372">
        <f t="shared" si="68"/>
        <v>0.85824475890316576</v>
      </c>
      <c r="L114" s="488">
        <f>Passby_Length_Adj!H109</f>
        <v>0.8594671567024027</v>
      </c>
      <c r="M114" s="488">
        <f>Passby_Length_Adj!J109</f>
        <v>1</v>
      </c>
      <c r="N114" s="372">
        <v>0.5</v>
      </c>
      <c r="O114" s="481">
        <f t="shared" si="69"/>
        <v>0.42973357835120135</v>
      </c>
      <c r="P114" s="489">
        <f t="shared" si="70"/>
        <v>146.65884215927437</v>
      </c>
      <c r="Q114" s="490">
        <f t="shared" si="71"/>
        <v>87.819665963637348</v>
      </c>
      <c r="R114" s="491">
        <f t="shared" si="72"/>
        <v>261.71052631578948</v>
      </c>
      <c r="S114" s="500">
        <f t="shared" si="73"/>
        <v>22983.331000220354</v>
      </c>
      <c r="T114" s="489">
        <f t="shared" si="74"/>
        <v>7.3305040816414113</v>
      </c>
      <c r="U114" s="493">
        <f t="shared" si="75"/>
        <v>154.50490219883392</v>
      </c>
      <c r="V114" s="500">
        <f t="shared" si="76"/>
        <v>1132.598816202159</v>
      </c>
      <c r="W114" s="489">
        <f t="shared" si="77"/>
        <v>4.8640346745260628</v>
      </c>
      <c r="X114" s="493">
        <f t="shared" si="78"/>
        <v>37.9060089869281</v>
      </c>
      <c r="Y114" s="763">
        <f t="shared" si="79"/>
        <v>184.37614208531483</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6"/>
        <v>25982.309744853243</v>
      </c>
      <c r="I115" s="487">
        <f>ITECountywide!$B$9*E115</f>
        <v>55.718725332082435</v>
      </c>
      <c r="J115" s="495">
        <f t="shared" si="67"/>
        <v>1.67</v>
      </c>
      <c r="K115" s="372">
        <f t="shared" si="68"/>
        <v>0.85824475890316576</v>
      </c>
      <c r="L115" s="488">
        <f>Passby_Length_Adj!H110</f>
        <v>0.8594671567024027</v>
      </c>
      <c r="M115" s="488">
        <f>Passby_Length_Adj!J110</f>
        <v>1</v>
      </c>
      <c r="N115" s="372">
        <v>0.5</v>
      </c>
      <c r="O115" s="481">
        <f t="shared" si="69"/>
        <v>0.42973357835120135</v>
      </c>
      <c r="P115" s="489">
        <f t="shared" si="70"/>
        <v>156.81018462525546</v>
      </c>
      <c r="Q115" s="490">
        <f t="shared" si="71"/>
        <v>93.898314146859562</v>
      </c>
      <c r="R115" s="491">
        <f t="shared" si="72"/>
        <v>261.71052631578948</v>
      </c>
      <c r="S115" s="500">
        <f t="shared" si="73"/>
        <v>24574.177215539956</v>
      </c>
      <c r="T115" s="489">
        <f t="shared" si="74"/>
        <v>7.837902451118504</v>
      </c>
      <c r="U115" s="493">
        <f t="shared" si="75"/>
        <v>154.50490219883392</v>
      </c>
      <c r="V115" s="500">
        <f t="shared" si="76"/>
        <v>1210.9943516540652</v>
      </c>
      <c r="W115" s="489">
        <f t="shared" si="77"/>
        <v>5.2007104659106496</v>
      </c>
      <c r="X115" s="493">
        <f t="shared" si="78"/>
        <v>37.9060089869281</v>
      </c>
      <c r="Y115" s="763">
        <f t="shared" si="79"/>
        <v>197.1381776592201</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6"/>
        <v>34696.610768582475</v>
      </c>
      <c r="I116" s="487">
        <f>ITECountywide!$B$9*E116</f>
        <v>74.406430542680027</v>
      </c>
      <c r="J116" s="495">
        <f t="shared" si="67"/>
        <v>1.67</v>
      </c>
      <c r="K116" s="372">
        <f t="shared" si="68"/>
        <v>0.85824475890316576</v>
      </c>
      <c r="L116" s="488">
        <f>Passby_Length_Adj!H111</f>
        <v>0.8594671567024027</v>
      </c>
      <c r="M116" s="488">
        <f>Passby_Length_Adj!J111</f>
        <v>1</v>
      </c>
      <c r="N116" s="372">
        <v>0.5</v>
      </c>
      <c r="O116" s="481">
        <f t="shared" si="69"/>
        <v>0.42973357835120135</v>
      </c>
      <c r="P116" s="489">
        <f t="shared" si="70"/>
        <v>209.40332071785087</v>
      </c>
      <c r="Q116" s="490">
        <f t="shared" si="71"/>
        <v>125.39121001068915</v>
      </c>
      <c r="R116" s="491">
        <f t="shared" si="72"/>
        <v>261.71052631578948</v>
      </c>
      <c r="S116" s="500">
        <f t="shared" si="73"/>
        <v>32816.199567271149</v>
      </c>
      <c r="T116" s="489">
        <f t="shared" si="74"/>
        <v>10.466684958308866</v>
      </c>
      <c r="U116" s="493">
        <f t="shared" si="75"/>
        <v>154.50490219883392</v>
      </c>
      <c r="V116" s="500">
        <f t="shared" si="76"/>
        <v>1617.1541358295174</v>
      </c>
      <c r="W116" s="489">
        <f t="shared" si="77"/>
        <v>6.9449955961493863</v>
      </c>
      <c r="X116" s="493">
        <f t="shared" si="78"/>
        <v>37.9060089869281</v>
      </c>
      <c r="Y116" s="763">
        <f t="shared" si="79"/>
        <v>263.25706548181472</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6"/>
        <v>121374.74558753821</v>
      </c>
      <c r="I117" s="487">
        <f>ITECountywide!$B$9*E117</f>
        <v>260.28656336002075</v>
      </c>
      <c r="J117" s="495">
        <f t="shared" si="67"/>
        <v>1.67</v>
      </c>
      <c r="K117" s="372">
        <f t="shared" si="68"/>
        <v>0.85824475890316576</v>
      </c>
      <c r="L117" s="488">
        <f>Passby_Length_Adj!H112</f>
        <v>0.8594671567024027</v>
      </c>
      <c r="M117" s="488">
        <f>Passby_Length_Adj!J112</f>
        <v>1</v>
      </c>
      <c r="N117" s="372">
        <v>0.5</v>
      </c>
      <c r="O117" s="481">
        <f t="shared" si="69"/>
        <v>0.42973357835120135</v>
      </c>
      <c r="P117" s="489">
        <f t="shared" si="70"/>
        <v>732.52903422858424</v>
      </c>
      <c r="Q117" s="490">
        <f t="shared" si="71"/>
        <v>438.64014025663727</v>
      </c>
      <c r="R117" s="491">
        <f t="shared" si="72"/>
        <v>261.71052631578948</v>
      </c>
      <c r="S117" s="500">
        <f t="shared" si="73"/>
        <v>114796.74196979626</v>
      </c>
      <c r="T117" s="489">
        <f t="shared" si="74"/>
        <v>36.614274299955014</v>
      </c>
      <c r="U117" s="493">
        <f t="shared" si="75"/>
        <v>154.50490219883392</v>
      </c>
      <c r="V117" s="500">
        <f t="shared" si="76"/>
        <v>5657.0848697958272</v>
      </c>
      <c r="W117" s="489">
        <f t="shared" si="77"/>
        <v>24.294795800415393</v>
      </c>
      <c r="X117" s="493">
        <f t="shared" si="78"/>
        <v>37.9060089869281</v>
      </c>
      <c r="Y117" s="763">
        <f t="shared" si="79"/>
        <v>920.91874794612897</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6"/>
        <v>16904.560666788053</v>
      </c>
      <c r="I118" s="487">
        <f>ITECountywide!$B$9*E118</f>
        <v>36.251610495824622</v>
      </c>
      <c r="J118" s="495">
        <f t="shared" si="67"/>
        <v>1.67</v>
      </c>
      <c r="K118" s="372">
        <f t="shared" si="68"/>
        <v>0.85824475890316576</v>
      </c>
      <c r="L118" s="488">
        <f>Passby_Length_Adj!H113</f>
        <v>0.8594671567024027</v>
      </c>
      <c r="M118" s="488">
        <f>Passby_Length_Adj!J113</f>
        <v>1</v>
      </c>
      <c r="N118" s="372">
        <v>0.5</v>
      </c>
      <c r="O118" s="481">
        <f t="shared" si="69"/>
        <v>0.42973357835120135</v>
      </c>
      <c r="P118" s="489">
        <f t="shared" si="70"/>
        <v>102.02354237166912</v>
      </c>
      <c r="Q118" s="490">
        <f t="shared" si="71"/>
        <v>61.091941539921635</v>
      </c>
      <c r="R118" s="491">
        <f t="shared" si="72"/>
        <v>261.71052631578948</v>
      </c>
      <c r="S118" s="500">
        <f t="shared" si="73"/>
        <v>15988.404174066334</v>
      </c>
      <c r="T118" s="489">
        <f t="shared" si="74"/>
        <v>5.0994811002722864</v>
      </c>
      <c r="U118" s="493">
        <f t="shared" si="75"/>
        <v>154.50490219883392</v>
      </c>
      <c r="V118" s="500">
        <f t="shared" si="76"/>
        <v>787.89482866237154</v>
      </c>
      <c r="W118" s="489">
        <f t="shared" si="77"/>
        <v>3.3836762953224788</v>
      </c>
      <c r="X118" s="493">
        <f t="shared" si="78"/>
        <v>37.9060089869281</v>
      </c>
      <c r="Y118" s="763">
        <f t="shared" si="79"/>
        <v>128.26166405934947</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6"/>
        <v>19338.817402805533</v>
      </c>
      <c r="I119" s="487">
        <f>ITECountywide!$B$9*E119</f>
        <v>41.471842407223363</v>
      </c>
      <c r="J119" s="495">
        <f t="shared" si="67"/>
        <v>1.67</v>
      </c>
      <c r="K119" s="372">
        <f t="shared" si="68"/>
        <v>0.85824475890316576</v>
      </c>
      <c r="L119" s="488">
        <f>Passby_Length_Adj!H114</f>
        <v>0.8594671567024027</v>
      </c>
      <c r="M119" s="488">
        <f>Passby_Length_Adj!J114</f>
        <v>1</v>
      </c>
      <c r="N119" s="372">
        <v>0.5</v>
      </c>
      <c r="O119" s="481">
        <f t="shared" si="69"/>
        <v>0.42973357835120135</v>
      </c>
      <c r="P119" s="489">
        <f t="shared" si="70"/>
        <v>116.71493247318948</v>
      </c>
      <c r="Q119" s="490">
        <f t="shared" si="71"/>
        <v>69.889181121670347</v>
      </c>
      <c r="R119" s="491">
        <f t="shared" si="72"/>
        <v>261.71052631578948</v>
      </c>
      <c r="S119" s="500">
        <f t="shared" si="73"/>
        <v>18290.734375131884</v>
      </c>
      <c r="T119" s="489">
        <f t="shared" si="74"/>
        <v>5.8338063787114951</v>
      </c>
      <c r="U119" s="493">
        <f t="shared" si="75"/>
        <v>154.50490219883392</v>
      </c>
      <c r="V119" s="500">
        <f t="shared" si="76"/>
        <v>901.35168398975304</v>
      </c>
      <c r="W119" s="489">
        <f t="shared" si="77"/>
        <v>3.8709256818489153</v>
      </c>
      <c r="X119" s="493">
        <f t="shared" si="78"/>
        <v>37.9060089869281</v>
      </c>
      <c r="Y119" s="763">
        <f t="shared" si="79"/>
        <v>146.73134368389577</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6"/>
        <v>56123.141413736346</v>
      </c>
      <c r="I120" s="487">
        <f>ITECountywide!$B$9*E120</f>
        <v>120.35534684613775</v>
      </c>
      <c r="J120" s="495">
        <f t="shared" si="67"/>
        <v>1.67</v>
      </c>
      <c r="K120" s="372">
        <f t="shared" si="68"/>
        <v>0.85824475890316576</v>
      </c>
      <c r="L120" s="488">
        <f>Passby_Length_Adj!H115</f>
        <v>0.8594671567024027</v>
      </c>
      <c r="M120" s="488">
        <f>Passby_Length_Adj!J115</f>
        <v>1</v>
      </c>
      <c r="N120" s="372">
        <v>0.5</v>
      </c>
      <c r="O120" s="481">
        <f t="shared" si="69"/>
        <v>0.42973357835120135</v>
      </c>
      <c r="P120" s="489">
        <f t="shared" si="70"/>
        <v>338.7181606739415</v>
      </c>
      <c r="Q120" s="490">
        <f t="shared" si="71"/>
        <v>202.82524591253983</v>
      </c>
      <c r="R120" s="491">
        <f t="shared" si="72"/>
        <v>261.71052631578948</v>
      </c>
      <c r="S120" s="500">
        <f t="shared" si="73"/>
        <v>53081.501857900228</v>
      </c>
      <c r="T120" s="489">
        <f t="shared" si="74"/>
        <v>16.930277252903991</v>
      </c>
      <c r="U120" s="493">
        <f t="shared" si="75"/>
        <v>154.50490219883392</v>
      </c>
      <c r="V120" s="500">
        <f t="shared" si="76"/>
        <v>2615.8108311590736</v>
      </c>
      <c r="W120" s="489">
        <f t="shared" si="77"/>
        <v>11.23380530047063</v>
      </c>
      <c r="X120" s="493">
        <f t="shared" si="78"/>
        <v>37.9060089869281</v>
      </c>
      <c r="Y120" s="763">
        <f t="shared" si="79"/>
        <v>425.82872467704021</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6"/>
        <v>47797.645285343213</v>
      </c>
      <c r="I121" s="487">
        <f>ITECountywide!$B$9*E121</f>
        <v>102.5014286769441</v>
      </c>
      <c r="J121" s="495">
        <f t="shared" si="67"/>
        <v>1.67</v>
      </c>
      <c r="K121" s="372">
        <f t="shared" si="68"/>
        <v>0.85824475890316576</v>
      </c>
      <c r="L121" s="488">
        <f>Passby_Length_Adj!H116</f>
        <v>0.8594671567024027</v>
      </c>
      <c r="M121" s="488">
        <f>Passby_Length_Adj!J116</f>
        <v>1</v>
      </c>
      <c r="N121" s="372">
        <v>0.5</v>
      </c>
      <c r="O121" s="481">
        <f t="shared" si="69"/>
        <v>0.42973357835120135</v>
      </c>
      <c r="P121" s="489">
        <f t="shared" si="70"/>
        <v>288.47156605589441</v>
      </c>
      <c r="Q121" s="490">
        <f t="shared" si="71"/>
        <v>172.7374647041284</v>
      </c>
      <c r="R121" s="491">
        <f t="shared" si="72"/>
        <v>261.71052631578948</v>
      </c>
      <c r="S121" s="500">
        <f t="shared" si="73"/>
        <v>45207.212802172551</v>
      </c>
      <c r="T121" s="489">
        <f t="shared" si="74"/>
        <v>14.418782811019888</v>
      </c>
      <c r="U121" s="493">
        <f t="shared" si="75"/>
        <v>154.50490219883392</v>
      </c>
      <c r="V121" s="500">
        <f t="shared" si="76"/>
        <v>2227.7726280428556</v>
      </c>
      <c r="W121" s="489">
        <f t="shared" si="77"/>
        <v>9.5673447250243076</v>
      </c>
      <c r="X121" s="493">
        <f t="shared" si="78"/>
        <v>37.9060089869281</v>
      </c>
      <c r="Y121" s="763">
        <f t="shared" si="79"/>
        <v>362.65985512781054</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6"/>
        <v>9018.2722202171572</v>
      </c>
      <c r="I122" s="487">
        <f>ITECountywide!$B$9*E122</f>
        <v>163.27725367319408</v>
      </c>
      <c r="J122" s="495">
        <f t="shared" si="67"/>
        <v>1.67</v>
      </c>
      <c r="K122" s="372">
        <f t="shared" si="68"/>
        <v>0.85824475890316576</v>
      </c>
      <c r="L122" s="488">
        <f>Passby_Length_Adj!H117</f>
        <v>0.31419939577039274</v>
      </c>
      <c r="M122" s="488">
        <f>Passby_Length_Adj!J117</f>
        <v>0.32400000000000001</v>
      </c>
      <c r="N122" s="372">
        <v>0.5</v>
      </c>
      <c r="O122" s="481">
        <f t="shared" si="69"/>
        <v>5.0900302114803626E-2</v>
      </c>
      <c r="P122" s="489">
        <f t="shared" si="70"/>
        <v>54.427683517751568</v>
      </c>
      <c r="Q122" s="490">
        <f t="shared" si="71"/>
        <v>32.591427256138665</v>
      </c>
      <c r="R122" s="491">
        <f t="shared" si="72"/>
        <v>261.71052631578948</v>
      </c>
      <c r="S122" s="500">
        <f t="shared" si="73"/>
        <v>8529.519580586817</v>
      </c>
      <c r="T122" s="489">
        <f t="shared" si="74"/>
        <v>2.7204793813104171</v>
      </c>
      <c r="U122" s="493">
        <f t="shared" si="75"/>
        <v>154.50490219883392</v>
      </c>
      <c r="V122" s="500">
        <f t="shared" si="76"/>
        <v>420.32740074331019</v>
      </c>
      <c r="W122" s="489">
        <f t="shared" si="77"/>
        <v>1.805129073615374</v>
      </c>
      <c r="X122" s="493">
        <f t="shared" si="78"/>
        <v>37.9060089869281</v>
      </c>
      <c r="Y122" s="763">
        <f t="shared" si="79"/>
        <v>68.425238887029565</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6"/>
        <v>10928.447996879491</v>
      </c>
      <c r="I123" s="487">
        <f>ITECountywide!$B$9*E123</f>
        <v>197.86129008621077</v>
      </c>
      <c r="J123" s="495">
        <f t="shared" si="67"/>
        <v>1.67</v>
      </c>
      <c r="K123" s="372">
        <f t="shared" si="68"/>
        <v>0.85824475890316576</v>
      </c>
      <c r="L123" s="488">
        <f>Passby_Length_Adj!H118</f>
        <v>0.31419939577039274</v>
      </c>
      <c r="M123" s="488">
        <f>Passby_Length_Adj!J118</f>
        <v>0.32400000000000001</v>
      </c>
      <c r="N123" s="372">
        <v>0.5</v>
      </c>
      <c r="O123" s="481">
        <f t="shared" si="69"/>
        <v>5.0900302114803626E-2</v>
      </c>
      <c r="P123" s="489">
        <f t="shared" si="70"/>
        <v>65.956104937808178</v>
      </c>
      <c r="Q123" s="490">
        <f t="shared" si="71"/>
        <v>39.494673615453998</v>
      </c>
      <c r="R123" s="491">
        <f t="shared" si="72"/>
        <v>261.71052631578948</v>
      </c>
      <c r="S123" s="500">
        <f t="shared" si="73"/>
        <v>10336.17181857079</v>
      </c>
      <c r="T123" s="489">
        <f t="shared" si="74"/>
        <v>3.2967088062149772</v>
      </c>
      <c r="U123" s="493">
        <f t="shared" si="75"/>
        <v>154.50490219883392</v>
      </c>
      <c r="V123" s="500">
        <f t="shared" si="76"/>
        <v>509.35767168227954</v>
      </c>
      <c r="W123" s="489">
        <f t="shared" si="77"/>
        <v>2.1874765727781331</v>
      </c>
      <c r="X123" s="493">
        <f t="shared" si="78"/>
        <v>37.9060089869281</v>
      </c>
      <c r="Y123" s="763">
        <f t="shared" si="79"/>
        <v>82.918506626422598</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6"/>
        <v>213589.12402486702</v>
      </c>
      <c r="I124" s="487">
        <f>ITECountywide!$B$9*E124</f>
        <v>458.03909861474403</v>
      </c>
      <c r="J124" s="495">
        <f t="shared" si="67"/>
        <v>1.67</v>
      </c>
      <c r="K124" s="372">
        <f t="shared" si="68"/>
        <v>0.85824475890316576</v>
      </c>
      <c r="L124" s="488">
        <f>Passby_Length_Adj!H119</f>
        <v>0.8594671567024027</v>
      </c>
      <c r="M124" s="488">
        <f>Passby_Length_Adj!J119</f>
        <v>1</v>
      </c>
      <c r="N124" s="372">
        <v>0.5</v>
      </c>
      <c r="O124" s="481">
        <f t="shared" si="69"/>
        <v>0.42973357835120135</v>
      </c>
      <c r="P124" s="489">
        <f t="shared" si="70"/>
        <v>1289.0674578660391</v>
      </c>
      <c r="Q124" s="490">
        <f t="shared" si="71"/>
        <v>771.89668135690965</v>
      </c>
      <c r="R124" s="491">
        <f t="shared" si="72"/>
        <v>261.71052631578948</v>
      </c>
      <c r="S124" s="500">
        <f t="shared" si="73"/>
        <v>202013.48673932807</v>
      </c>
      <c r="T124" s="489">
        <f t="shared" si="74"/>
        <v>64.431943701940327</v>
      </c>
      <c r="U124" s="493">
        <f t="shared" si="75"/>
        <v>154.50490219883392</v>
      </c>
      <c r="V124" s="500">
        <f t="shared" si="76"/>
        <v>9955.0511601490634</v>
      </c>
      <c r="W124" s="489">
        <f t="shared" si="77"/>
        <v>42.752749991399504</v>
      </c>
      <c r="X124" s="493">
        <f t="shared" si="78"/>
        <v>37.9060089869281</v>
      </c>
      <c r="Y124" s="763">
        <f t="shared" si="79"/>
        <v>1620.58612538988</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6"/>
        <v>3089.1837842463083</v>
      </c>
      <c r="I125" s="487">
        <f>ITECountywide!$B$9*E125</f>
        <v>11.419257306184756</v>
      </c>
      <c r="J125" s="495">
        <f t="shared" si="67"/>
        <v>1.67</v>
      </c>
      <c r="K125" s="372">
        <f t="shared" si="68"/>
        <v>0.85824475890316576</v>
      </c>
      <c r="L125" s="488">
        <f>Passby_Length_Adj!H120</f>
        <v>0.91993957703927487</v>
      </c>
      <c r="M125" s="488">
        <f>Passby_Length_Adj!J120</f>
        <v>0.54200000000000004</v>
      </c>
      <c r="N125" s="372">
        <v>0.5</v>
      </c>
      <c r="O125" s="481">
        <f t="shared" si="69"/>
        <v>0.2493036253776435</v>
      </c>
      <c r="P125" s="489">
        <f t="shared" si="70"/>
        <v>18.644049905723467</v>
      </c>
      <c r="Q125" s="490">
        <f t="shared" si="71"/>
        <v>11.164101739954171</v>
      </c>
      <c r="R125" s="491">
        <f t="shared" si="72"/>
        <v>261.71052631578948</v>
      </c>
      <c r="S125" s="500">
        <f t="shared" si="73"/>
        <v>2921.7629422064274</v>
      </c>
      <c r="T125" s="489">
        <f t="shared" si="74"/>
        <v>0.93189256044859159</v>
      </c>
      <c r="U125" s="493">
        <f t="shared" si="75"/>
        <v>154.50490219883392</v>
      </c>
      <c r="V125" s="500">
        <f t="shared" si="76"/>
        <v>143.98196891193058</v>
      </c>
      <c r="W125" s="489">
        <f t="shared" si="77"/>
        <v>0.6183418870615881</v>
      </c>
      <c r="X125" s="493">
        <f t="shared" si="78"/>
        <v>37.9060089869281</v>
      </c>
      <c r="Y125" s="763">
        <f t="shared" si="79"/>
        <v>23.438873127950639</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6"/>
        <v>61129.839665443469</v>
      </c>
      <c r="I126" s="487">
        <f>ITECountywide!$B$9*E126</f>
        <v>183.95879746106203</v>
      </c>
      <c r="J126" s="495">
        <f t="shared" si="67"/>
        <v>1.67</v>
      </c>
      <c r="K126" s="372">
        <f t="shared" si="68"/>
        <v>0.85824475890316576</v>
      </c>
      <c r="L126" s="488">
        <f>Passby_Length_Adj!H121</f>
        <v>0.61247081225203326</v>
      </c>
      <c r="M126" s="488">
        <f>Passby_Length_Adj!J121</f>
        <v>1</v>
      </c>
      <c r="N126" s="372">
        <v>0.5</v>
      </c>
      <c r="O126" s="481">
        <f t="shared" si="69"/>
        <v>0.30623540612601663</v>
      </c>
      <c r="P126" s="489">
        <f t="shared" si="70"/>
        <v>368.93492296039125</v>
      </c>
      <c r="Q126" s="490">
        <f t="shared" si="71"/>
        <v>220.91911554514448</v>
      </c>
      <c r="R126" s="491">
        <f t="shared" si="72"/>
        <v>261.71052631578948</v>
      </c>
      <c r="S126" s="500">
        <f t="shared" si="73"/>
        <v>57816.858002538473</v>
      </c>
      <c r="T126" s="489">
        <f t="shared" si="74"/>
        <v>18.440613050006835</v>
      </c>
      <c r="U126" s="493">
        <f t="shared" si="75"/>
        <v>154.50490219883392</v>
      </c>
      <c r="V126" s="500">
        <f t="shared" si="76"/>
        <v>2849.1651157778465</v>
      </c>
      <c r="W126" s="489">
        <f t="shared" si="77"/>
        <v>12.235963624846223</v>
      </c>
      <c r="X126" s="493">
        <f t="shared" si="78"/>
        <v>37.9060089869281</v>
      </c>
      <c r="Y126" s="763">
        <f t="shared" si="79"/>
        <v>463.81654712714624</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6"/>
        <v>26419.374915025768</v>
      </c>
      <c r="I128" s="487">
        <f>ITECountywide!$B$9*E128</f>
        <v>283.63260051933179</v>
      </c>
      <c r="J128" s="495">
        <f t="shared" ref="J128:J137" si="80">IF(F128="Prod",$M$3,$M$4)</f>
        <v>1.67</v>
      </c>
      <c r="K128" s="372">
        <f t="shared" ref="K128:K137" si="81">IF(F128="Prod",$F$4,$F$5)</f>
        <v>0.85824475890316576</v>
      </c>
      <c r="L128" s="488">
        <f>Passby_Length_Adj!H123</f>
        <v>0.37160120845921452</v>
      </c>
      <c r="M128" s="488">
        <f>Passby_Length_Adj!J123</f>
        <v>0.46200000000000002</v>
      </c>
      <c r="N128" s="372">
        <v>0.5</v>
      </c>
      <c r="O128" s="481">
        <f t="shared" ref="O128:O137" si="82">L128*M128*N128</f>
        <v>8.5839879154078563E-2</v>
      </c>
      <c r="P128" s="489">
        <f t="shared" ref="P128:P137" si="83">IF($F128="Prod",$I128*$O128*$F$4*$F$6,$I128*O128*$F$5*$F$7)</f>
        <v>159.44798975886562</v>
      </c>
      <c r="Q128" s="490">
        <f t="shared" ref="Q128:Q137" si="84">+P128/J128</f>
        <v>95.477838178961449</v>
      </c>
      <c r="R128" s="491">
        <f t="shared" ref="R128:R137" si="85">+$Q$4</f>
        <v>261.71052631578948</v>
      </c>
      <c r="S128" s="500">
        <f t="shared" ref="S128:S137" si="86">+Q128*R128</f>
        <v>24987.555281309778</v>
      </c>
      <c r="T128" s="489">
        <f t="shared" ref="T128:T137" si="87">IF($F128="Prod",$I128*$O128*$G$4*$G$6,$I128*$O128*$G$5*$G$7)</f>
        <v>7.9697488574709032</v>
      </c>
      <c r="U128" s="493">
        <f t="shared" ref="U128:U137" si="88">+$R$4</f>
        <v>154.50490219883392</v>
      </c>
      <c r="V128" s="500">
        <f t="shared" ref="V128:V137" si="89">+T128*U128</f>
        <v>1231.3652677728103</v>
      </c>
      <c r="W128" s="489">
        <f t="shared" ref="W128:W137" si="90">IF($F128="Prod",$I128*$O128*$J$4*$J$6,$I128*$O128*$J$5*$J$7)</f>
        <v>5.2881949669855226</v>
      </c>
      <c r="X128" s="493">
        <f t="shared" ref="X128:X137" si="91">$S$4</f>
        <v>37.9060089869281</v>
      </c>
      <c r="Y128" s="763">
        <f t="shared" ref="Y128:Y137" si="92">+W128*X128</f>
        <v>200.45436594318116</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6"/>
        <v>16888.612428106007</v>
      </c>
      <c r="I129" s="487">
        <f>ITECountywide!$B$9*E129</f>
        <v>181.31242989486685</v>
      </c>
      <c r="J129" s="495">
        <f t="shared" si="80"/>
        <v>1.67</v>
      </c>
      <c r="K129" s="372">
        <f t="shared" si="81"/>
        <v>0.85824475890316576</v>
      </c>
      <c r="L129" s="488">
        <f>Passby_Length_Adj!H124</f>
        <v>0.37160120845921452</v>
      </c>
      <c r="M129" s="488">
        <f>Passby_Length_Adj!J124</f>
        <v>0.46200000000000002</v>
      </c>
      <c r="N129" s="372">
        <v>0.5</v>
      </c>
      <c r="O129" s="481">
        <f t="shared" si="82"/>
        <v>8.5839879154078563E-2</v>
      </c>
      <c r="P129" s="489">
        <f t="shared" si="83"/>
        <v>101.92729048810921</v>
      </c>
      <c r="Q129" s="490">
        <f t="shared" si="84"/>
        <v>61.034305681502524</v>
      </c>
      <c r="R129" s="491">
        <f t="shared" si="85"/>
        <v>261.71052631578948</v>
      </c>
      <c r="S129" s="500">
        <f t="shared" si="86"/>
        <v>15973.320263224805</v>
      </c>
      <c r="T129" s="489">
        <f t="shared" si="87"/>
        <v>5.0946701061657373</v>
      </c>
      <c r="U129" s="493">
        <f t="shared" si="88"/>
        <v>154.50490219883392</v>
      </c>
      <c r="V129" s="500">
        <f t="shared" si="89"/>
        <v>787.15150648846009</v>
      </c>
      <c r="W129" s="489">
        <f t="shared" si="90"/>
        <v>3.380484039797814</v>
      </c>
      <c r="X129" s="493">
        <f t="shared" si="91"/>
        <v>37.9060089869281</v>
      </c>
      <c r="Y129" s="763">
        <f t="shared" si="92"/>
        <v>128.14065839274295</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6"/>
        <v>29995.969235683973</v>
      </c>
      <c r="I130" s="487">
        <f>ITECountywide!$B$9*E130</f>
        <v>151.96675119849681</v>
      </c>
      <c r="J130" s="495">
        <f t="shared" si="80"/>
        <v>1.67</v>
      </c>
      <c r="K130" s="372">
        <f t="shared" si="81"/>
        <v>0.85824475890316576</v>
      </c>
      <c r="L130" s="488">
        <f>Passby_Length_Adj!H125</f>
        <v>0.47432024169184289</v>
      </c>
      <c r="M130" s="488">
        <f>Passby_Length_Adj!J125</f>
        <v>0.76700000000000002</v>
      </c>
      <c r="N130" s="372">
        <v>0.5</v>
      </c>
      <c r="O130" s="481">
        <f t="shared" si="82"/>
        <v>0.18190181268882175</v>
      </c>
      <c r="P130" s="489">
        <f t="shared" si="83"/>
        <v>181.03369254124235</v>
      </c>
      <c r="Q130" s="490">
        <f t="shared" si="84"/>
        <v>108.40340870733075</v>
      </c>
      <c r="R130" s="491">
        <f t="shared" si="85"/>
        <v>261.71052631578948</v>
      </c>
      <c r="S130" s="500">
        <f t="shared" si="86"/>
        <v>28370.313147221168</v>
      </c>
      <c r="T130" s="489">
        <f t="shared" si="87"/>
        <v>9.0486751603218796</v>
      </c>
      <c r="U130" s="493">
        <f t="shared" si="88"/>
        <v>154.50490219883392</v>
      </c>
      <c r="V130" s="500">
        <f t="shared" si="89"/>
        <v>1398.0646706745499</v>
      </c>
      <c r="W130" s="489">
        <f t="shared" si="90"/>
        <v>6.004098660630321</v>
      </c>
      <c r="X130" s="493">
        <f t="shared" si="91"/>
        <v>37.9060089869281</v>
      </c>
      <c r="Y130" s="763">
        <f t="shared" si="92"/>
        <v>227.59141778825591</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6"/>
        <v>930.21851160279482</v>
      </c>
      <c r="I131" s="487">
        <f>ITECountywide!$B$9*E131</f>
        <v>4.7127093644572007</v>
      </c>
      <c r="J131" s="495">
        <f t="shared" si="80"/>
        <v>1.67</v>
      </c>
      <c r="K131" s="372">
        <f t="shared" si="81"/>
        <v>0.85824475890316576</v>
      </c>
      <c r="L131" s="488">
        <f>Passby_Length_Adj!H126</f>
        <v>0.47432024169184289</v>
      </c>
      <c r="M131" s="488">
        <f>Passby_Length_Adj!J126</f>
        <v>0.76700000000000002</v>
      </c>
      <c r="N131" s="372">
        <v>0.5</v>
      </c>
      <c r="O131" s="481">
        <f t="shared" si="82"/>
        <v>0.18190181268882175</v>
      </c>
      <c r="P131" s="489">
        <f t="shared" si="83"/>
        <v>5.6141173736549383</v>
      </c>
      <c r="Q131" s="490">
        <f t="shared" si="84"/>
        <v>3.3617469303322984</v>
      </c>
      <c r="R131" s="491">
        <f t="shared" si="85"/>
        <v>261.71052631578948</v>
      </c>
      <c r="S131" s="500">
        <f t="shared" si="86"/>
        <v>879.80455847775545</v>
      </c>
      <c r="T131" s="489">
        <f t="shared" si="87"/>
        <v>0.28061254075425679</v>
      </c>
      <c r="U131" s="493">
        <f t="shared" si="88"/>
        <v>154.50490219883392</v>
      </c>
      <c r="V131" s="500">
        <f t="shared" si="89"/>
        <v>43.356013165002743</v>
      </c>
      <c r="W131" s="489">
        <f t="shared" si="90"/>
        <v>0.1861958077008449</v>
      </c>
      <c r="X131" s="493">
        <f t="shared" si="91"/>
        <v>37.9060089869281</v>
      </c>
      <c r="Y131" s="763">
        <f t="shared" si="92"/>
        <v>7.0579399600365633</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6"/>
        <v>37401.97825826444</v>
      </c>
      <c r="I132" s="487">
        <f>ITECountywide!$B$9*E132</f>
        <v>203.3352832710803</v>
      </c>
      <c r="J132" s="495">
        <f t="shared" si="80"/>
        <v>1.67</v>
      </c>
      <c r="K132" s="372">
        <f t="shared" si="81"/>
        <v>0.85824475890316576</v>
      </c>
      <c r="L132" s="488">
        <f>Passby_Length_Adj!H127</f>
        <v>0.47885196374622352</v>
      </c>
      <c r="M132" s="488">
        <f>Passby_Length_Adj!J127</f>
        <v>0.70799999999999996</v>
      </c>
      <c r="N132" s="372">
        <v>0.5</v>
      </c>
      <c r="O132" s="481">
        <f t="shared" si="82"/>
        <v>0.16951359516616313</v>
      </c>
      <c r="P132" s="489">
        <f t="shared" si="83"/>
        <v>225.73093668818339</v>
      </c>
      <c r="Q132" s="490">
        <f t="shared" si="84"/>
        <v>135.16822556178647</v>
      </c>
      <c r="R132" s="491">
        <f t="shared" si="85"/>
        <v>261.71052631578948</v>
      </c>
      <c r="S132" s="500">
        <f t="shared" si="86"/>
        <v>35374.947452946486</v>
      </c>
      <c r="T132" s="489">
        <f t="shared" si="87"/>
        <v>11.282794329907553</v>
      </c>
      <c r="U132" s="493">
        <f t="shared" si="88"/>
        <v>154.50490219883392</v>
      </c>
      <c r="V132" s="500">
        <f t="shared" si="89"/>
        <v>1743.2470344719243</v>
      </c>
      <c r="W132" s="489">
        <f t="shared" si="90"/>
        <v>7.4865114642877248</v>
      </c>
      <c r="X132" s="493">
        <f t="shared" si="91"/>
        <v>37.9060089869281</v>
      </c>
      <c r="Y132" s="763">
        <f t="shared" si="92"/>
        <v>283.78377084603073</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6"/>
        <v>1457.003431882828</v>
      </c>
      <c r="I133" s="487">
        <f>ITECountywide!$B$9*E133</f>
        <v>7.9209768933376798</v>
      </c>
      <c r="J133" s="495">
        <f t="shared" si="80"/>
        <v>1.67</v>
      </c>
      <c r="K133" s="372">
        <f t="shared" si="81"/>
        <v>0.85824475890316576</v>
      </c>
      <c r="L133" s="488">
        <f>Passby_Length_Adj!H128</f>
        <v>0.47885196374622352</v>
      </c>
      <c r="M133" s="488">
        <f>Passby_Length_Adj!J128</f>
        <v>0.70799999999999996</v>
      </c>
      <c r="N133" s="372">
        <v>0.5</v>
      </c>
      <c r="O133" s="481">
        <f t="shared" si="82"/>
        <v>0.16951359516616313</v>
      </c>
      <c r="P133" s="489">
        <f t="shared" si="83"/>
        <v>8.7934051820945047</v>
      </c>
      <c r="Q133" s="490">
        <f t="shared" si="84"/>
        <v>5.26551208508653</v>
      </c>
      <c r="R133" s="491">
        <f t="shared" si="85"/>
        <v>261.71052631578948</v>
      </c>
      <c r="S133" s="500">
        <f t="shared" si="86"/>
        <v>1378.039939110146</v>
      </c>
      <c r="T133" s="489">
        <f t="shared" si="87"/>
        <v>0.4395240793518988</v>
      </c>
      <c r="U133" s="493">
        <f t="shared" si="88"/>
        <v>154.50490219883392</v>
      </c>
      <c r="V133" s="500">
        <f t="shared" si="89"/>
        <v>67.908624894297645</v>
      </c>
      <c r="W133" s="489">
        <f t="shared" si="90"/>
        <v>0.29163892938970726</v>
      </c>
      <c r="X133" s="493">
        <f t="shared" si="91"/>
        <v>37.9060089869281</v>
      </c>
      <c r="Y133" s="763">
        <f t="shared" si="92"/>
        <v>11.054867878384332</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6"/>
        <v>61049.72870853822</v>
      </c>
      <c r="I134" s="487">
        <f>ITECountywide!$B$9*E134</f>
        <v>627.56975509846791</v>
      </c>
      <c r="J134" s="495">
        <f t="shared" si="80"/>
        <v>1.67</v>
      </c>
      <c r="K134" s="372">
        <f t="shared" si="81"/>
        <v>0.85824475890316576</v>
      </c>
      <c r="L134" s="488">
        <f>Passby_Length_Adj!H129</f>
        <v>0.30966767371601206</v>
      </c>
      <c r="M134" s="488">
        <f>Passby_Length_Adj!J129</f>
        <v>0.57899999999999996</v>
      </c>
      <c r="N134" s="372">
        <v>0.5</v>
      </c>
      <c r="O134" s="481">
        <f t="shared" si="82"/>
        <v>8.9648791540785491E-2</v>
      </c>
      <c r="P134" s="489">
        <f t="shared" si="83"/>
        <v>368.45143192105803</v>
      </c>
      <c r="Q134" s="490">
        <f t="shared" si="84"/>
        <v>220.62959995272936</v>
      </c>
      <c r="R134" s="491">
        <f t="shared" si="85"/>
        <v>261.71052631578948</v>
      </c>
      <c r="S134" s="500">
        <f t="shared" si="86"/>
        <v>57741.088724470887</v>
      </c>
      <c r="T134" s="489">
        <f t="shared" si="87"/>
        <v>18.416446535495425</v>
      </c>
      <c r="U134" s="493">
        <f t="shared" si="88"/>
        <v>154.50490219883392</v>
      </c>
      <c r="V134" s="500">
        <f t="shared" si="89"/>
        <v>2845.4312708167745</v>
      </c>
      <c r="W134" s="489">
        <f t="shared" si="90"/>
        <v>12.219928334061738</v>
      </c>
      <c r="X134" s="493">
        <f t="shared" si="91"/>
        <v>37.9060089869281</v>
      </c>
      <c r="Y134" s="763">
        <f t="shared" si="92"/>
        <v>463.20871325056157</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6"/>
        <v>83041.243495035291</v>
      </c>
      <c r="I135" s="487">
        <f>ITECountywide!$B$9*E135</f>
        <v>853.63479815043024</v>
      </c>
      <c r="J135" s="495">
        <f t="shared" si="80"/>
        <v>1.67</v>
      </c>
      <c r="K135" s="372">
        <f t="shared" si="81"/>
        <v>0.85824475890316576</v>
      </c>
      <c r="L135" s="488">
        <f>Passby_Length_Adj!H130</f>
        <v>0.30966767371601206</v>
      </c>
      <c r="M135" s="488">
        <f>Passby_Length_Adj!J130</f>
        <v>0.57899999999999996</v>
      </c>
      <c r="N135" s="372">
        <v>0.5</v>
      </c>
      <c r="O135" s="481">
        <f t="shared" si="82"/>
        <v>8.9648791540785491E-2</v>
      </c>
      <c r="P135" s="489">
        <f t="shared" si="83"/>
        <v>501.17610219571458</v>
      </c>
      <c r="Q135" s="490">
        <f t="shared" si="84"/>
        <v>300.10545041659554</v>
      </c>
      <c r="R135" s="491">
        <f t="shared" si="85"/>
        <v>261.71052631578948</v>
      </c>
      <c r="S135" s="500">
        <f t="shared" si="86"/>
        <v>78540.755378764283</v>
      </c>
      <c r="T135" s="489">
        <f t="shared" si="87"/>
        <v>25.0504736617034</v>
      </c>
      <c r="U135" s="493">
        <f t="shared" si="88"/>
        <v>154.50490219883392</v>
      </c>
      <c r="V135" s="500">
        <f t="shared" si="89"/>
        <v>3870.420983135949</v>
      </c>
      <c r="W135" s="489">
        <f t="shared" si="90"/>
        <v>16.621827250458875</v>
      </c>
      <c r="X135" s="493">
        <f t="shared" si="91"/>
        <v>37.9060089869281</v>
      </c>
      <c r="Y135" s="763">
        <f t="shared" si="92"/>
        <v>630.06713313506054</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6"/>
        <v>144655.21889469598</v>
      </c>
      <c r="I136" s="487">
        <f>ITECountywide!$B$9*E136</f>
        <v>1487.00481092823</v>
      </c>
      <c r="J136" s="495">
        <f t="shared" si="80"/>
        <v>1.67</v>
      </c>
      <c r="K136" s="372">
        <f t="shared" si="81"/>
        <v>0.85824475890316576</v>
      </c>
      <c r="L136" s="488">
        <f>Passby_Length_Adj!H131</f>
        <v>0.30966767371601206</v>
      </c>
      <c r="M136" s="488">
        <f>Passby_Length_Adj!J131</f>
        <v>0.57899999999999996</v>
      </c>
      <c r="N136" s="372">
        <v>0.5</v>
      </c>
      <c r="O136" s="481">
        <f t="shared" si="82"/>
        <v>8.9648791540785491E-2</v>
      </c>
      <c r="P136" s="489">
        <f t="shared" si="83"/>
        <v>873.03291372612864</v>
      </c>
      <c r="Q136" s="490">
        <f t="shared" si="84"/>
        <v>522.77419983600521</v>
      </c>
      <c r="R136" s="491">
        <f t="shared" si="85"/>
        <v>261.71052631578948</v>
      </c>
      <c r="S136" s="500">
        <f t="shared" si="86"/>
        <v>136815.51098339664</v>
      </c>
      <c r="T136" s="489">
        <f t="shared" si="87"/>
        <v>43.637132567338853</v>
      </c>
      <c r="U136" s="493">
        <f t="shared" si="88"/>
        <v>154.50490219883392</v>
      </c>
      <c r="V136" s="500">
        <f t="shared" si="89"/>
        <v>6742.1508995542399</v>
      </c>
      <c r="W136" s="489">
        <f t="shared" si="90"/>
        <v>28.954697185967621</v>
      </c>
      <c r="X136" s="493">
        <f t="shared" si="91"/>
        <v>37.9060089869281</v>
      </c>
      <c r="Y136" s="763">
        <f t="shared" si="92"/>
        <v>1097.5570117450704</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6"/>
        <v>37712.513269179777</v>
      </c>
      <c r="I137" s="751">
        <f>ITECountywide!$B$9*E137</f>
        <v>311.78197606933963</v>
      </c>
      <c r="J137" s="752">
        <f t="shared" si="80"/>
        <v>1.67</v>
      </c>
      <c r="K137" s="753">
        <f t="shared" si="81"/>
        <v>0.85824475890316576</v>
      </c>
      <c r="L137" s="754">
        <f>Passby_Length_Adj!H132</f>
        <v>0.32930513595166166</v>
      </c>
      <c r="M137" s="754">
        <f>Passby_Length_Adj!J132</f>
        <v>0.67700000000000005</v>
      </c>
      <c r="N137" s="753">
        <v>0.5</v>
      </c>
      <c r="O137" s="755">
        <f t="shared" si="82"/>
        <v>0.11146978851963749</v>
      </c>
      <c r="P137" s="756">
        <f t="shared" si="83"/>
        <v>227.60509848797824</v>
      </c>
      <c r="Q137" s="757">
        <f t="shared" si="84"/>
        <v>136.29047813651391</v>
      </c>
      <c r="R137" s="758">
        <f t="shared" si="85"/>
        <v>261.71052631578948</v>
      </c>
      <c r="S137" s="767">
        <f t="shared" si="86"/>
        <v>35668.652764937651</v>
      </c>
      <c r="T137" s="756">
        <f t="shared" si="87"/>
        <v>11.376471264218351</v>
      </c>
      <c r="U137" s="760">
        <f t="shared" si="88"/>
        <v>154.50490219883392</v>
      </c>
      <c r="V137" s="767">
        <f t="shared" si="89"/>
        <v>1757.7205800459008</v>
      </c>
      <c r="W137" s="756">
        <f t="shared" si="90"/>
        <v>7.5486692438369047</v>
      </c>
      <c r="X137" s="760">
        <f t="shared" si="91"/>
        <v>37.9060089869281</v>
      </c>
      <c r="Y137" s="768">
        <f t="shared" si="92"/>
        <v>286.13992419622946</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1.42578125" style="11" customWidth="1"/>
    <col min="10" max="10" width="11.42578125" style="60" customWidth="1"/>
    <col min="11" max="11" width="11.42578125" style="12" customWidth="1"/>
    <col min="12" max="12" width="8.5703125" style="12" customWidth="1"/>
    <col min="13" max="14" width="10.5703125" style="12" customWidth="1"/>
    <col min="15" max="15" width="8.5703125" style="368" customWidth="1"/>
    <col min="16" max="16" width="8.5703125" style="12" customWidth="1"/>
    <col min="17" max="17" width="8.5703125" style="11" customWidth="1"/>
    <col min="18" max="18" width="8.5703125" style="13" customWidth="1"/>
    <col min="19" max="19" width="8.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A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3</v>
      </c>
      <c r="E4" s="396" t="s">
        <v>69</v>
      </c>
      <c r="F4" s="461">
        <f>'2045_24hr_all_productions'!$Q$37</f>
        <v>0.89742039884879754</v>
      </c>
      <c r="G4" s="465">
        <f>'2045_24hr_all_productions'!$S$37</f>
        <v>4.6529531905146693E-2</v>
      </c>
      <c r="H4" s="462">
        <f>'2045_24hr_all_productions'!$T$37</f>
        <v>3.3575323378019842E-2</v>
      </c>
      <c r="I4" s="461">
        <f>'2045_24hr_all_productions'!$R$37</f>
        <v>2.2474745868035894E-2</v>
      </c>
      <c r="J4" s="463">
        <f>+H4+I4</f>
        <v>5.6050069246055739E-2</v>
      </c>
      <c r="K4" s="60"/>
      <c r="L4" s="395" t="s">
        <v>73</v>
      </c>
      <c r="M4" s="393">
        <f>ITECountywide!B4</f>
        <v>1.67</v>
      </c>
      <c r="O4" s="472" t="s">
        <v>388</v>
      </c>
      <c r="P4" s="603"/>
      <c r="Q4" s="604">
        <f>+RoadCapCost!L15</f>
        <v>261.71052631578948</v>
      </c>
      <c r="R4" s="604">
        <f>+TransitCapCost!AB13</f>
        <v>405.42115030277023</v>
      </c>
      <c r="S4" s="471">
        <f>+WalkBikeCapCost!$V$7</f>
        <v>37.9060089869281</v>
      </c>
      <c r="T4" s="11"/>
    </row>
    <row r="5" spans="1:36" ht="17.100000000000001" customHeight="1" thickBot="1" x14ac:dyDescent="0.3">
      <c r="B5" s="960"/>
      <c r="C5" s="958"/>
      <c r="E5" s="396" t="s">
        <v>72</v>
      </c>
      <c r="F5" s="461">
        <f>'2045_24hr_all_attractions'!$Q$37</f>
        <v>0.8974131092322899</v>
      </c>
      <c r="G5" s="465">
        <f>'2045_24hr_all_attractions'!$S$37</f>
        <v>4.6534762670377171E-2</v>
      </c>
      <c r="H5" s="462">
        <f>'2045_24hr_all_attractions'!$T$37</f>
        <v>3.3579097854721775E-2</v>
      </c>
      <c r="I5" s="461">
        <f>'2045_24hr_all_attractions'!$R$37</f>
        <v>2.2473030242611155E-2</v>
      </c>
      <c r="J5" s="463">
        <f>+H5+I5</f>
        <v>5.6052128097332926E-2</v>
      </c>
      <c r="K5" s="60"/>
      <c r="S5" s="380"/>
      <c r="T5" s="11"/>
    </row>
    <row r="6" spans="1:36" ht="17.100000000000001" customHeight="1" x14ac:dyDescent="0.25">
      <c r="B6" s="955" t="s">
        <v>56</v>
      </c>
      <c r="C6" s="957" t="s">
        <v>58</v>
      </c>
      <c r="E6" s="396" t="s">
        <v>74</v>
      </c>
      <c r="F6" s="385">
        <f>'2045_24hr_all_productions'!$M$37</f>
        <v>7.661605851491232</v>
      </c>
      <c r="G6" s="387">
        <f>'2045_24hr_all_productions'!$O$37</f>
        <v>6.0469665891790871</v>
      </c>
      <c r="H6" s="386">
        <f>'2045_24hr_all_productions'!$P$37</f>
        <v>0.94287347609121352</v>
      </c>
      <c r="I6" s="385">
        <f>'2045_24hr_all_productions'!$N$37</f>
        <v>4.693382089270548</v>
      </c>
      <c r="J6" s="398">
        <f>+((H4/J4)*H6)+(I4/J4*I6)</f>
        <v>2.4467383078553047</v>
      </c>
      <c r="K6" s="60"/>
      <c r="O6" s="60"/>
      <c r="P6" s="11"/>
      <c r="S6" s="380"/>
    </row>
    <row r="7" spans="1:36" ht="17.100000000000001" customHeight="1" thickBot="1" x14ac:dyDescent="0.3">
      <c r="B7" s="956"/>
      <c r="C7" s="958"/>
      <c r="E7" s="399" t="s">
        <v>75</v>
      </c>
      <c r="F7" s="400">
        <f>'2045_24hr_all_attractions'!$M$37</f>
        <v>7.7037596108620177</v>
      </c>
      <c r="G7" s="403">
        <f>'2045_24hr_all_attractions'!$O$37</f>
        <v>6.1469693240348233</v>
      </c>
      <c r="H7" s="402">
        <f>'2045_24hr_all_attractions'!$P$37</f>
        <v>0.94162402880424489</v>
      </c>
      <c r="I7" s="400">
        <f>'2045_24hr_all_attractions'!$N$37</f>
        <v>4.7049740443605472</v>
      </c>
      <c r="J7" s="401">
        <f>+((H5/J5)*H7)+(I5/J5*I7)</f>
        <v>2.4504673427684858</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66</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10753.449208371063</v>
      </c>
      <c r="I12" s="487">
        <f>ITECountywide!$B$9*E12</f>
        <v>17.853918169193626</v>
      </c>
      <c r="J12" s="488">
        <f>IF(F12="Prod",$M$3,$M$4)</f>
        <v>1.67</v>
      </c>
      <c r="K12" s="372">
        <f>IF(F12="Prod",$F$4,$F$5)</f>
        <v>0.8974131092322899</v>
      </c>
      <c r="L12" s="488">
        <f>Passby_Length_Adj!H7</f>
        <v>1</v>
      </c>
      <c r="M12" s="488">
        <f>Passby_Length_Adj!J7</f>
        <v>1</v>
      </c>
      <c r="N12" s="372">
        <v>0.5</v>
      </c>
      <c r="O12" s="481">
        <f>L12*M12*N12</f>
        <v>0.5</v>
      </c>
      <c r="P12" s="489">
        <f>IF($F12="Prod",$I12*$O12*$F$4*$F$6,$I12*O12*$F$5*$F$7)</f>
        <v>61.71612871450634</v>
      </c>
      <c r="Q12" s="490">
        <f>+P12/J12</f>
        <v>36.955765697309189</v>
      </c>
      <c r="R12" s="491">
        <f>$Q$4</f>
        <v>261.71052631578948</v>
      </c>
      <c r="S12" s="500">
        <f>+Q12*R12</f>
        <v>9671.7128910457868</v>
      </c>
      <c r="T12" s="489">
        <f>IF($F12="Prod",$I12*$O12*$G$4*$G$6,$I12*$O12*$G$5*$G$7)</f>
        <v>2.5535366375846364</v>
      </c>
      <c r="U12" s="493">
        <f>+$R$4</f>
        <v>405.42115030277023</v>
      </c>
      <c r="V12" s="500">
        <f>+T12*U12</f>
        <v>1035.2577609498314</v>
      </c>
      <c r="W12" s="489">
        <f>IF($F12="Prod",$I12*$O12*$J$4*$J$6,$I12*$O12*$J$5*$J$7)</f>
        <v>1.2261527292802807</v>
      </c>
      <c r="X12" s="493">
        <f>+$S$4</f>
        <v>37.9060089869281</v>
      </c>
      <c r="Y12" s="763">
        <f>+W12*X12</f>
        <v>46.47855637544474</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5414.9348297990318</v>
      </c>
      <c r="I14" s="487">
        <f>ITECountywide!$B$9*E14</f>
        <v>8.9903994029645062</v>
      </c>
      <c r="J14" s="488">
        <f t="shared" ref="J14:J20" si="1">IF(F14="Prod",$M$3,$M$4)</f>
        <v>1.67</v>
      </c>
      <c r="K14" s="372">
        <f t="shared" ref="K14:K20" si="2">IF(F14="Prod",$F$4,$F$5)</f>
        <v>0.8974131092322899</v>
      </c>
      <c r="L14" s="488">
        <f>Passby_Length_Adj!H9</f>
        <v>1</v>
      </c>
      <c r="M14" s="488">
        <f>Passby_Length_Adj!J9</f>
        <v>1</v>
      </c>
      <c r="N14" s="372">
        <v>0.5</v>
      </c>
      <c r="O14" s="481">
        <f t="shared" ref="O14:O20" si="3">L14*M14*N14</f>
        <v>0.5</v>
      </c>
      <c r="P14" s="489">
        <f t="shared" ref="P14:P20" si="4">IF($F14="Prod",$I14*$O14*$F$4*$F$6,$I14*O14*$F$5*$F$7)</f>
        <v>31.077360246086439</v>
      </c>
      <c r="Q14" s="490">
        <f t="shared" ref="Q14:Q79" si="5">+P14/J14</f>
        <v>18.609197752147569</v>
      </c>
      <c r="R14" s="491">
        <f t="shared" ref="R14:R20" si="6">$Q$4</f>
        <v>261.71052631578948</v>
      </c>
      <c r="S14" s="500">
        <f t="shared" ref="S14:S20" si="7">+Q14*R14</f>
        <v>4870.2229380291465</v>
      </c>
      <c r="T14" s="489">
        <f t="shared" ref="T14:T20" si="8">IF($F14="Prod",$I14*$O14*$G$4*$G$6,$I14*$O14*$G$5*$G$7)</f>
        <v>1.2858417992304363</v>
      </c>
      <c r="U14" s="493">
        <f t="shared" ref="U14:U20" si="9">+$R$4</f>
        <v>405.42115030277023</v>
      </c>
      <c r="V14" s="500">
        <f t="shared" ref="V14:V20" si="10">+T14*U14</f>
        <v>521.30746135138725</v>
      </c>
      <c r="W14" s="489">
        <f t="shared" ref="W14:W20" si="11">IF($F14="Prod",$I14*$O14*$J$4*$J$6,$I14*$O14*$J$5*$J$7)</f>
        <v>0.61743325251067949</v>
      </c>
      <c r="X14" s="493">
        <f t="shared" ref="X14:X20" si="12">+$S$4</f>
        <v>37.9060089869281</v>
      </c>
      <c r="Y14" s="763">
        <f t="shared" ref="Y14:Y20" si="13">+W14*X14</f>
        <v>23.404430418498062</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3679.0988662142618</v>
      </c>
      <c r="I15" s="487">
        <f>ITECountywide!$B$9*E15</f>
        <v>6.1083963685464484</v>
      </c>
      <c r="J15" s="488">
        <f t="shared" si="1"/>
        <v>1.67</v>
      </c>
      <c r="K15" s="372">
        <f t="shared" si="2"/>
        <v>0.8974131092322899</v>
      </c>
      <c r="L15" s="488">
        <f>Passby_Length_Adj!H10</f>
        <v>1</v>
      </c>
      <c r="M15" s="488">
        <f>Passby_Length_Adj!J10</f>
        <v>1</v>
      </c>
      <c r="N15" s="372">
        <v>0.5</v>
      </c>
      <c r="O15" s="481">
        <f t="shared" si="3"/>
        <v>0.5</v>
      </c>
      <c r="P15" s="489">
        <f t="shared" si="4"/>
        <v>21.115061296232117</v>
      </c>
      <c r="Q15" s="490">
        <f t="shared" si="5"/>
        <v>12.643749279180909</v>
      </c>
      <c r="R15" s="491">
        <f t="shared" si="6"/>
        <v>261.71052631578948</v>
      </c>
      <c r="S15" s="500">
        <f t="shared" si="7"/>
        <v>3309.0022784593198</v>
      </c>
      <c r="T15" s="489">
        <f t="shared" si="8"/>
        <v>0.87364654504164718</v>
      </c>
      <c r="U15" s="493">
        <f t="shared" si="9"/>
        <v>405.42115030277023</v>
      </c>
      <c r="V15" s="500">
        <f t="shared" si="10"/>
        <v>354.19478724882555</v>
      </c>
      <c r="W15" s="489">
        <f t="shared" si="11"/>
        <v>0.41950606067761881</v>
      </c>
      <c r="X15" s="493">
        <f t="shared" si="12"/>
        <v>37.9060089869281</v>
      </c>
      <c r="Y15" s="763">
        <f t="shared" si="13"/>
        <v>15.901800506116624</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4290.4624760302813</v>
      </c>
      <c r="I16" s="487">
        <f>ITECountywide!$B$9*E16</f>
        <v>7.1234414624295379</v>
      </c>
      <c r="J16" s="488">
        <f t="shared" si="1"/>
        <v>1.67</v>
      </c>
      <c r="K16" s="372">
        <f t="shared" si="2"/>
        <v>0.8974131092322899</v>
      </c>
      <c r="L16" s="488">
        <f>Passby_Length_Adj!H11</f>
        <v>1</v>
      </c>
      <c r="M16" s="488">
        <f>Passby_Length_Adj!J11</f>
        <v>1</v>
      </c>
      <c r="N16" s="372">
        <v>0.5</v>
      </c>
      <c r="O16" s="481">
        <f t="shared" si="3"/>
        <v>0.5</v>
      </c>
      <c r="P16" s="489">
        <f t="shared" si="4"/>
        <v>24.623795517564457</v>
      </c>
      <c r="Q16" s="490">
        <f t="shared" si="5"/>
        <v>14.744787735068538</v>
      </c>
      <c r="R16" s="491">
        <f t="shared" si="6"/>
        <v>261.71052631578948</v>
      </c>
      <c r="S16" s="500">
        <f t="shared" si="7"/>
        <v>3858.8661585593845</v>
      </c>
      <c r="T16" s="489">
        <f t="shared" si="8"/>
        <v>1.0188222320515352</v>
      </c>
      <c r="U16" s="493">
        <f t="shared" si="9"/>
        <v>405.42115030277023</v>
      </c>
      <c r="V16" s="500">
        <f t="shared" si="10"/>
        <v>413.05208127236932</v>
      </c>
      <c r="W16" s="489">
        <f t="shared" si="11"/>
        <v>0.48921626660624395</v>
      </c>
      <c r="X16" s="493">
        <f t="shared" si="12"/>
        <v>37.9060089869281</v>
      </c>
      <c r="Y16" s="763">
        <f t="shared" si="13"/>
        <v>18.544236198527695</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1899.5940733569182</v>
      </c>
      <c r="I17" s="487">
        <f>ITECountywide!$B$9*E17</f>
        <v>3.1538901131367418</v>
      </c>
      <c r="J17" s="488">
        <f t="shared" si="1"/>
        <v>1.67</v>
      </c>
      <c r="K17" s="372">
        <f t="shared" si="2"/>
        <v>0.8974131092322899</v>
      </c>
      <c r="L17" s="488">
        <f>Passby_Length_Adj!H12</f>
        <v>1</v>
      </c>
      <c r="M17" s="488">
        <f>Passby_Length_Adj!J12</f>
        <v>1</v>
      </c>
      <c r="N17" s="372">
        <v>0.5</v>
      </c>
      <c r="O17" s="481">
        <f t="shared" si="3"/>
        <v>0.5</v>
      </c>
      <c r="P17" s="489">
        <f t="shared" si="4"/>
        <v>10.902138473425483</v>
      </c>
      <c r="Q17" s="490">
        <f t="shared" si="5"/>
        <v>6.5282266307937027</v>
      </c>
      <c r="R17" s="491">
        <f t="shared" si="6"/>
        <v>261.71052631578948</v>
      </c>
      <c r="S17" s="500">
        <f t="shared" si="7"/>
        <v>1708.5056274537731</v>
      </c>
      <c r="T17" s="489">
        <f t="shared" si="8"/>
        <v>0.45108159892358041</v>
      </c>
      <c r="U17" s="493">
        <f t="shared" si="9"/>
        <v>405.42115030277023</v>
      </c>
      <c r="V17" s="500">
        <f t="shared" si="10"/>
        <v>182.87802071601081</v>
      </c>
      <c r="W17" s="489">
        <f t="shared" si="11"/>
        <v>0.2165995684210851</v>
      </c>
      <c r="X17" s="493">
        <f t="shared" si="12"/>
        <v>37.9060089869281</v>
      </c>
      <c r="Y17" s="763">
        <f t="shared" si="13"/>
        <v>8.2104251871343994</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1648.4983050396245</v>
      </c>
      <c r="I18" s="487">
        <f>ITECountywide!$B$9*E18</f>
        <v>2.736996592434759</v>
      </c>
      <c r="J18" s="495">
        <f t="shared" si="1"/>
        <v>1.67</v>
      </c>
      <c r="K18" s="372">
        <f t="shared" si="2"/>
        <v>0.8974131092322899</v>
      </c>
      <c r="L18" s="488">
        <f>Passby_Length_Adj!H13</f>
        <v>1</v>
      </c>
      <c r="M18" s="488">
        <f>Passby_Length_Adj!J13</f>
        <v>1</v>
      </c>
      <c r="N18" s="372">
        <v>0.5</v>
      </c>
      <c r="O18" s="481">
        <f t="shared" si="3"/>
        <v>0.5</v>
      </c>
      <c r="P18" s="489">
        <f t="shared" si="4"/>
        <v>9.461051203949701</v>
      </c>
      <c r="Q18" s="490">
        <f t="shared" si="5"/>
        <v>5.6653001221255694</v>
      </c>
      <c r="R18" s="491">
        <f t="shared" si="6"/>
        <v>261.71052631578948</v>
      </c>
      <c r="S18" s="500">
        <f t="shared" si="7"/>
        <v>1482.6686766983892</v>
      </c>
      <c r="T18" s="489">
        <f t="shared" si="8"/>
        <v>0.39145587033023366</v>
      </c>
      <c r="U18" s="493">
        <f t="shared" si="9"/>
        <v>405.42115030277023</v>
      </c>
      <c r="V18" s="500">
        <f t="shared" si="10"/>
        <v>158.70448924205539</v>
      </c>
      <c r="W18" s="489">
        <f t="shared" si="11"/>
        <v>0.1879685909861141</v>
      </c>
      <c r="X18" s="493">
        <f t="shared" si="12"/>
        <v>37.9060089869281</v>
      </c>
      <c r="Y18" s="763">
        <f t="shared" si="13"/>
        <v>7.1251390991798536</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1080.8035244961777</v>
      </c>
      <c r="I19" s="487">
        <f>ITECountywide!$B$9*E19</f>
        <v>1.7944547195433187</v>
      </c>
      <c r="J19" s="488">
        <f t="shared" si="1"/>
        <v>1.67</v>
      </c>
      <c r="K19" s="372">
        <f t="shared" si="2"/>
        <v>0.8974131092322899</v>
      </c>
      <c r="L19" s="488">
        <f>Passby_Length_Adj!H14</f>
        <v>1</v>
      </c>
      <c r="M19" s="488">
        <f>Passby_Length_Adj!J14</f>
        <v>1</v>
      </c>
      <c r="N19" s="372">
        <v>0.5</v>
      </c>
      <c r="O19" s="481">
        <f t="shared" si="3"/>
        <v>0.5</v>
      </c>
      <c r="P19" s="489">
        <f t="shared" si="4"/>
        <v>6.2029408555696719</v>
      </c>
      <c r="Q19" s="490">
        <f t="shared" si="5"/>
        <v>3.7143358416584862</v>
      </c>
      <c r="R19" s="491">
        <f t="shared" si="6"/>
        <v>261.71052631578948</v>
      </c>
      <c r="S19" s="500">
        <f t="shared" si="7"/>
        <v>972.08078803404328</v>
      </c>
      <c r="T19" s="489">
        <f t="shared" si="8"/>
        <v>0.25664987524962335</v>
      </c>
      <c r="U19" s="493">
        <f t="shared" si="9"/>
        <v>405.42115030277023</v>
      </c>
      <c r="V19" s="500">
        <f t="shared" si="10"/>
        <v>104.05128764876477</v>
      </c>
      <c r="W19" s="489">
        <f t="shared" si="11"/>
        <v>0.12323768548096223</v>
      </c>
      <c r="X19" s="493">
        <f t="shared" si="12"/>
        <v>37.9060089869281</v>
      </c>
      <c r="Y19" s="763">
        <f t="shared" si="13"/>
        <v>4.6714488133695724</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14454.382489221607</v>
      </c>
      <c r="I20" s="487">
        <f>ITECountywide!$B$9*E20</f>
        <v>23.998566148235899</v>
      </c>
      <c r="J20" s="488">
        <f t="shared" si="1"/>
        <v>1.67</v>
      </c>
      <c r="K20" s="372">
        <f t="shared" si="2"/>
        <v>0.8974131092322899</v>
      </c>
      <c r="L20" s="488">
        <f>Passby_Length_Adj!H15</f>
        <v>1</v>
      </c>
      <c r="M20" s="488">
        <f>Passby_Length_Adj!J15</f>
        <v>1</v>
      </c>
      <c r="N20" s="372">
        <v>0.5</v>
      </c>
      <c r="O20" s="481">
        <f t="shared" si="3"/>
        <v>0.5</v>
      </c>
      <c r="P20" s="489">
        <f t="shared" si="4"/>
        <v>82.956501947214605</v>
      </c>
      <c r="Q20" s="490">
        <f t="shared" si="5"/>
        <v>49.674552064200363</v>
      </c>
      <c r="R20" s="491">
        <f t="shared" si="6"/>
        <v>261.71052631578948</v>
      </c>
      <c r="S20" s="500">
        <f t="shared" si="7"/>
        <v>13000.353165222963</v>
      </c>
      <c r="T20" s="489">
        <f t="shared" si="8"/>
        <v>3.4323680285909228</v>
      </c>
      <c r="U20" s="493">
        <f t="shared" si="9"/>
        <v>405.42115030277023</v>
      </c>
      <c r="V20" s="500">
        <f t="shared" si="10"/>
        <v>1391.5545944137837</v>
      </c>
      <c r="W20" s="489">
        <f t="shared" si="11"/>
        <v>1.648148440169636</v>
      </c>
      <c r="X20" s="493">
        <f t="shared" si="12"/>
        <v>37.9060089869281</v>
      </c>
      <c r="Y20" s="763">
        <f t="shared" si="13"/>
        <v>62.474729584861755</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10238.879044885038</v>
      </c>
      <c r="I22" s="487">
        <f>ITECountywide!$B$9*E22</f>
        <v>17.110760154029219</v>
      </c>
      <c r="J22" s="488">
        <f t="shared" ref="J22:J35" si="14">IF(F22="Prod",$M$3,$M$4)</f>
        <v>1.67</v>
      </c>
      <c r="K22" s="372">
        <f t="shared" ref="K22:K35" si="15">IF(F22="Prod",$F$4,$F$5)</f>
        <v>0.89742039884879754</v>
      </c>
      <c r="L22" s="488">
        <f>Passby_Length_Adj!H17</f>
        <v>1</v>
      </c>
      <c r="M22" s="488">
        <f>Passby_Length_Adj!J17</f>
        <v>1</v>
      </c>
      <c r="N22" s="372">
        <v>0.5</v>
      </c>
      <c r="O22" s="481">
        <f t="shared" ref="O22:O35" si="16">L22*M22*N22</f>
        <v>0.5</v>
      </c>
      <c r="P22" s="489">
        <f t="shared" ref="P22:P35" si="17">IF($F22="Prod",$I22*$O22*$F$4*$F$6,$I22*O22*$F$5*$F$7)</f>
        <v>58.824067486374787</v>
      </c>
      <c r="Q22" s="490">
        <f t="shared" si="5"/>
        <v>35.22399250681125</v>
      </c>
      <c r="R22" s="491">
        <f t="shared" ref="R22:R35" si="18">$Q$4</f>
        <v>261.71052631578948</v>
      </c>
      <c r="S22" s="500">
        <f t="shared" ref="S22:S85" si="19">+Q22*R22</f>
        <v>9218.4896179009975</v>
      </c>
      <c r="T22" s="489">
        <f t="shared" ref="T22:T35" si="20">IF($F22="Prod",$I22*$O22*$G$4*$G$6,$I22*$O22*$G$5*$G$7)</f>
        <v>2.4071633394394931</v>
      </c>
      <c r="U22" s="493">
        <f t="shared" ref="U22:U35" si="21">+$R$4</f>
        <v>405.42115030277023</v>
      </c>
      <c r="V22" s="500">
        <f t="shared" ref="V22:V35" si="22">+T22*U22</f>
        <v>975.91493004221707</v>
      </c>
      <c r="W22" s="489">
        <f t="shared" ref="W22:W35" si="23">IF($F22="Prod",$I22*$O22*$J$4*$J$6,$I22*$O22*$J$5*$J$7)</f>
        <v>1.1732835539916682</v>
      </c>
      <c r="X22" s="493">
        <f t="shared" ref="X22:X35" si="24">+$S$4</f>
        <v>37.9060089869281</v>
      </c>
      <c r="Y22" s="763">
        <f t="shared" ref="Y22:Y35" si="25">+W22*X22</f>
        <v>44.474496941823112</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7939.4697678557714</v>
      </c>
      <c r="I23" s="487">
        <f>ITECountywide!$B$9*E23</f>
        <v>13.268089441471812</v>
      </c>
      <c r="J23" s="488">
        <f t="shared" si="14"/>
        <v>1.67</v>
      </c>
      <c r="K23" s="372">
        <f t="shared" si="15"/>
        <v>0.89742039884879754</v>
      </c>
      <c r="L23" s="488">
        <f>Passby_Length_Adj!H18</f>
        <v>1</v>
      </c>
      <c r="M23" s="488">
        <f>Passby_Length_Adj!J18</f>
        <v>1</v>
      </c>
      <c r="N23" s="372">
        <v>0.5</v>
      </c>
      <c r="O23" s="481">
        <f t="shared" si="16"/>
        <v>0.5</v>
      </c>
      <c r="P23" s="489">
        <f t="shared" si="17"/>
        <v>45.613577754265201</v>
      </c>
      <c r="Q23" s="490">
        <f t="shared" si="5"/>
        <v>27.313519613332456</v>
      </c>
      <c r="R23" s="491">
        <f t="shared" si="18"/>
        <v>261.71052631578948</v>
      </c>
      <c r="S23" s="500">
        <f t="shared" si="19"/>
        <v>7148.2355935418755</v>
      </c>
      <c r="T23" s="489">
        <f t="shared" si="20"/>
        <v>1.8665715725314713</v>
      </c>
      <c r="U23" s="493">
        <f t="shared" si="21"/>
        <v>405.42115030277023</v>
      </c>
      <c r="V23" s="500">
        <f t="shared" si="22"/>
        <v>756.74759405815985</v>
      </c>
      <c r="W23" s="489">
        <f t="shared" si="23"/>
        <v>0.90979190839184454</v>
      </c>
      <c r="X23" s="493">
        <f t="shared" si="24"/>
        <v>37.9060089869281</v>
      </c>
      <c r="Y23" s="763">
        <f t="shared" si="25"/>
        <v>34.486580255735724</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5900.3709750184962</v>
      </c>
      <c r="I24" s="487">
        <f>ITECountywide!$B$9*E24</f>
        <v>9.8604380548642965</v>
      </c>
      <c r="J24" s="488">
        <f t="shared" si="14"/>
        <v>1.67</v>
      </c>
      <c r="K24" s="372">
        <f t="shared" si="15"/>
        <v>0.89742039884879754</v>
      </c>
      <c r="L24" s="488">
        <f>Passby_Length_Adj!H19</f>
        <v>1</v>
      </c>
      <c r="M24" s="488">
        <f>Passby_Length_Adj!J19</f>
        <v>1</v>
      </c>
      <c r="N24" s="372">
        <v>0.5</v>
      </c>
      <c r="O24" s="481">
        <f t="shared" si="16"/>
        <v>0.5</v>
      </c>
      <c r="P24" s="489">
        <f t="shared" si="17"/>
        <v>33.898615161639711</v>
      </c>
      <c r="Q24" s="490">
        <f t="shared" si="5"/>
        <v>20.298571953077673</v>
      </c>
      <c r="R24" s="491">
        <f t="shared" si="18"/>
        <v>261.71052631578948</v>
      </c>
      <c r="S24" s="500">
        <f t="shared" si="19"/>
        <v>5312.3499492988803</v>
      </c>
      <c r="T24" s="489">
        <f t="shared" si="20"/>
        <v>1.3871788735753012</v>
      </c>
      <c r="U24" s="493">
        <f t="shared" si="21"/>
        <v>405.42115030277023</v>
      </c>
      <c r="V24" s="500">
        <f t="shared" si="22"/>
        <v>562.39165460059974</v>
      </c>
      <c r="W24" s="489">
        <f t="shared" si="23"/>
        <v>0.67612950569011387</v>
      </c>
      <c r="X24" s="493">
        <f t="shared" si="24"/>
        <v>37.9060089869281</v>
      </c>
      <c r="Y24" s="763">
        <f t="shared" si="25"/>
        <v>25.62937111901671</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4826.5902277265286</v>
      </c>
      <c r="I25" s="487">
        <f>ITECountywide!$B$9*E25</f>
        <v>8.0659833353209791</v>
      </c>
      <c r="J25" s="488">
        <f t="shared" si="14"/>
        <v>1.67</v>
      </c>
      <c r="K25" s="372">
        <f t="shared" si="15"/>
        <v>0.89742039884879754</v>
      </c>
      <c r="L25" s="488">
        <f>Passby_Length_Adj!H20</f>
        <v>1</v>
      </c>
      <c r="M25" s="488">
        <f>Passby_Length_Adj!J20</f>
        <v>1</v>
      </c>
      <c r="N25" s="372">
        <v>0.5</v>
      </c>
      <c r="O25" s="481">
        <f t="shared" si="16"/>
        <v>0.5</v>
      </c>
      <c r="P25" s="489">
        <f t="shared" si="17"/>
        <v>27.729565711267782</v>
      </c>
      <c r="Q25" s="490">
        <f t="shared" si="5"/>
        <v>16.604530366028612</v>
      </c>
      <c r="R25" s="491">
        <f t="shared" si="18"/>
        <v>261.71052631578948</v>
      </c>
      <c r="S25" s="500">
        <f t="shared" si="19"/>
        <v>4345.5803813198563</v>
      </c>
      <c r="T25" s="489">
        <f t="shared" si="20"/>
        <v>1.1347327182739138</v>
      </c>
      <c r="U25" s="493">
        <f t="shared" si="21"/>
        <v>405.42115030277023</v>
      </c>
      <c r="V25" s="500">
        <f t="shared" si="22"/>
        <v>460.04464392879942</v>
      </c>
      <c r="W25" s="489">
        <f t="shared" si="23"/>
        <v>0.55308387873547926</v>
      </c>
      <c r="X25" s="493">
        <f t="shared" si="24"/>
        <v>37.9060089869281</v>
      </c>
      <c r="Y25" s="763">
        <f t="shared" si="25"/>
        <v>20.965202477872129</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6355.9143223544843</v>
      </c>
      <c r="I26" s="487">
        <f>ITECountywide!$B$9*E26</f>
        <v>10.621721875276615</v>
      </c>
      <c r="J26" s="488">
        <f t="shared" si="14"/>
        <v>1.67</v>
      </c>
      <c r="K26" s="372">
        <f t="shared" si="15"/>
        <v>0.89742039884879754</v>
      </c>
      <c r="L26" s="488">
        <f>Passby_Length_Adj!H22</f>
        <v>1</v>
      </c>
      <c r="M26" s="488">
        <f>Passby_Length_Adj!J22</f>
        <v>1</v>
      </c>
      <c r="N26" s="372">
        <v>0.5</v>
      </c>
      <c r="O26" s="481">
        <f t="shared" si="16"/>
        <v>0.5</v>
      </c>
      <c r="P26" s="489">
        <f t="shared" si="17"/>
        <v>36.515787655736901</v>
      </c>
      <c r="Q26" s="490">
        <f>+P26/J26</f>
        <v>21.865741111219702</v>
      </c>
      <c r="R26" s="491">
        <f t="shared" si="18"/>
        <v>261.71052631578948</v>
      </c>
      <c r="S26" s="500">
        <f t="shared" si="19"/>
        <v>5722.494614502104</v>
      </c>
      <c r="T26" s="489">
        <f t="shared" si="20"/>
        <v>1.4942772424910415</v>
      </c>
      <c r="U26" s="493">
        <f t="shared" si="21"/>
        <v>405.42115030277023</v>
      </c>
      <c r="V26" s="500">
        <f t="shared" si="22"/>
        <v>605.81159852196959</v>
      </c>
      <c r="W26" s="489">
        <f t="shared" si="23"/>
        <v>0.7283306807617772</v>
      </c>
      <c r="X26" s="493">
        <f t="shared" si="24"/>
        <v>37.9060089869281</v>
      </c>
      <c r="Y26" s="763">
        <f t="shared" si="25"/>
        <v>27.608109330411388</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3731.1169400852264</v>
      </c>
      <c r="I27" s="487">
        <f>ITECountywide!$B$9*E27</f>
        <v>6.2352770052818345</v>
      </c>
      <c r="J27" s="488">
        <f t="shared" si="14"/>
        <v>1.67</v>
      </c>
      <c r="K27" s="372">
        <f t="shared" si="15"/>
        <v>0.89742039884879754</v>
      </c>
      <c r="L27" s="488">
        <f>Passby_Length_Adj!H22</f>
        <v>1</v>
      </c>
      <c r="M27" s="488">
        <f>Passby_Length_Adj!J22</f>
        <v>1</v>
      </c>
      <c r="N27" s="372">
        <v>0.5</v>
      </c>
      <c r="O27" s="481">
        <f t="shared" si="16"/>
        <v>0.5</v>
      </c>
      <c r="P27" s="489">
        <f t="shared" si="17"/>
        <v>21.435888999272173</v>
      </c>
      <c r="Q27" s="490">
        <f t="shared" si="5"/>
        <v>12.835861676210882</v>
      </c>
      <c r="R27" s="491">
        <f t="shared" si="18"/>
        <v>261.71052631578948</v>
      </c>
      <c r="S27" s="500">
        <f t="shared" si="19"/>
        <v>3359.2801149978218</v>
      </c>
      <c r="T27" s="489">
        <f t="shared" si="20"/>
        <v>0.87718664064320517</v>
      </c>
      <c r="U27" s="493">
        <f t="shared" si="21"/>
        <v>405.42115030277023</v>
      </c>
      <c r="V27" s="500">
        <f t="shared" si="22"/>
        <v>355.63001687979096</v>
      </c>
      <c r="W27" s="489">
        <f t="shared" si="23"/>
        <v>0.42755248153933673</v>
      </c>
      <c r="X27" s="493">
        <f t="shared" si="24"/>
        <v>37.9060089869281</v>
      </c>
      <c r="Y27" s="763">
        <f t="shared" si="25"/>
        <v>16.206808207613509</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5423.1350873331785</v>
      </c>
      <c r="I28" s="487">
        <f>ITECountywide!$B$9*E28</f>
        <v>9.0629026239561554</v>
      </c>
      <c r="J28" s="488">
        <f t="shared" si="14"/>
        <v>1.67</v>
      </c>
      <c r="K28" s="372">
        <f t="shared" si="15"/>
        <v>0.89742039884879754</v>
      </c>
      <c r="L28" s="488">
        <f>Passby_Length_Adj!H23</f>
        <v>1</v>
      </c>
      <c r="M28" s="488">
        <f>Passby_Length_Adj!J23</f>
        <v>1</v>
      </c>
      <c r="N28" s="372">
        <v>0.5</v>
      </c>
      <c r="O28" s="481">
        <f t="shared" si="16"/>
        <v>0.5</v>
      </c>
      <c r="P28" s="489">
        <f t="shared" si="17"/>
        <v>31.156815405918856</v>
      </c>
      <c r="Q28" s="490">
        <f t="shared" si="5"/>
        <v>18.656775692166981</v>
      </c>
      <c r="R28" s="491">
        <f t="shared" si="18"/>
        <v>261.71052631578948</v>
      </c>
      <c r="S28" s="500">
        <f t="shared" si="19"/>
        <v>4882.6745857526485</v>
      </c>
      <c r="T28" s="489">
        <f t="shared" si="20"/>
        <v>1.27498058233024</v>
      </c>
      <c r="U28" s="493">
        <f t="shared" si="21"/>
        <v>405.42115030277023</v>
      </c>
      <c r="V28" s="500">
        <f t="shared" si="22"/>
        <v>516.9040943020218</v>
      </c>
      <c r="W28" s="489">
        <f t="shared" si="23"/>
        <v>0.6214425603769429</v>
      </c>
      <c r="X28" s="493">
        <f t="shared" si="24"/>
        <v>37.9060089869281</v>
      </c>
      <c r="Y28" s="763">
        <f t="shared" si="25"/>
        <v>23.556407278508004</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4631.3573645825327</v>
      </c>
      <c r="I29" s="487">
        <f>ITECountywide!$B$9*E29</f>
        <v>7.739718840858556</v>
      </c>
      <c r="J29" s="488">
        <f t="shared" si="14"/>
        <v>1.67</v>
      </c>
      <c r="K29" s="372">
        <f t="shared" si="15"/>
        <v>0.89742039884879754</v>
      </c>
      <c r="L29" s="488">
        <f>Passby_Length_Adj!H24</f>
        <v>1</v>
      </c>
      <c r="M29" s="488">
        <f>Passby_Length_Adj!J24</f>
        <v>1</v>
      </c>
      <c r="N29" s="372">
        <v>0.5</v>
      </c>
      <c r="O29" s="481">
        <f t="shared" si="16"/>
        <v>0.5</v>
      </c>
      <c r="P29" s="489">
        <f t="shared" si="17"/>
        <v>26.607920356654699</v>
      </c>
      <c r="Q29" s="490">
        <f t="shared" si="5"/>
        <v>15.932886441110599</v>
      </c>
      <c r="R29" s="491">
        <f t="shared" si="18"/>
        <v>261.71052631578948</v>
      </c>
      <c r="S29" s="500">
        <f t="shared" si="19"/>
        <v>4169.8040962327605</v>
      </c>
      <c r="T29" s="489">
        <f t="shared" si="20"/>
        <v>1.0888334173100249</v>
      </c>
      <c r="U29" s="493">
        <f t="shared" si="21"/>
        <v>405.42115030277023</v>
      </c>
      <c r="V29" s="500">
        <f t="shared" si="22"/>
        <v>441.43609653392656</v>
      </c>
      <c r="W29" s="489">
        <f t="shared" si="23"/>
        <v>0.53071194656190923</v>
      </c>
      <c r="X29" s="493">
        <f t="shared" si="24"/>
        <v>37.9060089869281</v>
      </c>
      <c r="Y29" s="763">
        <f t="shared" si="25"/>
        <v>20.117171815845836</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4013.1199646265518</v>
      </c>
      <c r="I30" s="487">
        <f>ITECountywide!$B$9*E30</f>
        <v>6.7065479417275551</v>
      </c>
      <c r="J30" s="488">
        <f t="shared" si="14"/>
        <v>1.67</v>
      </c>
      <c r="K30" s="372">
        <f t="shared" si="15"/>
        <v>0.89742039884879754</v>
      </c>
      <c r="L30" s="488">
        <f>Passby_Length_Adj!H25</f>
        <v>1</v>
      </c>
      <c r="M30" s="488">
        <f>Passby_Length_Adj!J25</f>
        <v>1</v>
      </c>
      <c r="N30" s="372">
        <v>0.5</v>
      </c>
      <c r="O30" s="481">
        <f t="shared" si="16"/>
        <v>0.5</v>
      </c>
      <c r="P30" s="489">
        <f t="shared" si="17"/>
        <v>23.056043400379952</v>
      </c>
      <c r="Q30" s="490">
        <f t="shared" si="5"/>
        <v>13.806014012203565</v>
      </c>
      <c r="R30" s="491">
        <f t="shared" si="18"/>
        <v>261.71052631578948</v>
      </c>
      <c r="S30" s="500">
        <f t="shared" si="19"/>
        <v>3613.1791934569596</v>
      </c>
      <c r="T30" s="489">
        <f t="shared" si="20"/>
        <v>0.94348563092437776</v>
      </c>
      <c r="U30" s="493">
        <f t="shared" si="21"/>
        <v>405.42115030277023</v>
      </c>
      <c r="V30" s="500">
        <f t="shared" si="22"/>
        <v>382.50902978349615</v>
      </c>
      <c r="W30" s="489">
        <f t="shared" si="23"/>
        <v>0.45986749467893778</v>
      </c>
      <c r="X30" s="493">
        <f t="shared" si="24"/>
        <v>37.9060089869281</v>
      </c>
      <c r="Y30" s="763">
        <f t="shared" si="25"/>
        <v>17.431741386095926</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729.8565957007886</v>
      </c>
      <c r="I31" s="487">
        <f>ITECountywide!$B$9*E31</f>
        <v>3.6614126600782866</v>
      </c>
      <c r="J31" s="488">
        <f t="shared" si="14"/>
        <v>1.67</v>
      </c>
      <c r="K31" s="372">
        <f t="shared" si="15"/>
        <v>0.89742039884879754</v>
      </c>
      <c r="L31" s="488">
        <f>Passby_Length_Adj!H26</f>
        <v>0.46525679758308158</v>
      </c>
      <c r="M31" s="488">
        <f>Passby_Length_Adj!J26</f>
        <v>0.71599999999999997</v>
      </c>
      <c r="N31" s="372">
        <v>0.5</v>
      </c>
      <c r="O31" s="481">
        <f t="shared" si="16"/>
        <v>0.16656193353474319</v>
      </c>
      <c r="P31" s="489">
        <f t="shared" si="17"/>
        <v>4.1931478487702947</v>
      </c>
      <c r="Q31" s="490">
        <f t="shared" si="5"/>
        <v>2.5108669753115538</v>
      </c>
      <c r="R31" s="491">
        <f t="shared" si="18"/>
        <v>261.71052631578948</v>
      </c>
      <c r="S31" s="500">
        <f t="shared" si="19"/>
        <v>657.12031761772118</v>
      </c>
      <c r="T31" s="489">
        <f t="shared" si="20"/>
        <v>0.17158949065783952</v>
      </c>
      <c r="U31" s="493">
        <f t="shared" si="21"/>
        <v>405.42115030277023</v>
      </c>
      <c r="V31" s="500">
        <f t="shared" si="22"/>
        <v>69.566008682367737</v>
      </c>
      <c r="W31" s="489">
        <f t="shared" si="23"/>
        <v>8.3635008945229336E-2</v>
      </c>
      <c r="X31" s="493">
        <f t="shared" si="24"/>
        <v>37.9060089869281</v>
      </c>
      <c r="Y31" s="763">
        <f t="shared" si="25"/>
        <v>3.1702694006996754</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939.41938060497523</v>
      </c>
      <c r="I32" s="487">
        <f>ITECountywide!$B$9*E32</f>
        <v>4.7127093644572007</v>
      </c>
      <c r="J32" s="495">
        <f t="shared" si="14"/>
        <v>1.67</v>
      </c>
      <c r="K32" s="372">
        <f t="shared" si="15"/>
        <v>0.89742039884879754</v>
      </c>
      <c r="L32" s="488">
        <f>Passby_Length_Adj!H27</f>
        <v>0.46525679758308158</v>
      </c>
      <c r="M32" s="488">
        <f>Passby_Length_Adj!J27</f>
        <v>0.71599999999999997</v>
      </c>
      <c r="N32" s="372">
        <v>0.5</v>
      </c>
      <c r="O32" s="481">
        <f t="shared" si="16"/>
        <v>0.16656193353474319</v>
      </c>
      <c r="P32" s="489">
        <f t="shared" si="17"/>
        <v>5.3971209934667153</v>
      </c>
      <c r="Q32" s="490">
        <f t="shared" si="5"/>
        <v>3.2318089781237815</v>
      </c>
      <c r="R32" s="491">
        <f t="shared" si="18"/>
        <v>261.71052631578948</v>
      </c>
      <c r="S32" s="500">
        <f t="shared" si="19"/>
        <v>845.79842861686859</v>
      </c>
      <c r="T32" s="489">
        <f t="shared" si="20"/>
        <v>0.22085776025266471</v>
      </c>
      <c r="U32" s="493">
        <f t="shared" si="21"/>
        <v>405.42115030277023</v>
      </c>
      <c r="V32" s="500">
        <f t="shared" si="22"/>
        <v>89.540407214928777</v>
      </c>
      <c r="W32" s="489">
        <f t="shared" si="23"/>
        <v>0.10764902141465162</v>
      </c>
      <c r="X32" s="493">
        <f t="shared" si="24"/>
        <v>37.9060089869281</v>
      </c>
      <c r="Y32" s="763">
        <f t="shared" si="25"/>
        <v>4.0805447731777997</v>
      </c>
      <c r="Z32" s="381"/>
    </row>
    <row r="33" spans="2:3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867.15635132766931</v>
      </c>
      <c r="I33" s="487">
        <f>ITECountywide!$B$9*E33</f>
        <v>4.3501932594989539</v>
      </c>
      <c r="J33" s="495">
        <f t="shared" si="14"/>
        <v>1.67</v>
      </c>
      <c r="K33" s="372">
        <f t="shared" si="15"/>
        <v>0.89742039884879754</v>
      </c>
      <c r="L33" s="488">
        <f>Passby_Length_Adj!H28</f>
        <v>0.46525679758308158</v>
      </c>
      <c r="M33" s="488">
        <f>Passby_Length_Adj!J28</f>
        <v>0.71599999999999997</v>
      </c>
      <c r="N33" s="372">
        <v>0.5</v>
      </c>
      <c r="O33" s="481">
        <f t="shared" si="16"/>
        <v>0.16656193353474319</v>
      </c>
      <c r="P33" s="489">
        <f t="shared" si="17"/>
        <v>4.9819578401231217</v>
      </c>
      <c r="Q33" s="490">
        <f t="shared" si="5"/>
        <v>2.9832082874988752</v>
      </c>
      <c r="R33" s="491">
        <f t="shared" si="18"/>
        <v>261.71052631578948</v>
      </c>
      <c r="S33" s="500">
        <f t="shared" si="19"/>
        <v>780.73701103095561</v>
      </c>
      <c r="T33" s="489">
        <f t="shared" si="20"/>
        <v>0.20386870177169047</v>
      </c>
      <c r="U33" s="493">
        <f t="shared" si="21"/>
        <v>405.42115030277023</v>
      </c>
      <c r="V33" s="500">
        <f t="shared" si="22"/>
        <v>82.652683583011168</v>
      </c>
      <c r="W33" s="489">
        <f t="shared" si="23"/>
        <v>9.9368327459678385E-2</v>
      </c>
      <c r="X33" s="493">
        <f t="shared" si="24"/>
        <v>37.9060089869281</v>
      </c>
      <c r="Y33" s="763">
        <f t="shared" si="25"/>
        <v>3.766656713702583</v>
      </c>
      <c r="Z33" s="381"/>
      <c r="AB33" s="11"/>
    </row>
    <row r="34" spans="2:3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9360.3311607370651</v>
      </c>
      <c r="I34" s="487">
        <f>ITECountywide!$B$9*E34</f>
        <v>15.642569928948324</v>
      </c>
      <c r="J34" s="495">
        <f t="shared" si="14"/>
        <v>1.67</v>
      </c>
      <c r="K34" s="372">
        <f t="shared" si="15"/>
        <v>0.89742039884879754</v>
      </c>
      <c r="L34" s="488">
        <f>Passby_Length_Adj!H29</f>
        <v>1</v>
      </c>
      <c r="M34" s="488">
        <f>Passby_Length_Adj!J29</f>
        <v>1</v>
      </c>
      <c r="N34" s="372">
        <v>0.5</v>
      </c>
      <c r="O34" s="481">
        <f t="shared" si="16"/>
        <v>0.5</v>
      </c>
      <c r="P34" s="489">
        <f t="shared" si="17"/>
        <v>53.776663390615944</v>
      </c>
      <c r="Q34" s="490">
        <f t="shared" si="5"/>
        <v>32.201594844680208</v>
      </c>
      <c r="R34" s="491">
        <f t="shared" si="18"/>
        <v>261.71052631578948</v>
      </c>
      <c r="S34" s="500">
        <f t="shared" si="19"/>
        <v>8427.4963350090711</v>
      </c>
      <c r="T34" s="489">
        <f t="shared" si="20"/>
        <v>2.2006164851019947</v>
      </c>
      <c r="U34" s="493">
        <f t="shared" si="21"/>
        <v>405.42115030277023</v>
      </c>
      <c r="V34" s="500">
        <f t="shared" si="22"/>
        <v>892.17646676528966</v>
      </c>
      <c r="W34" s="489">
        <f t="shared" si="23"/>
        <v>1.0726098592106037</v>
      </c>
      <c r="X34" s="493">
        <f t="shared" si="24"/>
        <v>37.9060089869281</v>
      </c>
      <c r="Y34" s="763">
        <f t="shared" si="25"/>
        <v>40.658358962704831</v>
      </c>
      <c r="Z34" s="381"/>
      <c r="AB34" s="11"/>
    </row>
    <row r="35" spans="2:3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8492.6295467637574</v>
      </c>
      <c r="I35" s="487">
        <f>ITECountywide!$B$9*E35</f>
        <v>14.192505509115339</v>
      </c>
      <c r="J35" s="495">
        <f t="shared" si="14"/>
        <v>1.67</v>
      </c>
      <c r="K35" s="372">
        <f t="shared" si="15"/>
        <v>0.89742039884879754</v>
      </c>
      <c r="L35" s="488">
        <f>Passby_Length_Adj!H30</f>
        <v>1</v>
      </c>
      <c r="M35" s="488">
        <f>Passby_Length_Adj!J30</f>
        <v>1</v>
      </c>
      <c r="N35" s="372">
        <v>0.5</v>
      </c>
      <c r="O35" s="481">
        <f t="shared" si="16"/>
        <v>0.5</v>
      </c>
      <c r="P35" s="489">
        <f t="shared" si="17"/>
        <v>48.791572925668923</v>
      </c>
      <c r="Q35" s="490">
        <f t="shared" si="5"/>
        <v>29.21651073393349</v>
      </c>
      <c r="R35" s="491">
        <f t="shared" si="18"/>
        <v>261.71052631578948</v>
      </c>
      <c r="S35" s="500">
        <f t="shared" si="19"/>
        <v>7646.2684012886466</v>
      </c>
      <c r="T35" s="489">
        <f t="shared" si="20"/>
        <v>1.9966195919291558</v>
      </c>
      <c r="U35" s="493">
        <f t="shared" si="21"/>
        <v>405.42115030277023</v>
      </c>
      <c r="V35" s="500">
        <f t="shared" si="22"/>
        <v>809.47181167696601</v>
      </c>
      <c r="W35" s="489">
        <f t="shared" si="23"/>
        <v>0.97317904955029266</v>
      </c>
      <c r="X35" s="493">
        <f t="shared" si="24"/>
        <v>37.9060089869281</v>
      </c>
      <c r="Y35" s="763">
        <f t="shared" si="25"/>
        <v>36.889333798143539</v>
      </c>
      <c r="Z35" s="381"/>
      <c r="AB35" s="11"/>
    </row>
    <row r="36" spans="2:3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c r="AB36" s="11"/>
    </row>
    <row r="37" spans="2:31" s="200"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5675.7368553360748</v>
      </c>
      <c r="I37" s="487">
        <f>ITECountywide!$B$9*E37</f>
        <v>15.153173187254691</v>
      </c>
      <c r="J37" s="495">
        <f>IF(F37="Prod",$M$3,$M$4)</f>
        <v>1.67</v>
      </c>
      <c r="K37" s="372">
        <f>IF(F37="Prod",$F$4,$F$5)</f>
        <v>0.89742039884879754</v>
      </c>
      <c r="L37" s="488">
        <f>Passby_Length_Adj!H32</f>
        <v>0.9441087613293051</v>
      </c>
      <c r="M37" s="488">
        <f>Passby_Length_Adj!J32</f>
        <v>0.66300000000000003</v>
      </c>
      <c r="N37" s="372">
        <v>0.5</v>
      </c>
      <c r="O37" s="481">
        <f>L37*M37*N37</f>
        <v>0.31297205438066467</v>
      </c>
      <c r="P37" s="489">
        <f>IF($F37="Prod",$I37*$O37*$F$4*$F$6,$I37*O37*$F$5*$F$7)</f>
        <v>32.60805468543775</v>
      </c>
      <c r="Q37" s="490">
        <f t="shared" si="5"/>
        <v>19.525781248765121</v>
      </c>
      <c r="R37" s="491">
        <f>$Q$4</f>
        <v>261.71052631578948</v>
      </c>
      <c r="S37" s="500">
        <f t="shared" si="19"/>
        <v>5110.1024873412925</v>
      </c>
      <c r="T37" s="489">
        <f>IF($F37="Prod",$I37*$O37*$G$4*$G$6,$I37*$O37*$G$5*$G$7)</f>
        <v>1.3343673289407429</v>
      </c>
      <c r="U37" s="493">
        <f>+$R$4</f>
        <v>405.42115030277023</v>
      </c>
      <c r="V37" s="500">
        <f>+T37*U37</f>
        <v>540.98073742559097</v>
      </c>
      <c r="W37" s="489">
        <f>IF($F37="Prod",$I37*$O37*$J$4*$J$6,$I37*$O37*$J$5*$J$7)</f>
        <v>0.65038845365371489</v>
      </c>
      <c r="X37" s="493">
        <f>+$S$4</f>
        <v>37.9060089869281</v>
      </c>
      <c r="Y37" s="763">
        <f>+W37*X37</f>
        <v>24.653630569191986</v>
      </c>
      <c r="Z37" s="381"/>
      <c r="AA37" s="11"/>
      <c r="AB37" s="11"/>
      <c r="AC37" s="11"/>
      <c r="AD37" s="11"/>
      <c r="AE37" s="11"/>
    </row>
    <row r="38" spans="2:3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3027.9648773682889</v>
      </c>
      <c r="I38" s="487">
        <f>ITECountywide!$B$9*E38</f>
        <v>8.0841091405688896</v>
      </c>
      <c r="J38" s="495">
        <f>IF(F38="Prod",$M$3,$M$4)</f>
        <v>1.67</v>
      </c>
      <c r="K38" s="372">
        <f>IF(F38="Prod",$F$4,$F$5)</f>
        <v>0.89742039884879754</v>
      </c>
      <c r="L38" s="488">
        <f>Passby_Length_Adj!H33</f>
        <v>0.9441087613293051</v>
      </c>
      <c r="M38" s="488">
        <f>Passby_Length_Adj!J33</f>
        <v>0.66300000000000003</v>
      </c>
      <c r="N38" s="372">
        <v>0.5</v>
      </c>
      <c r="O38" s="481">
        <f>L38*M38*N38</f>
        <v>0.31297205438066467</v>
      </c>
      <c r="P38" s="489">
        <f>IF($F38="Prod",$I38*$O38*$F$4*$F$6,$I38*O38*$F$5*$F$7)</f>
        <v>17.396163145580424</v>
      </c>
      <c r="Q38" s="490">
        <f t="shared" si="5"/>
        <v>10.416864159030194</v>
      </c>
      <c r="R38" s="491">
        <f>$Q$4</f>
        <v>261.71052631578948</v>
      </c>
      <c r="S38" s="500">
        <f t="shared" si="19"/>
        <v>2726.203001619876</v>
      </c>
      <c r="T38" s="489">
        <f>IF($F38="Prod",$I38*$O38*$G$4*$G$6,$I38*$O38*$G$5*$G$7)</f>
        <v>0.71187539319087478</v>
      </c>
      <c r="U38" s="493">
        <f>+$R$4</f>
        <v>405.42115030277023</v>
      </c>
      <c r="V38" s="500">
        <f>+T38*U38</f>
        <v>288.6093407796813</v>
      </c>
      <c r="W38" s="489">
        <f>IF($F38="Prod",$I38*$O38*$J$4*$J$6,$I38*$O38*$J$5*$J$7)</f>
        <v>0.34697757216454167</v>
      </c>
      <c r="X38" s="493">
        <f>+$S$4</f>
        <v>37.9060089869281</v>
      </c>
      <c r="Y38" s="763">
        <f>+W38*X38</f>
        <v>13.15253496873161</v>
      </c>
      <c r="Z38" s="381"/>
      <c r="AB38" s="11"/>
    </row>
    <row r="39" spans="2:3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1824.6758958492017</v>
      </c>
      <c r="I39" s="487">
        <f>ITECountywide!$B$9*E39</f>
        <v>6.0721447580506238</v>
      </c>
      <c r="J39" s="495">
        <f>IF(F39="Prod",$M$3,$M$4)</f>
        <v>1.67</v>
      </c>
      <c r="K39" s="372">
        <f>IF(F39="Prod",$F$4,$F$5)</f>
        <v>0.89742039884879754</v>
      </c>
      <c r="L39" s="488">
        <f>Passby_Length_Adj!H34</f>
        <v>0.65558912386706947</v>
      </c>
      <c r="M39" s="488">
        <f>Passby_Length_Adj!J34</f>
        <v>0.76600000000000001</v>
      </c>
      <c r="N39" s="372">
        <v>0.5</v>
      </c>
      <c r="O39" s="481">
        <f>L39*M39*N39</f>
        <v>0.25109063444108759</v>
      </c>
      <c r="P39" s="489">
        <f>IF($F39="Prod",$I39*$O39*$F$4*$F$6,$I39*O39*$F$5*$F$7)</f>
        <v>10.483067293564261</v>
      </c>
      <c r="Q39" s="490">
        <f t="shared" si="5"/>
        <v>6.2772858045294981</v>
      </c>
      <c r="R39" s="491">
        <f>$Q$4</f>
        <v>261.71052631578948</v>
      </c>
      <c r="S39" s="500">
        <f t="shared" si="19"/>
        <v>1642.8317717380489</v>
      </c>
      <c r="T39" s="489">
        <f>IF($F39="Prod",$I39*$O39*$G$4*$G$6,$I39*$O39*$G$5*$G$7)</f>
        <v>0.4289818156452721</v>
      </c>
      <c r="U39" s="493">
        <f>+$R$4</f>
        <v>405.42115030277023</v>
      </c>
      <c r="V39" s="500">
        <f>+T39*U39</f>
        <v>173.91830115787712</v>
      </c>
      <c r="W39" s="489">
        <f>IF($F39="Prod",$I39*$O39*$J$4*$J$6,$I39*$O39*$J$5*$J$7)</f>
        <v>0.20909146505001225</v>
      </c>
      <c r="X39" s="493">
        <f>+$S$4</f>
        <v>37.9060089869281</v>
      </c>
      <c r="Y39" s="763">
        <f>+W39*X39</f>
        <v>7.9258229532757269</v>
      </c>
      <c r="Z39" s="381"/>
      <c r="AB39" s="11"/>
    </row>
    <row r="40" spans="2:3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2729.2418849821797</v>
      </c>
      <c r="I40" s="487">
        <f>ITECountywide!$B$9*E40</f>
        <v>7.2865737096607477</v>
      </c>
      <c r="J40" s="495">
        <f>IF(F40="Prod",$M$3,$M$4)</f>
        <v>1.67</v>
      </c>
      <c r="K40" s="372">
        <f>IF(F40="Prod",$F$4,$F$5)</f>
        <v>0.89742039884879754</v>
      </c>
      <c r="L40" s="488">
        <f>Passby_Length_Adj!H35</f>
        <v>0.9441087613293051</v>
      </c>
      <c r="M40" s="488">
        <f>Passby_Length_Adj!J35</f>
        <v>0.66300000000000003</v>
      </c>
      <c r="N40" s="372">
        <v>0.5</v>
      </c>
      <c r="O40" s="481">
        <f>L40*M40*N40</f>
        <v>0.31297205438066467</v>
      </c>
      <c r="P40" s="489">
        <f>IF($F40="Prod",$I40*$O40*$F$4*$F$6,$I40*O40*$F$5*$F$7)</f>
        <v>15.6799497410837</v>
      </c>
      <c r="Q40" s="490">
        <f t="shared" si="5"/>
        <v>9.3891914617267673</v>
      </c>
      <c r="R40" s="491">
        <f>$Q$4</f>
        <v>261.71052631578948</v>
      </c>
      <c r="S40" s="500">
        <f t="shared" si="19"/>
        <v>2457.2502391282292</v>
      </c>
      <c r="T40" s="489">
        <f>IF($F40="Prod",$I40*$O40*$G$4*$G$6,$I40*$O40*$G$5*$G$7)</f>
        <v>0.64164553377294087</v>
      </c>
      <c r="U40" s="493">
        <f>+$R$4</f>
        <v>405.42115030277023</v>
      </c>
      <c r="V40" s="500">
        <f>+T40*U40</f>
        <v>260.13667038886069</v>
      </c>
      <c r="W40" s="489">
        <f>IF($F40="Prod",$I40*$O40*$J$4*$J$6,$I40*$O40*$J$5*$J$7)</f>
        <v>0.31274660091960926</v>
      </c>
      <c r="X40" s="493">
        <f>+$S$4</f>
        <v>37.9060089869281</v>
      </c>
      <c r="Y40" s="763">
        <f>+W40*X40</f>
        <v>11.854975465089925</v>
      </c>
      <c r="Z40" s="381"/>
      <c r="AB40" s="11"/>
    </row>
    <row r="41" spans="2:3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c r="AB41" s="11"/>
    </row>
    <row r="42" spans="2:3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2483.994489872086</v>
      </c>
      <c r="I42" s="487">
        <f>ITECountywide!$B$9*E42</f>
        <v>4.368319064746867</v>
      </c>
      <c r="J42" s="495">
        <f t="shared" ref="J42:J50" si="26">IF(F42="Prod",$M$3,$M$4)</f>
        <v>1.67</v>
      </c>
      <c r="K42" s="372">
        <f t="shared" ref="K42:K50" si="27">IF(F42="Prod",$F$4,$F$5)</f>
        <v>0.8974131092322899</v>
      </c>
      <c r="L42" s="488">
        <f>Passby_Length_Adj!H37</f>
        <v>0.9441087613293051</v>
      </c>
      <c r="M42" s="488">
        <f>Passby_Length_Adj!J37</f>
        <v>1</v>
      </c>
      <c r="N42" s="372">
        <v>0.5</v>
      </c>
      <c r="O42" s="481">
        <f t="shared" ref="O42:O50" si="28">L42*M42*N42</f>
        <v>0.47205438066465255</v>
      </c>
      <c r="P42" s="489">
        <f t="shared" ref="P42:P50" si="29">IF($F42="Prod",$I42*$O42*$F$4*$F$6,$I42*O42*$F$5*$F$7)</f>
        <v>14.256125703716652</v>
      </c>
      <c r="Q42" s="490">
        <f t="shared" si="5"/>
        <v>8.5366022177944032</v>
      </c>
      <c r="R42" s="491">
        <f t="shared" ref="R42:R50" si="30">$Q$4</f>
        <v>261.71052631578948</v>
      </c>
      <c r="S42" s="500">
        <f t="shared" si="19"/>
        <v>2234.1186593675088</v>
      </c>
      <c r="T42" s="489">
        <f t="shared" ref="T42:T50" si="31">IF($F42="Prod",$I42*$O42*$G$4*$G$6,$I42*$O42*$G$5*$G$7)</f>
        <v>0.58985454941369164</v>
      </c>
      <c r="U42" s="493">
        <f t="shared" ref="U42:U50" si="32">+$R$4</f>
        <v>405.42115030277023</v>
      </c>
      <c r="V42" s="500">
        <f t="shared" ref="V42:V50" si="33">+T42*U42</f>
        <v>239.13950993462109</v>
      </c>
      <c r="W42" s="489">
        <f t="shared" ref="W42:W50" si="34">IF($F42="Prod",$I42*$O42*$J$4*$J$6,$I42*$O42*$J$5*$J$7)</f>
        <v>0.28323531959428022</v>
      </c>
      <c r="X42" s="493">
        <f t="shared" ref="X42:X50" si="35">+$S$4</f>
        <v>37.9060089869281</v>
      </c>
      <c r="Y42" s="763">
        <f t="shared" ref="Y42:Y50" si="36">+W42*X42</f>
        <v>10.736320569956238</v>
      </c>
      <c r="Z42" s="381"/>
      <c r="AB42" s="11"/>
    </row>
    <row r="43" spans="2:3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21170.014207836721</v>
      </c>
      <c r="I43" s="487">
        <f>ITECountywide!$B$9*E43</f>
        <v>55.066196343157593</v>
      </c>
      <c r="J43" s="495">
        <f t="shared" si="26"/>
        <v>1.67</v>
      </c>
      <c r="K43" s="372">
        <f t="shared" si="27"/>
        <v>0.8974131092322899</v>
      </c>
      <c r="L43" s="488">
        <f>Passby_Length_Adj!H38</f>
        <v>0.63829555828418605</v>
      </c>
      <c r="M43" s="488">
        <f>Passby_Length_Adj!J38</f>
        <v>1</v>
      </c>
      <c r="N43" s="372">
        <v>0.5</v>
      </c>
      <c r="O43" s="481">
        <f t="shared" si="28"/>
        <v>0.31914777914209302</v>
      </c>
      <c r="P43" s="489">
        <f t="shared" si="29"/>
        <v>121.49881367568138</v>
      </c>
      <c r="Q43" s="490">
        <f t="shared" si="5"/>
        <v>72.753780644120582</v>
      </c>
      <c r="R43" s="491">
        <f t="shared" si="30"/>
        <v>261.71052631578948</v>
      </c>
      <c r="S43" s="500">
        <f t="shared" si="19"/>
        <v>19040.430223836294</v>
      </c>
      <c r="T43" s="489">
        <f t="shared" si="31"/>
        <v>5.0270760432677184</v>
      </c>
      <c r="U43" s="493">
        <f t="shared" si="32"/>
        <v>405.42115030277023</v>
      </c>
      <c r="V43" s="500">
        <f t="shared" si="33"/>
        <v>2038.0829521210972</v>
      </c>
      <c r="W43" s="489">
        <f t="shared" si="34"/>
        <v>2.4138925285139652</v>
      </c>
      <c r="X43" s="493">
        <f t="shared" si="35"/>
        <v>37.9060089869281</v>
      </c>
      <c r="Y43" s="763">
        <f t="shared" si="36"/>
        <v>91.501031879328963</v>
      </c>
      <c r="Z43" s="381"/>
      <c r="AB43" s="11"/>
    </row>
    <row r="44" spans="2:3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25101.315441232004</v>
      </c>
      <c r="I44" s="487">
        <f>ITECountywide!$B$9*E44</f>
        <v>141.54441318094723</v>
      </c>
      <c r="J44" s="495">
        <f t="shared" si="26"/>
        <v>1.67</v>
      </c>
      <c r="K44" s="372">
        <f t="shared" si="27"/>
        <v>0.8974131092322899</v>
      </c>
      <c r="L44" s="488">
        <f>Passby_Length_Adj!H39</f>
        <v>0.33534743202416922</v>
      </c>
      <c r="M44" s="488">
        <f>Passby_Length_Adj!J39</f>
        <v>0.878</v>
      </c>
      <c r="N44" s="372">
        <v>0.5</v>
      </c>
      <c r="O44" s="481">
        <f t="shared" si="28"/>
        <v>0.14721752265861029</v>
      </c>
      <c r="P44" s="489">
        <f t="shared" si="29"/>
        <v>144.06131322669506</v>
      </c>
      <c r="Q44" s="490">
        <f t="shared" si="5"/>
        <v>86.264259417182672</v>
      </c>
      <c r="R44" s="491">
        <f t="shared" si="30"/>
        <v>261.71052631578948</v>
      </c>
      <c r="S44" s="500">
        <f t="shared" si="19"/>
        <v>22576.264734312677</v>
      </c>
      <c r="T44" s="489">
        <f t="shared" si="31"/>
        <v>5.9606110921934006</v>
      </c>
      <c r="U44" s="493">
        <f t="shared" si="32"/>
        <v>405.42115030277023</v>
      </c>
      <c r="V44" s="500">
        <f t="shared" si="33"/>
        <v>2416.5578055045003</v>
      </c>
      <c r="W44" s="489">
        <f t="shared" si="34"/>
        <v>2.8621557456032427</v>
      </c>
      <c r="X44" s="493">
        <f t="shared" si="35"/>
        <v>37.9060089869281</v>
      </c>
      <c r="Y44" s="763">
        <f t="shared" si="36"/>
        <v>108.49290141482442</v>
      </c>
      <c r="Z44" s="381"/>
      <c r="AB44" s="11"/>
    </row>
    <row r="45" spans="2:3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70716.985492009742</v>
      </c>
      <c r="I45" s="487">
        <f>ITECountywide!$B$9*E45</f>
        <v>398.76771545407081</v>
      </c>
      <c r="J45" s="495">
        <f t="shared" si="26"/>
        <v>1.67</v>
      </c>
      <c r="K45" s="372">
        <f t="shared" si="27"/>
        <v>0.8974131092322899</v>
      </c>
      <c r="L45" s="488">
        <f>Passby_Length_Adj!H40</f>
        <v>0.33534743202416922</v>
      </c>
      <c r="M45" s="488">
        <f>Passby_Length_Adj!J40</f>
        <v>0.878</v>
      </c>
      <c r="N45" s="372">
        <v>0.5</v>
      </c>
      <c r="O45" s="481">
        <f t="shared" si="28"/>
        <v>0.14721752265861029</v>
      </c>
      <c r="P45" s="489">
        <f t="shared" si="29"/>
        <v>405.85848264659899</v>
      </c>
      <c r="Q45" s="490">
        <f t="shared" si="5"/>
        <v>243.02903152490958</v>
      </c>
      <c r="R45" s="491">
        <f t="shared" si="30"/>
        <v>261.71052631578948</v>
      </c>
      <c r="S45" s="500">
        <f t="shared" si="19"/>
        <v>63603.255750400684</v>
      </c>
      <c r="T45" s="489">
        <f t="shared" si="31"/>
        <v>16.79260392217375</v>
      </c>
      <c r="U45" s="493">
        <f t="shared" si="32"/>
        <v>405.42115030277023</v>
      </c>
      <c r="V45" s="500">
        <f t="shared" si="33"/>
        <v>6808.0767987064928</v>
      </c>
      <c r="W45" s="489">
        <f t="shared" si="34"/>
        <v>8.0634430020836643</v>
      </c>
      <c r="X45" s="493">
        <f t="shared" si="35"/>
        <v>37.9060089869281</v>
      </c>
      <c r="Y45" s="763">
        <f t="shared" si="36"/>
        <v>305.65294290256588</v>
      </c>
      <c r="Z45" s="381"/>
      <c r="AB45" s="11"/>
    </row>
    <row r="46" spans="2:3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37218.250784745207</v>
      </c>
      <c r="I46" s="487">
        <f>ITECountywide!$B$9*E46</f>
        <v>96.80992582909964</v>
      </c>
      <c r="J46" s="495">
        <f t="shared" si="26"/>
        <v>1.67</v>
      </c>
      <c r="K46" s="372">
        <f t="shared" si="27"/>
        <v>0.8974131092322899</v>
      </c>
      <c r="L46" s="488">
        <f>Passby_Length_Adj!H41</f>
        <v>0.63829555828418605</v>
      </c>
      <c r="M46" s="488">
        <f>Passby_Length_Adj!J41</f>
        <v>1</v>
      </c>
      <c r="N46" s="372">
        <v>0.5</v>
      </c>
      <c r="O46" s="481">
        <f t="shared" si="28"/>
        <v>0.31914777914209302</v>
      </c>
      <c r="P46" s="489">
        <f t="shared" si="29"/>
        <v>213.60275307498824</v>
      </c>
      <c r="Q46" s="490">
        <f t="shared" si="5"/>
        <v>127.90584016466363</v>
      </c>
      <c r="R46" s="491">
        <f t="shared" si="30"/>
        <v>261.71052631578948</v>
      </c>
      <c r="S46" s="500">
        <f t="shared" si="19"/>
        <v>33474.304748357361</v>
      </c>
      <c r="T46" s="489">
        <f t="shared" si="31"/>
        <v>8.8379240115513102</v>
      </c>
      <c r="U46" s="493">
        <f t="shared" si="32"/>
        <v>405.42115030277023</v>
      </c>
      <c r="V46" s="500">
        <f t="shared" si="33"/>
        <v>3583.081319051606</v>
      </c>
      <c r="W46" s="489">
        <f t="shared" si="34"/>
        <v>4.2437788001293901</v>
      </c>
      <c r="X46" s="493">
        <f t="shared" si="35"/>
        <v>37.9060089869281</v>
      </c>
      <c r="Y46" s="763">
        <f t="shared" si="36"/>
        <v>160.86471733623961</v>
      </c>
      <c r="Z46" s="381"/>
      <c r="AB46" s="11"/>
    </row>
    <row r="47" spans="2:3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21128.203778196494</v>
      </c>
      <c r="I47" s="487">
        <f>ITECountywide!$B$9*E47</f>
        <v>54.957441511670126</v>
      </c>
      <c r="J47" s="495">
        <f t="shared" si="26"/>
        <v>1.67</v>
      </c>
      <c r="K47" s="372">
        <f t="shared" si="27"/>
        <v>0.8974131092322899</v>
      </c>
      <c r="L47" s="488">
        <f>Passby_Length_Adj!H42</f>
        <v>0.63829555828418605</v>
      </c>
      <c r="M47" s="488">
        <f>Passby_Length_Adj!J42</f>
        <v>1</v>
      </c>
      <c r="N47" s="372">
        <v>0.5</v>
      </c>
      <c r="O47" s="481">
        <f t="shared" si="28"/>
        <v>0.31914777914209302</v>
      </c>
      <c r="P47" s="489">
        <f t="shared" si="29"/>
        <v>121.25885551832323</v>
      </c>
      <c r="Q47" s="490">
        <f t="shared" si="5"/>
        <v>72.610093124744452</v>
      </c>
      <c r="R47" s="491">
        <f t="shared" si="30"/>
        <v>261.71052631578948</v>
      </c>
      <c r="S47" s="500">
        <f t="shared" si="19"/>
        <v>19002.825687515357</v>
      </c>
      <c r="T47" s="489">
        <f t="shared" si="31"/>
        <v>5.0171476508188677</v>
      </c>
      <c r="U47" s="493">
        <f t="shared" si="32"/>
        <v>405.42115030277023</v>
      </c>
      <c r="V47" s="500">
        <f t="shared" si="33"/>
        <v>2034.0577718338268</v>
      </c>
      <c r="W47" s="489">
        <f t="shared" si="34"/>
        <v>2.4091251304984667</v>
      </c>
      <c r="X47" s="493">
        <f t="shared" si="35"/>
        <v>37.9060089869281</v>
      </c>
      <c r="Y47" s="763">
        <f t="shared" si="36"/>
        <v>91.32031884730921</v>
      </c>
      <c r="Z47" s="381"/>
      <c r="AB47" s="11"/>
    </row>
    <row r="48" spans="2:3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26967.727117948692</v>
      </c>
      <c r="I48" s="487">
        <f>ITECountywide!$B$9*E48</f>
        <v>70.146866309420645</v>
      </c>
      <c r="J48" s="495">
        <f t="shared" si="26"/>
        <v>1.67</v>
      </c>
      <c r="K48" s="372">
        <f t="shared" si="27"/>
        <v>0.8974131092322899</v>
      </c>
      <c r="L48" s="488">
        <f>Passby_Length_Adj!H43</f>
        <v>0.63829555828418605</v>
      </c>
      <c r="M48" s="488">
        <f>Passby_Length_Adj!J43</f>
        <v>1</v>
      </c>
      <c r="N48" s="372">
        <v>0.5</v>
      </c>
      <c r="O48" s="481">
        <f t="shared" si="28"/>
        <v>0.31914777914209302</v>
      </c>
      <c r="P48" s="489">
        <f t="shared" si="29"/>
        <v>154.77301149601286</v>
      </c>
      <c r="Q48" s="490">
        <f t="shared" si="5"/>
        <v>92.678449997612489</v>
      </c>
      <c r="R48" s="491">
        <f t="shared" si="30"/>
        <v>261.71052631578948</v>
      </c>
      <c r="S48" s="500">
        <f t="shared" si="19"/>
        <v>24254.925927006741</v>
      </c>
      <c r="T48" s="489">
        <f t="shared" si="31"/>
        <v>6.4038131295082525</v>
      </c>
      <c r="U48" s="493">
        <f t="shared" si="32"/>
        <v>405.42115030277023</v>
      </c>
      <c r="V48" s="500">
        <f t="shared" si="33"/>
        <v>2596.2412852892185</v>
      </c>
      <c r="W48" s="489">
        <f t="shared" si="34"/>
        <v>3.0749717199963942</v>
      </c>
      <c r="X48" s="493">
        <f t="shared" si="35"/>
        <v>37.9060089869281</v>
      </c>
      <c r="Y48" s="763">
        <f t="shared" si="36"/>
        <v>116.55990565273308</v>
      </c>
      <c r="Z48" s="381"/>
      <c r="AB48" s="1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2633.2208587417185</v>
      </c>
      <c r="I49" s="487">
        <f>ITECountywide!$B$9*E49</f>
        <v>7.2865737096607477</v>
      </c>
      <c r="J49" s="495">
        <f t="shared" si="26"/>
        <v>1.67</v>
      </c>
      <c r="K49" s="372">
        <f t="shared" si="27"/>
        <v>0.8974131092322899</v>
      </c>
      <c r="L49" s="488">
        <f>Passby_Length_Adj!H44</f>
        <v>0.63829555828418605</v>
      </c>
      <c r="M49" s="488">
        <f>Passby_Length_Adj!J44</f>
        <v>0.94</v>
      </c>
      <c r="N49" s="372">
        <v>0.5</v>
      </c>
      <c r="O49" s="481">
        <f t="shared" si="28"/>
        <v>0.29999891239356741</v>
      </c>
      <c r="P49" s="489">
        <f t="shared" si="29"/>
        <v>15.112564750416878</v>
      </c>
      <c r="Q49" s="490">
        <f t="shared" si="5"/>
        <v>9.0494399703095088</v>
      </c>
      <c r="R49" s="491">
        <f t="shared" si="30"/>
        <v>261.71052631578948</v>
      </c>
      <c r="S49" s="500">
        <f t="shared" si="19"/>
        <v>2368.3336974928438</v>
      </c>
      <c r="T49" s="489">
        <f t="shared" si="31"/>
        <v>0.62529015642857311</v>
      </c>
      <c r="U49" s="493">
        <f t="shared" si="32"/>
        <v>405.42115030277023</v>
      </c>
      <c r="V49" s="500">
        <f t="shared" si="33"/>
        <v>253.50585449227125</v>
      </c>
      <c r="W49" s="489">
        <f t="shared" si="34"/>
        <v>0.30025072701608191</v>
      </c>
      <c r="X49" s="493">
        <f t="shared" si="35"/>
        <v>37.9060089869281</v>
      </c>
      <c r="Y49" s="763">
        <f t="shared" si="36"/>
        <v>11.381306756603296</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20082.943037190729</v>
      </c>
      <c r="I50" s="487">
        <f>ITECountywide!$B$9*E50</f>
        <v>52.238570724483274</v>
      </c>
      <c r="J50" s="495">
        <f t="shared" si="26"/>
        <v>1.67</v>
      </c>
      <c r="K50" s="372">
        <f t="shared" si="27"/>
        <v>0.8974131092322899</v>
      </c>
      <c r="L50" s="488">
        <f>Passby_Length_Adj!H45</f>
        <v>0.63829555828418605</v>
      </c>
      <c r="M50" s="488">
        <f>Passby_Length_Adj!J45</f>
        <v>1</v>
      </c>
      <c r="N50" s="372">
        <v>0.5</v>
      </c>
      <c r="O50" s="481">
        <f t="shared" si="28"/>
        <v>0.31914777914209302</v>
      </c>
      <c r="P50" s="489">
        <f t="shared" si="29"/>
        <v>115.25990158436923</v>
      </c>
      <c r="Q50" s="490">
        <f t="shared" si="5"/>
        <v>69.017905140340858</v>
      </c>
      <c r="R50" s="491">
        <f t="shared" si="30"/>
        <v>261.71052631578948</v>
      </c>
      <c r="S50" s="500">
        <f t="shared" si="19"/>
        <v>18062.71227949184</v>
      </c>
      <c r="T50" s="489">
        <f t="shared" si="31"/>
        <v>4.7689378395976174</v>
      </c>
      <c r="U50" s="493">
        <f t="shared" si="32"/>
        <v>405.42115030277023</v>
      </c>
      <c r="V50" s="500">
        <f t="shared" si="33"/>
        <v>1933.4282646520739</v>
      </c>
      <c r="W50" s="489">
        <f t="shared" si="34"/>
        <v>2.2899401801110093</v>
      </c>
      <c r="X50" s="493">
        <f t="shared" si="35"/>
        <v>37.9060089869281</v>
      </c>
      <c r="Y50" s="763">
        <f t="shared" si="36"/>
        <v>86.80249304681567</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961.64092978748329</v>
      </c>
      <c r="I52" s="487">
        <f>ITECountywide!$B$9*E52</f>
        <v>3.4257771918554263</v>
      </c>
      <c r="J52" s="495">
        <f t="shared" ref="J52:J60" si="37">IF(F52="Prod",$M$3,$M$4)</f>
        <v>1.67</v>
      </c>
      <c r="K52" s="372">
        <f t="shared" ref="K52:K60" si="38">IF(F52="Prod",$F$4,$F$5)</f>
        <v>0.8974131092322899</v>
      </c>
      <c r="L52" s="488">
        <f>Passby_Length_Adj!H47</f>
        <v>0.87013619005702103</v>
      </c>
      <c r="M52" s="488">
        <f>Passby_Length_Adj!J47</f>
        <v>0.53561452513966479</v>
      </c>
      <c r="N52" s="372">
        <v>0.5</v>
      </c>
      <c r="O52" s="481">
        <f t="shared" ref="O52:O60" si="39">L52*M52*N52</f>
        <v>0.23302879112211422</v>
      </c>
      <c r="P52" s="489">
        <f t="shared" ref="P52:P60" si="40">IF($F52="Prod",$I52*$O52*$F$4*$F$6,$I52*O52*$F$5*$F$7)</f>
        <v>5.5190436342696083</v>
      </c>
      <c r="Q52" s="490">
        <f t="shared" si="5"/>
        <v>3.3048165474668316</v>
      </c>
      <c r="R52" s="491">
        <f t="shared" ref="R52:R60" si="41">$Q$4</f>
        <v>261.71052631578948</v>
      </c>
      <c r="S52" s="500">
        <f t="shared" si="19"/>
        <v>864.90527801467476</v>
      </c>
      <c r="T52" s="489">
        <f t="shared" ref="T52:T60" si="42">IF($F52="Prod",$I52*$O52*$G$4*$G$6,$I52*$O52*$G$5*$G$7)</f>
        <v>0.22835327519859713</v>
      </c>
      <c r="U52" s="493">
        <f t="shared" ref="U52:U60" si="43">+$R$4</f>
        <v>405.42115030277023</v>
      </c>
      <c r="V52" s="500">
        <f t="shared" ref="V52:V60" si="44">+T52*U52</f>
        <v>92.579247506420302</v>
      </c>
      <c r="W52" s="489">
        <f t="shared" ref="W52:W60" si="45">IF($F52="Prod",$I52*$O52*$J$4*$J$6,$I52*$O52*$J$5*$J$7)</f>
        <v>0.10965027386084271</v>
      </c>
      <c r="X52" s="493">
        <f t="shared" ref="X52:X60" si="46">+$S$4</f>
        <v>37.9060089869281</v>
      </c>
      <c r="Y52" s="763">
        <f t="shared" ref="Y52:Y60" si="47">+W52*X52</f>
        <v>4.1564042663882308</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1032.8735912532225</v>
      </c>
      <c r="I53" s="487">
        <f>ITECountywide!$B$9*E53</f>
        <v>3.6795384653261984</v>
      </c>
      <c r="J53" s="495">
        <f t="shared" si="37"/>
        <v>1.67</v>
      </c>
      <c r="K53" s="372">
        <f t="shared" si="38"/>
        <v>0.8974131092322899</v>
      </c>
      <c r="L53" s="488">
        <f>Passby_Length_Adj!H48</f>
        <v>0.87013619005702103</v>
      </c>
      <c r="M53" s="488">
        <f>Passby_Length_Adj!J48</f>
        <v>0.53561452513966479</v>
      </c>
      <c r="N53" s="372">
        <v>0.5</v>
      </c>
      <c r="O53" s="481">
        <f t="shared" si="39"/>
        <v>0.23302879112211422</v>
      </c>
      <c r="P53" s="489">
        <f t="shared" si="40"/>
        <v>5.9278616812525406</v>
      </c>
      <c r="Q53" s="490">
        <f t="shared" si="5"/>
        <v>3.5496177732051142</v>
      </c>
      <c r="R53" s="491">
        <f t="shared" si="41"/>
        <v>261.71052631578948</v>
      </c>
      <c r="S53" s="500">
        <f t="shared" si="19"/>
        <v>928.97233564539113</v>
      </c>
      <c r="T53" s="489">
        <f t="shared" si="42"/>
        <v>0.2452683326207154</v>
      </c>
      <c r="U53" s="493">
        <f t="shared" si="43"/>
        <v>405.42115030277023</v>
      </c>
      <c r="V53" s="500">
        <f t="shared" si="44"/>
        <v>99.436969543932904</v>
      </c>
      <c r="W53" s="489">
        <f t="shared" si="45"/>
        <v>0.11777251636905328</v>
      </c>
      <c r="X53" s="493">
        <f t="shared" si="46"/>
        <v>37.9060089869281</v>
      </c>
      <c r="Y53" s="763">
        <f t="shared" si="47"/>
        <v>4.46428606389847</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1841.5073630415266</v>
      </c>
      <c r="I54" s="487">
        <f>ITECountywide!$B$9*E54</f>
        <v>7.4497059568919601</v>
      </c>
      <c r="J54" s="495">
        <f t="shared" si="37"/>
        <v>1.67</v>
      </c>
      <c r="K54" s="372">
        <f t="shared" si="38"/>
        <v>0.8974131092322899</v>
      </c>
      <c r="L54" s="488">
        <f>Passby_Length_Adj!H49</f>
        <v>0.76624514210263772</v>
      </c>
      <c r="M54" s="488">
        <f>Passby_Length_Adj!J49</f>
        <v>0.53561452513966479</v>
      </c>
      <c r="N54" s="372">
        <v>0.5</v>
      </c>
      <c r="O54" s="481">
        <f t="shared" si="39"/>
        <v>0.20520601396393964</v>
      </c>
      <c r="P54" s="489">
        <f t="shared" si="40"/>
        <v>10.568767587399789</v>
      </c>
      <c r="Q54" s="490">
        <f t="shared" si="5"/>
        <v>6.3286033457483768</v>
      </c>
      <c r="R54" s="491">
        <f t="shared" si="41"/>
        <v>261.71052631578948</v>
      </c>
      <c r="S54" s="500">
        <f t="shared" si="19"/>
        <v>1656.262112459674</v>
      </c>
      <c r="T54" s="489">
        <f t="shared" si="42"/>
        <v>0.43728820667584906</v>
      </c>
      <c r="U54" s="493">
        <f t="shared" si="43"/>
        <v>405.42115030277023</v>
      </c>
      <c r="V54" s="500">
        <f t="shared" si="44"/>
        <v>177.28588776435825</v>
      </c>
      <c r="W54" s="489">
        <f t="shared" si="45"/>
        <v>0.20997628160324375</v>
      </c>
      <c r="X54" s="493">
        <f t="shared" si="46"/>
        <v>37.9060089869281</v>
      </c>
      <c r="Y54" s="763">
        <f t="shared" si="47"/>
        <v>7.959362817494303</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1111.1771922975634</v>
      </c>
      <c r="I55" s="487">
        <f>ITECountywide!$B$9*E55</f>
        <v>4.4951997014822531</v>
      </c>
      <c r="J55" s="495">
        <f t="shared" si="37"/>
        <v>1.67</v>
      </c>
      <c r="K55" s="372">
        <f t="shared" si="38"/>
        <v>0.8974131092322899</v>
      </c>
      <c r="L55" s="488">
        <f>Passby_Length_Adj!H50</f>
        <v>0.76624514210263772</v>
      </c>
      <c r="M55" s="488">
        <f>Passby_Length_Adj!J50</f>
        <v>0.53561452513966479</v>
      </c>
      <c r="N55" s="372">
        <v>0.5</v>
      </c>
      <c r="O55" s="481">
        <f t="shared" si="39"/>
        <v>0.20520601396393964</v>
      </c>
      <c r="P55" s="489">
        <f t="shared" si="40"/>
        <v>6.377261220620797</v>
      </c>
      <c r="Q55" s="490">
        <f t="shared" si="5"/>
        <v>3.8187192937849086</v>
      </c>
      <c r="R55" s="491">
        <f t="shared" si="41"/>
        <v>261.71052631578948</v>
      </c>
      <c r="S55" s="500">
        <f t="shared" si="19"/>
        <v>999.39903622870838</v>
      </c>
      <c r="T55" s="489">
        <f t="shared" si="42"/>
        <v>0.26386247020829817</v>
      </c>
      <c r="U55" s="493">
        <f t="shared" si="43"/>
        <v>405.42115030277023</v>
      </c>
      <c r="V55" s="500">
        <f t="shared" si="44"/>
        <v>106.97542619357868</v>
      </c>
      <c r="W55" s="489">
        <f t="shared" si="45"/>
        <v>0.12670101663650715</v>
      </c>
      <c r="X55" s="493">
        <f t="shared" si="46"/>
        <v>37.9060089869281</v>
      </c>
      <c r="Y55" s="763">
        <f t="shared" si="47"/>
        <v>4.8027298752763672</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2019.683353856494</v>
      </c>
      <c r="I56" s="487">
        <f>ITECountywide!$B$9*E56</f>
        <v>3.3532739708637775</v>
      </c>
      <c r="J56" s="495">
        <f t="shared" si="37"/>
        <v>1.67</v>
      </c>
      <c r="K56" s="372">
        <f t="shared" si="38"/>
        <v>0.8974131092322899</v>
      </c>
      <c r="L56" s="488">
        <f>Passby_Length_Adj!H51</f>
        <v>1</v>
      </c>
      <c r="M56" s="488">
        <f>Passby_Length_Adj!J51</f>
        <v>1</v>
      </c>
      <c r="N56" s="372">
        <v>0.5</v>
      </c>
      <c r="O56" s="481">
        <f t="shared" si="39"/>
        <v>0.5</v>
      </c>
      <c r="P56" s="489">
        <f t="shared" si="40"/>
        <v>11.591354124044338</v>
      </c>
      <c r="Q56" s="490">
        <f t="shared" si="5"/>
        <v>6.9409306132002024</v>
      </c>
      <c r="R56" s="491">
        <f t="shared" si="41"/>
        <v>261.71052631578948</v>
      </c>
      <c r="S56" s="500">
        <f t="shared" si="19"/>
        <v>1816.5146039020003</v>
      </c>
      <c r="T56" s="489">
        <f t="shared" si="42"/>
        <v>0.4795982517290942</v>
      </c>
      <c r="U56" s="493">
        <f t="shared" si="43"/>
        <v>405.42115030277023</v>
      </c>
      <c r="V56" s="500">
        <f t="shared" si="44"/>
        <v>194.43927489920694</v>
      </c>
      <c r="W56" s="489">
        <f t="shared" si="45"/>
        <v>0.23029264458563647</v>
      </c>
      <c r="X56" s="493">
        <f t="shared" si="46"/>
        <v>37.9060089869281</v>
      </c>
      <c r="Y56" s="763">
        <f t="shared" si="47"/>
        <v>8.7294750552865743</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515.26361739604749</v>
      </c>
      <c r="I57" s="487">
        <f>ITECountywide!$B$9*E57</f>
        <v>2.0844676035099154</v>
      </c>
      <c r="J57" s="495">
        <f t="shared" si="37"/>
        <v>1.67</v>
      </c>
      <c r="K57" s="372">
        <f t="shared" si="38"/>
        <v>0.8974131092322899</v>
      </c>
      <c r="L57" s="488">
        <f>Passby_Length_Adj!H52</f>
        <v>0.76624514210263772</v>
      </c>
      <c r="M57" s="488">
        <f>Passby_Length_Adj!J52</f>
        <v>0.53561452513966479</v>
      </c>
      <c r="N57" s="372">
        <v>0.5</v>
      </c>
      <c r="O57" s="481">
        <f t="shared" si="39"/>
        <v>0.20520601396393964</v>
      </c>
      <c r="P57" s="489">
        <f t="shared" si="40"/>
        <v>2.9571977434330305</v>
      </c>
      <c r="Q57" s="490">
        <f t="shared" si="5"/>
        <v>1.7707770918760664</v>
      </c>
      <c r="R57" s="491">
        <f t="shared" si="41"/>
        <v>261.71052631578948</v>
      </c>
      <c r="S57" s="500">
        <f t="shared" si="19"/>
        <v>463.43100470282843</v>
      </c>
      <c r="T57" s="489">
        <f t="shared" si="42"/>
        <v>0.12235558094336406</v>
      </c>
      <c r="U57" s="493">
        <f t="shared" si="43"/>
        <v>405.42115030277023</v>
      </c>
      <c r="V57" s="500">
        <f t="shared" si="44"/>
        <v>49.605540372022368</v>
      </c>
      <c r="W57" s="489">
        <f t="shared" si="45"/>
        <v>5.8752487553219032E-2</v>
      </c>
      <c r="X57" s="493">
        <f t="shared" si="46"/>
        <v>37.9060089869281</v>
      </c>
      <c r="Y57" s="763">
        <f t="shared" si="47"/>
        <v>2.2270723211967018</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698.96629838072522</v>
      </c>
      <c r="I58" s="487">
        <f>ITECountywide!$B$9*E58</f>
        <v>2.8276256186743205</v>
      </c>
      <c r="J58" s="495">
        <f t="shared" si="37"/>
        <v>1.67</v>
      </c>
      <c r="K58" s="372">
        <f t="shared" si="38"/>
        <v>0.8974131092322899</v>
      </c>
      <c r="L58" s="488">
        <f>Passby_Length_Adj!H53</f>
        <v>0.76624514210263772</v>
      </c>
      <c r="M58" s="488">
        <f>Passby_Length_Adj!J53</f>
        <v>0.53561452513966479</v>
      </c>
      <c r="N58" s="372">
        <v>0.5</v>
      </c>
      <c r="O58" s="481">
        <f t="shared" si="39"/>
        <v>0.20520601396393964</v>
      </c>
      <c r="P58" s="489">
        <f t="shared" si="40"/>
        <v>4.0115030258743714</v>
      </c>
      <c r="Q58" s="490">
        <f t="shared" si="5"/>
        <v>2.4020976202840547</v>
      </c>
      <c r="R58" s="491">
        <f t="shared" si="41"/>
        <v>261.71052631578948</v>
      </c>
      <c r="S58" s="500">
        <f t="shared" si="19"/>
        <v>628.65423246644536</v>
      </c>
      <c r="T58" s="489">
        <f t="shared" si="42"/>
        <v>0.16597800545360694</v>
      </c>
      <c r="U58" s="493">
        <f t="shared" si="43"/>
        <v>405.42115030277023</v>
      </c>
      <c r="V58" s="500">
        <f t="shared" si="44"/>
        <v>67.290993895960796</v>
      </c>
      <c r="W58" s="489">
        <f t="shared" si="45"/>
        <v>7.969902659393191E-2</v>
      </c>
      <c r="X58" s="493">
        <f t="shared" si="46"/>
        <v>37.9060089869281</v>
      </c>
      <c r="Y58" s="763">
        <f t="shared" si="47"/>
        <v>3.0210720183190047</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6836.3285781939176</v>
      </c>
      <c r="I59" s="487">
        <f>ITECountywide!$B$9*E59</f>
        <v>12.597434647299055</v>
      </c>
      <c r="J59" s="495">
        <f t="shared" si="37"/>
        <v>1.67</v>
      </c>
      <c r="K59" s="372">
        <f t="shared" si="38"/>
        <v>0.8974131092322899</v>
      </c>
      <c r="L59" s="488">
        <f>Passby_Length_Adj!H54</f>
        <v>0.90100368260427022</v>
      </c>
      <c r="M59" s="488">
        <f>Passby_Length_Adj!J54</f>
        <v>1</v>
      </c>
      <c r="N59" s="372">
        <v>0.5</v>
      </c>
      <c r="O59" s="481">
        <f t="shared" si="39"/>
        <v>0.45050184130213511</v>
      </c>
      <c r="P59" s="489">
        <f t="shared" si="40"/>
        <v>39.235014393152589</v>
      </c>
      <c r="Q59" s="490">
        <f t="shared" si="5"/>
        <v>23.49402059470215</v>
      </c>
      <c r="R59" s="491">
        <f t="shared" si="41"/>
        <v>261.71052631578948</v>
      </c>
      <c r="S59" s="500">
        <f t="shared" si="19"/>
        <v>6148.6324951134966</v>
      </c>
      <c r="T59" s="489">
        <f t="shared" si="42"/>
        <v>1.6233689444867359</v>
      </c>
      <c r="U59" s="493">
        <f t="shared" si="43"/>
        <v>405.42115030277023</v>
      </c>
      <c r="V59" s="500">
        <f t="shared" si="44"/>
        <v>658.14810483960639</v>
      </c>
      <c r="W59" s="489">
        <f t="shared" si="45"/>
        <v>0.77950644318698747</v>
      </c>
      <c r="X59" s="493">
        <f t="shared" si="46"/>
        <v>37.9060089869281</v>
      </c>
      <c r="Y59" s="763">
        <f t="shared" si="47"/>
        <v>29.547978240814306</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11669.441689782625</v>
      </c>
      <c r="I60" s="487">
        <f>ITECountywide!$B$9*E60</f>
        <v>86.315084590558413</v>
      </c>
      <c r="J60" s="495">
        <f t="shared" si="37"/>
        <v>1.67</v>
      </c>
      <c r="K60" s="372">
        <f t="shared" si="38"/>
        <v>0.8974131092322899</v>
      </c>
      <c r="L60" s="488">
        <f>Passby_Length_Adj!H55</f>
        <v>0.30664652567975825</v>
      </c>
      <c r="M60" s="488">
        <f>Passby_Length_Adj!J55</f>
        <v>0.73199999999999998</v>
      </c>
      <c r="N60" s="372">
        <v>0.5</v>
      </c>
      <c r="O60" s="481">
        <f t="shared" si="39"/>
        <v>0.11223262839879151</v>
      </c>
      <c r="P60" s="489">
        <f t="shared" si="40"/>
        <v>66.973187058196558</v>
      </c>
      <c r="Q60" s="490">
        <f t="shared" si="5"/>
        <v>40.1037048252674</v>
      </c>
      <c r="R60" s="491">
        <f t="shared" si="41"/>
        <v>261.71052631578948</v>
      </c>
      <c r="S60" s="500">
        <f t="shared" si="19"/>
        <v>10495.561697033798</v>
      </c>
      <c r="T60" s="489">
        <f t="shared" si="42"/>
        <v>2.7710501363433115</v>
      </c>
      <c r="U60" s="493">
        <f t="shared" si="43"/>
        <v>405.42115030277023</v>
      </c>
      <c r="V60" s="500">
        <f t="shared" si="44"/>
        <v>1123.4423338229537</v>
      </c>
      <c r="W60" s="489">
        <f t="shared" si="45"/>
        <v>1.3305979783645177</v>
      </c>
      <c r="X60" s="493">
        <f t="shared" si="46"/>
        <v>37.9060089869281</v>
      </c>
      <c r="Y60" s="763">
        <f t="shared" si="47"/>
        <v>50.43765892587377</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11703.246245049522</v>
      </c>
      <c r="I62" s="487">
        <f>ITECountywide!$B$9*E62</f>
        <v>19.430863225761996</v>
      </c>
      <c r="J62" s="495">
        <f>IF(F62="Prod",$M$3,$M$4)</f>
        <v>1.67</v>
      </c>
      <c r="K62" s="372">
        <f>IF(F62="Prod",$F$4,$F$5)</f>
        <v>0.8974131092322899</v>
      </c>
      <c r="L62" s="488">
        <f>Passby_Length_Adj!H57</f>
        <v>1</v>
      </c>
      <c r="M62" s="488">
        <f>Passby_Length_Adj!J57</f>
        <v>1</v>
      </c>
      <c r="N62" s="372">
        <v>0.5</v>
      </c>
      <c r="O62" s="481">
        <f>L62*M62*N62</f>
        <v>0.5</v>
      </c>
      <c r="P62" s="489">
        <f>IF($F62="Prod",$I62*$O62*$F$4*$F$6,$I62*O62*$F$5*$F$7)</f>
        <v>67.16719795121908</v>
      </c>
      <c r="Q62" s="490">
        <f t="shared" si="5"/>
        <v>40.219879012706038</v>
      </c>
      <c r="R62" s="491">
        <f>$Q$4</f>
        <v>261.71052631578948</v>
      </c>
      <c r="S62" s="500">
        <f t="shared" si="19"/>
        <v>10525.965704772672</v>
      </c>
      <c r="T62" s="489">
        <f>IF($F62="Prod",$I62*$O62*$G$4*$G$6,$I62*$O62*$G$5*$G$7)</f>
        <v>2.7790774370464271</v>
      </c>
      <c r="U62" s="493">
        <f>+$R$4</f>
        <v>405.42115030277023</v>
      </c>
      <c r="V62" s="500">
        <f>+T62*U62</f>
        <v>1126.696771307837</v>
      </c>
      <c r="W62" s="489">
        <f>IF($F62="Prod",$I62*$O62*$J$4*$J$6,$I62*$O62*$J$5*$J$7)</f>
        <v>1.3344525134908232</v>
      </c>
      <c r="X62" s="493">
        <f>+$S$4</f>
        <v>37.9060089869281</v>
      </c>
      <c r="Y62" s="763">
        <f>+W62*X62</f>
        <v>50.583768969011935</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1163.2277800981699</v>
      </c>
      <c r="I63" s="487">
        <f>ITECountywide!$B$9*E63</f>
        <v>5.5464964058611672</v>
      </c>
      <c r="J63" s="495">
        <f>IF(F63="Prod",$M$3,$M$4)</f>
        <v>1.67</v>
      </c>
      <c r="K63" s="372">
        <f>IF(F63="Prod",$F$4,$F$5)</f>
        <v>0.8974131092322899</v>
      </c>
      <c r="L63" s="488">
        <f>Passby_Length_Adj!H58</f>
        <v>0.39123867069486401</v>
      </c>
      <c r="M63" s="488">
        <f>Passby_Length_Adj!J58</f>
        <v>0.89</v>
      </c>
      <c r="N63" s="372">
        <v>0.5</v>
      </c>
      <c r="O63" s="481">
        <f>L63*M63*N63</f>
        <v>0.17410120845921448</v>
      </c>
      <c r="P63" s="489">
        <f>IF($F63="Prod",$I63*$O63*$F$4*$F$6,$I63*O63*$F$5*$F$7)</f>
        <v>6.6759896299080479</v>
      </c>
      <c r="Q63" s="490">
        <f t="shared" si="5"/>
        <v>3.9975985807832624</v>
      </c>
      <c r="R63" s="491">
        <f>$Q$4</f>
        <v>261.71052631578948</v>
      </c>
      <c r="S63" s="500">
        <f t="shared" si="19"/>
        <v>1046.2136285760407</v>
      </c>
      <c r="T63" s="489">
        <f>IF($F63="Prod",$I63*$O63*$G$4*$G$6,$I63*$O63*$G$5*$G$7)</f>
        <v>0.27622251212426296</v>
      </c>
      <c r="U63" s="493">
        <f>+$R$4</f>
        <v>405.42115030277023</v>
      </c>
      <c r="V63" s="500">
        <f>+T63*U63</f>
        <v>111.98644860493958</v>
      </c>
      <c r="W63" s="489">
        <f>IF($F63="Prod",$I63*$O63*$J$4*$J$6,$I63*$O63*$J$5*$J$7)</f>
        <v>0.13263603981424943</v>
      </c>
      <c r="X63" s="493">
        <f>+$S$4</f>
        <v>37.9060089869281</v>
      </c>
      <c r="Y63" s="763">
        <f>+W63*X63</f>
        <v>5.027702917189492</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29847.987825797805</v>
      </c>
      <c r="I64" s="487">
        <f>ITECountywide!$B$9*E64</f>
        <v>69.168072826033367</v>
      </c>
      <c r="J64" s="495">
        <f>IF(F64="Prod",$M$3,$M$4)</f>
        <v>1.67</v>
      </c>
      <c r="K64" s="372">
        <f>IF(F64="Prod",$F$4,$F$5)</f>
        <v>0.8974131092322899</v>
      </c>
      <c r="L64" s="488">
        <f>Passby_Length_Adj!H59</f>
        <v>0.7703927492447129</v>
      </c>
      <c r="M64" s="488">
        <f>Passby_Length_Adj!J59</f>
        <v>0.93</v>
      </c>
      <c r="N64" s="372">
        <v>0.5</v>
      </c>
      <c r="O64" s="481">
        <f>L64*M64*N64</f>
        <v>0.3582326283987915</v>
      </c>
      <c r="P64" s="489">
        <f>IF($F64="Prod",$I64*$O64*$F$4*$F$6,$I64*O64*$F$5*$F$7)</f>
        <v>171.30338580963999</v>
      </c>
      <c r="Q64" s="490">
        <f t="shared" si="5"/>
        <v>102.57687773032335</v>
      </c>
      <c r="R64" s="491">
        <f>$Q$4</f>
        <v>261.71052631578948</v>
      </c>
      <c r="S64" s="500">
        <f t="shared" si="19"/>
        <v>26845.448658633308</v>
      </c>
      <c r="T64" s="489">
        <f>IF($F64="Prod",$I64*$O64*$G$4*$G$6,$I64*$O64*$G$5*$G$7)</f>
        <v>7.0877658874347773</v>
      </c>
      <c r="U64" s="493">
        <f>+$R$4</f>
        <v>405.42115030277023</v>
      </c>
      <c r="V64" s="500">
        <f>+T64*U64</f>
        <v>2873.5301991605425</v>
      </c>
      <c r="W64" s="489">
        <f>IF($F64="Prod",$I64*$O64*$J$4*$J$6,$I64*$O64*$J$5*$J$7)</f>
        <v>3.4033909517735559</v>
      </c>
      <c r="X64" s="493">
        <f>+$S$4</f>
        <v>37.9060089869281</v>
      </c>
      <c r="Y64" s="763">
        <f>+W64*X64</f>
        <v>129.00896800395819</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14375.912292384079</v>
      </c>
      <c r="I65" s="487">
        <f>ITECountywide!$B$9*E65</f>
        <v>38.970481283011466</v>
      </c>
      <c r="J65" s="495">
        <f>IF(F65="Prod",$M$3,$M$4)</f>
        <v>1.67</v>
      </c>
      <c r="K65" s="372">
        <f>IF(F65="Prod",$F$4,$F$5)</f>
        <v>0.8974131092322899</v>
      </c>
      <c r="L65" s="488">
        <f>Passby_Length_Adj!H60</f>
        <v>0.61247081225203326</v>
      </c>
      <c r="M65" s="488">
        <f>Passby_Length_Adj!J60</f>
        <v>1</v>
      </c>
      <c r="N65" s="372">
        <v>0.5</v>
      </c>
      <c r="O65" s="481">
        <f>L65*M65*N65</f>
        <v>0.30623540612601663</v>
      </c>
      <c r="P65" s="489">
        <f>IF($F65="Prod",$I65*$O65*$F$4*$F$6,$I65*O65*$F$5*$F$7)</f>
        <v>82.506146282307782</v>
      </c>
      <c r="Q65" s="490">
        <f t="shared" si="5"/>
        <v>49.404878013357958</v>
      </c>
      <c r="R65" s="491">
        <f>$Q$4</f>
        <v>261.71052631578948</v>
      </c>
      <c r="S65" s="500">
        <f t="shared" si="19"/>
        <v>12929.776627443287</v>
      </c>
      <c r="T65" s="489">
        <f>IF($F65="Prod",$I65*$O65*$G$4*$G$6,$I65*$O65*$G$5*$G$7)</f>
        <v>3.4137343308163404</v>
      </c>
      <c r="U65" s="493">
        <f>+$R$4</f>
        <v>405.42115030277023</v>
      </c>
      <c r="V65" s="500">
        <f>+T65*U65</f>
        <v>1384.0000992276182</v>
      </c>
      <c r="W65" s="489">
        <f>IF($F65="Prod",$I65*$O65*$J$4*$J$6,$I65*$O65*$J$5*$J$7)</f>
        <v>1.6392009439612012</v>
      </c>
      <c r="X65" s="493">
        <f>+$S$4</f>
        <v>37.9060089869281</v>
      </c>
      <c r="Y65" s="763">
        <f>+W65*X65</f>
        <v>62.135565713174316</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16676.058259165533</v>
      </c>
      <c r="I66" s="487">
        <f>ITECountywide!$B$9*E66</f>
        <v>45.205758288293303</v>
      </c>
      <c r="J66" s="495">
        <f>IF(F66="Prod",$M$3,$M$4)</f>
        <v>1.67</v>
      </c>
      <c r="K66" s="372">
        <f>IF(F66="Prod",$F$4,$F$5)</f>
        <v>0.8974131092322899</v>
      </c>
      <c r="L66" s="488">
        <f>Passby_Length_Adj!H61</f>
        <v>0.61247081225203326</v>
      </c>
      <c r="M66" s="488">
        <f>Passby_Length_Adj!J61</f>
        <v>1</v>
      </c>
      <c r="N66" s="372">
        <v>0.5</v>
      </c>
      <c r="O66" s="481">
        <f>L66*M66*N66</f>
        <v>0.30623540612601663</v>
      </c>
      <c r="P66" s="489">
        <f>IF($F66="Prod",$I66*$O66*$F$4*$F$6,$I66*O66*$F$5*$F$7)</f>
        <v>95.707129687477035</v>
      </c>
      <c r="Q66" s="490">
        <f t="shared" si="5"/>
        <v>57.309658495495235</v>
      </c>
      <c r="R66" s="491">
        <f>$Q$4</f>
        <v>261.71052631578948</v>
      </c>
      <c r="S66" s="500">
        <f t="shared" si="19"/>
        <v>14998.540887834213</v>
      </c>
      <c r="T66" s="489">
        <f>IF($F66="Prod",$I66*$O66*$G$4*$G$6,$I66*$O66*$G$5*$G$7)</f>
        <v>3.9599318237469543</v>
      </c>
      <c r="U66" s="493">
        <f>+$R$4</f>
        <v>405.42115030277023</v>
      </c>
      <c r="V66" s="500">
        <f>+T66*U66</f>
        <v>1605.440115104037</v>
      </c>
      <c r="W66" s="489">
        <f>IF($F66="Prod",$I66*$O66*$J$4*$J$6,$I66*$O66*$J$5*$J$7)</f>
        <v>1.9014730949949932</v>
      </c>
      <c r="X66" s="493">
        <f>+$S$4</f>
        <v>37.9060089869281</v>
      </c>
      <c r="Y66" s="763">
        <f>+W66*X66</f>
        <v>72.077256227282206</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14980.378269445693</v>
      </c>
      <c r="I68" s="487">
        <f>ITECountywide!$B$9*E68</f>
        <v>20.049119939245994</v>
      </c>
      <c r="J68" s="495">
        <f t="shared" ref="J68:J87" si="48">IF(F68="Prod",$M$3,$M$4)</f>
        <v>1.67</v>
      </c>
      <c r="K68" s="372">
        <f t="shared" ref="K68:K87" si="49">IF(F68="Prod",$F$4,$F$5)</f>
        <v>0.8974131092322899</v>
      </c>
      <c r="L68" s="488">
        <f>Passby_Length_Adj!H63</f>
        <v>1.2405469854222484</v>
      </c>
      <c r="M68" s="488">
        <f>Passby_Length_Adj!J63</f>
        <v>1</v>
      </c>
      <c r="N68" s="372">
        <v>0.5</v>
      </c>
      <c r="O68" s="481">
        <f t="shared" ref="O68:O87" si="50">L68*M68*N68</f>
        <v>0.6202734927111242</v>
      </c>
      <c r="P68" s="489">
        <f t="shared" ref="P68:P87" si="51">IF($F68="Prod",$I68*$O68*$F$4*$F$6,$I68*O68*$F$5*$F$7)</f>
        <v>85.975293652700714</v>
      </c>
      <c r="Q68" s="490">
        <f t="shared" si="5"/>
        <v>51.482211768084262</v>
      </c>
      <c r="R68" s="491">
        <f t="shared" ref="R68:R87" si="52">$Q$4</f>
        <v>261.71052631578948</v>
      </c>
      <c r="S68" s="500">
        <f t="shared" si="19"/>
        <v>13473.436737726262</v>
      </c>
      <c r="T68" s="489">
        <f t="shared" ref="T68:T87" si="53">IF($F68="Prod",$I68*$O68*$G$4*$G$6,$I68*$O68*$G$5*$G$7)</f>
        <v>3.5572720914632829</v>
      </c>
      <c r="U68" s="493">
        <f t="shared" ref="U68:U87" si="54">+$R$4</f>
        <v>405.42115030277023</v>
      </c>
      <c r="V68" s="500">
        <f t="shared" ref="V68:V87" si="55">+T68*U68</f>
        <v>1442.1933432609853</v>
      </c>
      <c r="W68" s="489">
        <f t="shared" ref="W68:W87" si="56">IF($F68="Prod",$I68*$O68*$J$4*$J$6,$I68*$O68*$J$5*$J$7)</f>
        <v>1.7081246532910601</v>
      </c>
      <c r="X68" s="493">
        <f t="shared" ref="X68:X87" si="57">+$S$4</f>
        <v>37.9060089869281</v>
      </c>
      <c r="Y68" s="763">
        <f t="shared" ref="Y68:Y87" si="58">+W68*X68</f>
        <v>64.748188458444375</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14494.697034017414</v>
      </c>
      <c r="I69" s="487">
        <f>ITECountywide!$B$9*E69</f>
        <v>19.399104220937762</v>
      </c>
      <c r="J69" s="495">
        <f t="shared" si="48"/>
        <v>1.67</v>
      </c>
      <c r="K69" s="372">
        <f t="shared" si="49"/>
        <v>0.8974131092322899</v>
      </c>
      <c r="L69" s="488">
        <f>Passby_Length_Adj!H64</f>
        <v>1.2405469854222484</v>
      </c>
      <c r="M69" s="488">
        <f>Passby_Length_Adj!J64</f>
        <v>1</v>
      </c>
      <c r="N69" s="372">
        <v>0.5</v>
      </c>
      <c r="O69" s="481">
        <f t="shared" si="50"/>
        <v>0.6202734927111242</v>
      </c>
      <c r="P69" s="489">
        <f t="shared" si="51"/>
        <v>83.187874931591352</v>
      </c>
      <c r="Q69" s="490">
        <f t="shared" si="5"/>
        <v>49.813098761431952</v>
      </c>
      <c r="R69" s="491">
        <f t="shared" si="52"/>
        <v>261.71052631578948</v>
      </c>
      <c r="S69" s="500">
        <f t="shared" si="19"/>
        <v>13036.612294274757</v>
      </c>
      <c r="T69" s="489">
        <f t="shared" si="53"/>
        <v>3.4419412050823772</v>
      </c>
      <c r="U69" s="493">
        <f t="shared" si="54"/>
        <v>405.42115030277023</v>
      </c>
      <c r="V69" s="500">
        <f t="shared" si="55"/>
        <v>1395.4357626390006</v>
      </c>
      <c r="W69" s="489">
        <f t="shared" si="56"/>
        <v>1.6527452712117716</v>
      </c>
      <c r="X69" s="493">
        <f t="shared" si="57"/>
        <v>37.9060089869281</v>
      </c>
      <c r="Y69" s="763">
        <f t="shared" si="58"/>
        <v>62.648977103656335</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14274.262522403124</v>
      </c>
      <c r="I70" s="487">
        <f>ITECountywide!$B$9*E70</f>
        <v>19.10408376934355</v>
      </c>
      <c r="J70" s="495">
        <f t="shared" si="48"/>
        <v>1.67</v>
      </c>
      <c r="K70" s="372">
        <f t="shared" si="49"/>
        <v>0.8974131092322899</v>
      </c>
      <c r="L70" s="488">
        <f>Passby_Length_Adj!H65</f>
        <v>1.2405469854222484</v>
      </c>
      <c r="M70" s="488">
        <f>Passby_Length_Adj!J65</f>
        <v>1</v>
      </c>
      <c r="N70" s="372">
        <v>0.5</v>
      </c>
      <c r="O70" s="481">
        <f t="shared" si="50"/>
        <v>0.6202734927111242</v>
      </c>
      <c r="P70" s="489">
        <f t="shared" si="51"/>
        <v>81.922758555599501</v>
      </c>
      <c r="Q70" s="490">
        <f t="shared" si="5"/>
        <v>49.055544045269166</v>
      </c>
      <c r="R70" s="491">
        <f t="shared" si="52"/>
        <v>261.71052631578948</v>
      </c>
      <c r="S70" s="500">
        <f t="shared" si="19"/>
        <v>12838.352250794786</v>
      </c>
      <c r="T70" s="489">
        <f t="shared" si="53"/>
        <v>3.3895963629123895</v>
      </c>
      <c r="U70" s="493">
        <f t="shared" si="54"/>
        <v>405.42115030277023</v>
      </c>
      <c r="V70" s="500">
        <f t="shared" si="55"/>
        <v>1374.2140565140271</v>
      </c>
      <c r="W70" s="489">
        <f t="shared" si="56"/>
        <v>1.6276104170076879</v>
      </c>
      <c r="X70" s="493">
        <f t="shared" si="57"/>
        <v>37.9060089869281</v>
      </c>
      <c r="Y70" s="763">
        <f t="shared" si="58"/>
        <v>61.696215094311214</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14130.90050864074</v>
      </c>
      <c r="I71" s="487">
        <f>ITECountywide!$B$9*E71</f>
        <v>18.912213967596532</v>
      </c>
      <c r="J71" s="495">
        <f t="shared" si="48"/>
        <v>1.67</v>
      </c>
      <c r="K71" s="372">
        <f t="shared" si="49"/>
        <v>0.8974131092322899</v>
      </c>
      <c r="L71" s="488">
        <f>Passby_Length_Adj!H66</f>
        <v>1.2405469854222484</v>
      </c>
      <c r="M71" s="488">
        <f>Passby_Length_Adj!J66</f>
        <v>1</v>
      </c>
      <c r="N71" s="372">
        <v>0.5</v>
      </c>
      <c r="O71" s="481">
        <f t="shared" si="50"/>
        <v>0.6202734927111242</v>
      </c>
      <c r="P71" s="489">
        <f t="shared" si="51"/>
        <v>81.099976179202301</v>
      </c>
      <c r="Q71" s="490">
        <f t="shared" si="5"/>
        <v>48.56285998754629</v>
      </c>
      <c r="R71" s="491">
        <f t="shared" si="52"/>
        <v>261.71052631578948</v>
      </c>
      <c r="S71" s="500">
        <f t="shared" si="19"/>
        <v>12709.411646740733</v>
      </c>
      <c r="T71" s="489">
        <f t="shared" si="53"/>
        <v>3.3555533179798691</v>
      </c>
      <c r="U71" s="493">
        <f t="shared" si="54"/>
        <v>405.42115030277023</v>
      </c>
      <c r="V71" s="500">
        <f t="shared" si="55"/>
        <v>1360.4122860776758</v>
      </c>
      <c r="W71" s="489">
        <f t="shared" si="56"/>
        <v>1.6112636875961588</v>
      </c>
      <c r="X71" s="493">
        <f t="shared" si="57"/>
        <v>37.9060089869281</v>
      </c>
      <c r="Y71" s="763">
        <f t="shared" si="58"/>
        <v>61.076575822330909</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13980.502447525976</v>
      </c>
      <c r="I72" s="487">
        <f>ITECountywide!$B$9*E72</f>
        <v>18.710927410496026</v>
      </c>
      <c r="J72" s="495">
        <f t="shared" si="48"/>
        <v>1.67</v>
      </c>
      <c r="K72" s="372">
        <f t="shared" si="49"/>
        <v>0.8974131092322899</v>
      </c>
      <c r="L72" s="488">
        <f>Passby_Length_Adj!H67</f>
        <v>1.2405469854222484</v>
      </c>
      <c r="M72" s="488">
        <f>Passby_Length_Adj!J67</f>
        <v>1</v>
      </c>
      <c r="N72" s="372">
        <v>0.5</v>
      </c>
      <c r="O72" s="481">
        <f t="shared" si="50"/>
        <v>0.6202734927111242</v>
      </c>
      <c r="P72" s="489">
        <f t="shared" si="51"/>
        <v>80.236812563667172</v>
      </c>
      <c r="Q72" s="490">
        <f t="shared" si="5"/>
        <v>48.045995547106095</v>
      </c>
      <c r="R72" s="491">
        <f t="shared" si="52"/>
        <v>261.71052631578948</v>
      </c>
      <c r="S72" s="500">
        <f t="shared" si="19"/>
        <v>12574.142781999213</v>
      </c>
      <c r="T72" s="489">
        <f t="shared" si="53"/>
        <v>3.3198394784632153</v>
      </c>
      <c r="U72" s="493">
        <f t="shared" si="54"/>
        <v>405.42115030277023</v>
      </c>
      <c r="V72" s="500">
        <f t="shared" si="55"/>
        <v>1345.9331401791055</v>
      </c>
      <c r="W72" s="489">
        <f t="shared" si="56"/>
        <v>1.5941146789812506</v>
      </c>
      <c r="X72" s="493">
        <f t="shared" si="57"/>
        <v>37.9060089869281</v>
      </c>
      <c r="Y72" s="763">
        <f t="shared" si="58"/>
        <v>60.426525347657289</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13840.090781344161</v>
      </c>
      <c r="I73" s="487">
        <f>ITECountywide!$B$9*E73</f>
        <v>18.523006232171017</v>
      </c>
      <c r="J73" s="495">
        <f t="shared" si="48"/>
        <v>1.67</v>
      </c>
      <c r="K73" s="372">
        <f t="shared" si="49"/>
        <v>0.8974131092322899</v>
      </c>
      <c r="L73" s="488">
        <f>Passby_Length_Adj!H68</f>
        <v>1.2405469854222484</v>
      </c>
      <c r="M73" s="488">
        <f>Passby_Length_Adj!J68</f>
        <v>1</v>
      </c>
      <c r="N73" s="372">
        <v>0.5</v>
      </c>
      <c r="O73" s="481">
        <f t="shared" si="50"/>
        <v>0.6202734927111242</v>
      </c>
      <c r="P73" s="489">
        <f t="shared" si="51"/>
        <v>79.430962803726942</v>
      </c>
      <c r="Q73" s="490">
        <f t="shared" si="5"/>
        <v>47.56345078067482</v>
      </c>
      <c r="R73" s="491">
        <f t="shared" si="52"/>
        <v>261.71052631578948</v>
      </c>
      <c r="S73" s="500">
        <f t="shared" si="19"/>
        <v>12447.855737205555</v>
      </c>
      <c r="T73" s="489">
        <f t="shared" si="53"/>
        <v>3.2864970292646403</v>
      </c>
      <c r="U73" s="493">
        <f t="shared" si="54"/>
        <v>405.42115030277023</v>
      </c>
      <c r="V73" s="500">
        <f t="shared" si="55"/>
        <v>1332.4154060711076</v>
      </c>
      <c r="W73" s="489">
        <f t="shared" si="56"/>
        <v>1.5781043603964378</v>
      </c>
      <c r="X73" s="493">
        <f t="shared" si="57"/>
        <v>37.9060089869281</v>
      </c>
      <c r="Y73" s="763">
        <f t="shared" si="58"/>
        <v>59.819638067497792</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13736.136716051056</v>
      </c>
      <c r="I74" s="487">
        <f>ITECountywide!$B$9*E74</f>
        <v>18.383878402035741</v>
      </c>
      <c r="J74" s="495">
        <f t="shared" si="48"/>
        <v>1.67</v>
      </c>
      <c r="K74" s="372">
        <f t="shared" si="49"/>
        <v>0.8974131092322899</v>
      </c>
      <c r="L74" s="488">
        <f>Passby_Length_Adj!H69</f>
        <v>1.2405469854222484</v>
      </c>
      <c r="M74" s="488">
        <f>Passby_Length_Adj!J69</f>
        <v>1</v>
      </c>
      <c r="N74" s="372">
        <v>0.5</v>
      </c>
      <c r="O74" s="481">
        <f t="shared" si="50"/>
        <v>0.6202734927111242</v>
      </c>
      <c r="P74" s="489">
        <f t="shared" si="51"/>
        <v>78.834350279716404</v>
      </c>
      <c r="Q74" s="490">
        <f t="shared" si="5"/>
        <v>47.206197772285272</v>
      </c>
      <c r="R74" s="491">
        <f t="shared" si="52"/>
        <v>261.71052631578948</v>
      </c>
      <c r="S74" s="500">
        <f t="shared" si="19"/>
        <v>12354.358864352027</v>
      </c>
      <c r="T74" s="489">
        <f t="shared" si="53"/>
        <v>3.2618118785554926</v>
      </c>
      <c r="U74" s="493">
        <f t="shared" si="54"/>
        <v>405.42115030277023</v>
      </c>
      <c r="V74" s="500">
        <f t="shared" si="55"/>
        <v>1322.4075238752077</v>
      </c>
      <c r="W74" s="489">
        <f t="shared" si="56"/>
        <v>1.56625108816638</v>
      </c>
      <c r="X74" s="493">
        <f t="shared" si="57"/>
        <v>37.9060089869281</v>
      </c>
      <c r="Y74" s="763">
        <f t="shared" si="58"/>
        <v>59.370327823820716</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13653.69192561526</v>
      </c>
      <c r="I75" s="487">
        <f>ITECountywide!$B$9*E75</f>
        <v>18.273537697543336</v>
      </c>
      <c r="J75" s="495">
        <f t="shared" si="48"/>
        <v>1.67</v>
      </c>
      <c r="K75" s="372">
        <f t="shared" si="49"/>
        <v>0.8974131092322899</v>
      </c>
      <c r="L75" s="488">
        <f>Passby_Length_Adj!H70</f>
        <v>1.2405469854222484</v>
      </c>
      <c r="M75" s="488">
        <f>Passby_Length_Adj!J70</f>
        <v>1</v>
      </c>
      <c r="N75" s="372">
        <v>0.5</v>
      </c>
      <c r="O75" s="481">
        <f t="shared" si="50"/>
        <v>0.6202734927111242</v>
      </c>
      <c r="P75" s="489">
        <f t="shared" si="51"/>
        <v>78.361183651987758</v>
      </c>
      <c r="Q75" s="490">
        <f t="shared" si="5"/>
        <v>46.922864462268123</v>
      </c>
      <c r="R75" s="491">
        <f t="shared" si="52"/>
        <v>261.71052631578948</v>
      </c>
      <c r="S75" s="500">
        <f t="shared" si="19"/>
        <v>12280.207554664645</v>
      </c>
      <c r="T75" s="489">
        <f t="shared" si="53"/>
        <v>3.2422343654360817</v>
      </c>
      <c r="U75" s="493">
        <f t="shared" si="54"/>
        <v>405.42115030277023</v>
      </c>
      <c r="V75" s="500">
        <f t="shared" si="55"/>
        <v>1314.4703859862686</v>
      </c>
      <c r="W75" s="489">
        <f t="shared" si="56"/>
        <v>1.5568503923664594</v>
      </c>
      <c r="X75" s="493">
        <f t="shared" si="57"/>
        <v>37.9060089869281</v>
      </c>
      <c r="Y75" s="763">
        <f t="shared" si="58"/>
        <v>59.013984964345546</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13585.43595485058</v>
      </c>
      <c r="I76" s="487">
        <f>ITECountywide!$B$9*E76</f>
        <v>18.182186723634896</v>
      </c>
      <c r="J76" s="495">
        <f t="shared" si="48"/>
        <v>1.67</v>
      </c>
      <c r="K76" s="372">
        <f t="shared" si="49"/>
        <v>0.8974131092322899</v>
      </c>
      <c r="L76" s="488">
        <f>Passby_Length_Adj!H71</f>
        <v>1.2405469854222484</v>
      </c>
      <c r="M76" s="488">
        <f>Passby_Length_Adj!J71</f>
        <v>1</v>
      </c>
      <c r="N76" s="372">
        <v>0.5</v>
      </c>
      <c r="O76" s="481">
        <f t="shared" si="50"/>
        <v>0.6202734927111242</v>
      </c>
      <c r="P76" s="489">
        <f t="shared" si="51"/>
        <v>77.969449409734835</v>
      </c>
      <c r="Q76" s="490">
        <f t="shared" si="5"/>
        <v>46.68829305972146</v>
      </c>
      <c r="R76" s="491">
        <f t="shared" si="52"/>
        <v>261.71052631578948</v>
      </c>
      <c r="S76" s="500">
        <f t="shared" si="19"/>
        <v>12218.817749445525</v>
      </c>
      <c r="T76" s="489">
        <f t="shared" si="53"/>
        <v>3.2260261592406385</v>
      </c>
      <c r="U76" s="493">
        <f t="shared" si="54"/>
        <v>405.42115030277023</v>
      </c>
      <c r="V76" s="500">
        <f t="shared" si="55"/>
        <v>1307.8992363861676</v>
      </c>
      <c r="W76" s="489">
        <f t="shared" si="56"/>
        <v>1.5490675644364558</v>
      </c>
      <c r="X76" s="493">
        <f t="shared" si="57"/>
        <v>37.9060089869281</v>
      </c>
      <c r="Y76" s="763">
        <f t="shared" si="58"/>
        <v>58.718969018887115</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59">+S77+V77+Y77</f>
        <v>13501.072845423158</v>
      </c>
      <c r="I77" s="487">
        <f>ITECountywide!$B$9*E77</f>
        <v>18.069278620185472</v>
      </c>
      <c r="J77" s="495">
        <f t="shared" si="48"/>
        <v>1.67</v>
      </c>
      <c r="K77" s="372">
        <f t="shared" si="49"/>
        <v>0.8974131092322899</v>
      </c>
      <c r="L77" s="488">
        <f>Passby_Length_Adj!H72</f>
        <v>1.2405469854222484</v>
      </c>
      <c r="M77" s="488">
        <f>Passby_Length_Adj!J72</f>
        <v>1</v>
      </c>
      <c r="N77" s="372">
        <v>0.5</v>
      </c>
      <c r="O77" s="481">
        <f t="shared" si="50"/>
        <v>0.6202734927111242</v>
      </c>
      <c r="P77" s="489">
        <f t="shared" si="51"/>
        <v>77.485273177598486</v>
      </c>
      <c r="Q77" s="490">
        <f t="shared" si="5"/>
        <v>46.398367172214662</v>
      </c>
      <c r="R77" s="491">
        <f t="shared" si="52"/>
        <v>261.71052631578948</v>
      </c>
      <c r="S77" s="500">
        <f t="shared" si="19"/>
        <v>12142.941092833547</v>
      </c>
      <c r="T77" s="489">
        <f t="shared" si="53"/>
        <v>3.2059931180638799</v>
      </c>
      <c r="U77" s="493">
        <f t="shared" si="54"/>
        <v>405.42115030277023</v>
      </c>
      <c r="V77" s="500">
        <f t="shared" si="55"/>
        <v>1299.7774177882231</v>
      </c>
      <c r="W77" s="489">
        <f t="shared" si="56"/>
        <v>1.5394481339755319</v>
      </c>
      <c r="X77" s="493">
        <f t="shared" si="57"/>
        <v>37.9060089869281</v>
      </c>
      <c r="Y77" s="763">
        <f t="shared" si="58"/>
        <v>58.354334801386209</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59"/>
        <v>21926.616668330924</v>
      </c>
      <c r="I78" s="487">
        <f>ITECountywide!$B$9*E78</f>
        <v>29.345678696370033</v>
      </c>
      <c r="J78" s="495">
        <f t="shared" si="48"/>
        <v>1.67</v>
      </c>
      <c r="K78" s="372">
        <f t="shared" si="49"/>
        <v>0.8974131092322899</v>
      </c>
      <c r="L78" s="488">
        <f>Passby_Length_Adj!H73</f>
        <v>1.2405469854222484</v>
      </c>
      <c r="M78" s="488">
        <f>Passby_Length_Adj!J73</f>
        <v>1</v>
      </c>
      <c r="N78" s="372">
        <v>0.5</v>
      </c>
      <c r="O78" s="481">
        <f t="shared" si="50"/>
        <v>0.6202734927111242</v>
      </c>
      <c r="P78" s="489">
        <f t="shared" si="51"/>
        <v>125.84110180414743</v>
      </c>
      <c r="Q78" s="490">
        <f t="shared" si="5"/>
        <v>75.353953176136187</v>
      </c>
      <c r="R78" s="491">
        <f t="shared" si="52"/>
        <v>261.71052631578948</v>
      </c>
      <c r="S78" s="500">
        <f t="shared" si="19"/>
        <v>19720.922745701959</v>
      </c>
      <c r="T78" s="489">
        <f t="shared" si="53"/>
        <v>5.2067404528466135</v>
      </c>
      <c r="U78" s="493">
        <f t="shared" si="54"/>
        <v>405.42115030277023</v>
      </c>
      <c r="V78" s="500">
        <f t="shared" si="55"/>
        <v>2110.9227037210408</v>
      </c>
      <c r="W78" s="489">
        <f t="shared" si="56"/>
        <v>2.5001634685573659</v>
      </c>
      <c r="X78" s="493">
        <f t="shared" si="57"/>
        <v>37.9060089869281</v>
      </c>
      <c r="Y78" s="763">
        <f t="shared" si="58"/>
        <v>94.771218907924847</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59"/>
        <v>10766.930359063052</v>
      </c>
      <c r="I79" s="487">
        <f>ITECountywide!$B$9*E79</f>
        <v>14.410015172090286</v>
      </c>
      <c r="J79" s="495">
        <f t="shared" si="48"/>
        <v>1.67</v>
      </c>
      <c r="K79" s="372">
        <f t="shared" si="49"/>
        <v>0.8974131092322899</v>
      </c>
      <c r="L79" s="488">
        <f>Passby_Length_Adj!H74</f>
        <v>1.2405469854222484</v>
      </c>
      <c r="M79" s="488">
        <f>Passby_Length_Adj!J74</f>
        <v>1</v>
      </c>
      <c r="N79" s="372">
        <v>0.5</v>
      </c>
      <c r="O79" s="481">
        <f t="shared" si="50"/>
        <v>0.6202734927111242</v>
      </c>
      <c r="P79" s="489">
        <f t="shared" si="51"/>
        <v>61.793499650585048</v>
      </c>
      <c r="Q79" s="490">
        <f t="shared" si="5"/>
        <v>37.002095599152725</v>
      </c>
      <c r="R79" s="491">
        <f t="shared" si="52"/>
        <v>261.71052631578948</v>
      </c>
      <c r="S79" s="500">
        <f t="shared" si="19"/>
        <v>9683.8379140414163</v>
      </c>
      <c r="T79" s="489">
        <f t="shared" si="53"/>
        <v>2.5567378999462984</v>
      </c>
      <c r="U79" s="493">
        <f t="shared" si="54"/>
        <v>405.42115030277023</v>
      </c>
      <c r="V79" s="500">
        <f t="shared" si="55"/>
        <v>1036.5556204189174</v>
      </c>
      <c r="W79" s="489">
        <f t="shared" si="56"/>
        <v>1.2276899058079715</v>
      </c>
      <c r="X79" s="493">
        <f t="shared" si="57"/>
        <v>37.9060089869281</v>
      </c>
      <c r="Y79" s="763">
        <f t="shared" si="58"/>
        <v>46.536824602717886</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59"/>
        <v>15236.2222062213</v>
      </c>
      <c r="I80" s="487">
        <f>ITECountywide!$B$9*E80</f>
        <v>20.391530903901348</v>
      </c>
      <c r="J80" s="495">
        <f t="shared" si="48"/>
        <v>1.67</v>
      </c>
      <c r="K80" s="372">
        <f t="shared" si="49"/>
        <v>0.8974131092322899</v>
      </c>
      <c r="L80" s="488">
        <f>Passby_Length_Adj!H75</f>
        <v>1.2405469854222484</v>
      </c>
      <c r="M80" s="488">
        <f>Passby_Length_Adj!J75</f>
        <v>1</v>
      </c>
      <c r="N80" s="372">
        <v>0.5</v>
      </c>
      <c r="O80" s="481">
        <f t="shared" si="50"/>
        <v>0.6202734927111242</v>
      </c>
      <c r="P80" s="489">
        <f t="shared" si="51"/>
        <v>87.443631581016575</v>
      </c>
      <c r="Q80" s="490">
        <f t="shared" ref="Q80:Q137" si="60">+P80/J80</f>
        <v>52.361456036536872</v>
      </c>
      <c r="R80" s="491">
        <f t="shared" si="52"/>
        <v>261.71052631578948</v>
      </c>
      <c r="S80" s="500">
        <f t="shared" si="19"/>
        <v>13703.544217983137</v>
      </c>
      <c r="T80" s="489">
        <f t="shared" si="53"/>
        <v>3.6180253301126863</v>
      </c>
      <c r="U80" s="493">
        <f t="shared" si="54"/>
        <v>405.42115030277023</v>
      </c>
      <c r="V80" s="500">
        <f t="shared" si="55"/>
        <v>1466.8239911588453</v>
      </c>
      <c r="W80" s="489">
        <f t="shared" si="56"/>
        <v>1.7372970365207143</v>
      </c>
      <c r="X80" s="493">
        <f t="shared" si="57"/>
        <v>37.9060089869281</v>
      </c>
      <c r="Y80" s="763">
        <f t="shared" si="58"/>
        <v>65.85399707931775</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59"/>
        <v>31136.011159242171</v>
      </c>
      <c r="I81" s="487">
        <f>ITECountywide!$B$9*E81</f>
        <v>63.077802262734835</v>
      </c>
      <c r="J81" s="495">
        <f t="shared" si="48"/>
        <v>1.67</v>
      </c>
      <c r="K81" s="372">
        <f t="shared" si="49"/>
        <v>0.8974131092322899</v>
      </c>
      <c r="L81" s="488">
        <f>Passby_Length_Adj!H76</f>
        <v>0.892749244712991</v>
      </c>
      <c r="M81" s="488">
        <f>Passby_Length_Adj!J76</f>
        <v>0.91800000000000004</v>
      </c>
      <c r="N81" s="372">
        <v>0.5</v>
      </c>
      <c r="O81" s="481">
        <f t="shared" si="50"/>
        <v>0.40977190332326291</v>
      </c>
      <c r="P81" s="489">
        <f t="shared" si="51"/>
        <v>178.69560130197328</v>
      </c>
      <c r="Q81" s="490">
        <f t="shared" si="60"/>
        <v>107.0033540730379</v>
      </c>
      <c r="R81" s="491">
        <f t="shared" si="52"/>
        <v>261.71052631578948</v>
      </c>
      <c r="S81" s="500">
        <f t="shared" si="19"/>
        <v>28003.904112009524</v>
      </c>
      <c r="T81" s="489">
        <f t="shared" si="53"/>
        <v>7.3936226138006509</v>
      </c>
      <c r="U81" s="493">
        <f t="shared" si="54"/>
        <v>405.42115030277023</v>
      </c>
      <c r="V81" s="500">
        <f t="shared" si="55"/>
        <v>2997.5309849916343</v>
      </c>
      <c r="W81" s="489">
        <f t="shared" si="56"/>
        <v>3.5502566964362141</v>
      </c>
      <c r="X81" s="493">
        <f t="shared" si="57"/>
        <v>37.9060089869281</v>
      </c>
      <c r="Y81" s="763">
        <f t="shared" si="58"/>
        <v>134.57606224101281</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59"/>
        <v>30594.33419009237</v>
      </c>
      <c r="I82" s="487">
        <f>ITECountywide!$B$9*E82</f>
        <v>40.946194055033907</v>
      </c>
      <c r="J82" s="495">
        <f t="shared" si="48"/>
        <v>1.67</v>
      </c>
      <c r="K82" s="372">
        <f t="shared" si="49"/>
        <v>0.8974131092322899</v>
      </c>
      <c r="L82" s="488">
        <f>Passby_Length_Adj!H77</f>
        <v>1.2405469854222484</v>
      </c>
      <c r="M82" s="488">
        <f>Passby_Length_Adj!J77</f>
        <v>1</v>
      </c>
      <c r="N82" s="372">
        <v>0.5</v>
      </c>
      <c r="O82" s="481">
        <f t="shared" si="50"/>
        <v>0.6202734927111242</v>
      </c>
      <c r="P82" s="489">
        <f t="shared" si="51"/>
        <v>175.58681221468129</v>
      </c>
      <c r="Q82" s="490">
        <f t="shared" si="60"/>
        <v>105.14180372136605</v>
      </c>
      <c r="R82" s="491">
        <f t="shared" si="52"/>
        <v>261.71052631578948</v>
      </c>
      <c r="S82" s="500">
        <f t="shared" si="19"/>
        <v>27516.716789710139</v>
      </c>
      <c r="T82" s="489">
        <f t="shared" si="53"/>
        <v>7.2649948628662742</v>
      </c>
      <c r="U82" s="493">
        <f t="shared" si="54"/>
        <v>405.42115030277023</v>
      </c>
      <c r="V82" s="500">
        <f t="shared" si="55"/>
        <v>2945.3825742469612</v>
      </c>
      <c r="W82" s="489">
        <f t="shared" si="56"/>
        <v>3.4884924493335943</v>
      </c>
      <c r="X82" s="493">
        <f t="shared" si="57"/>
        <v>37.9060089869281</v>
      </c>
      <c r="Y82" s="763">
        <f t="shared" si="58"/>
        <v>132.23482613527005</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59"/>
        <v>7495.5338045407234</v>
      </c>
      <c r="I83" s="487">
        <f>ITECountywide!$B$9*E83</f>
        <v>20.319027682909702</v>
      </c>
      <c r="J83" s="495">
        <f t="shared" si="48"/>
        <v>1.67</v>
      </c>
      <c r="K83" s="372">
        <f t="shared" si="49"/>
        <v>0.8974131092322899</v>
      </c>
      <c r="L83" s="488">
        <f>Passby_Length_Adj!H78</f>
        <v>0.61247081225203326</v>
      </c>
      <c r="M83" s="488">
        <f>Passby_Length_Adj!J78</f>
        <v>1</v>
      </c>
      <c r="N83" s="372">
        <v>0.5</v>
      </c>
      <c r="O83" s="481">
        <f t="shared" si="50"/>
        <v>0.30623540612601663</v>
      </c>
      <c r="P83" s="489">
        <f t="shared" si="51"/>
        <v>43.018320922077692</v>
      </c>
      <c r="Q83" s="490">
        <f t="shared" si="60"/>
        <v>25.759473606034547</v>
      </c>
      <c r="R83" s="491">
        <f t="shared" si="52"/>
        <v>261.71052631578948</v>
      </c>
      <c r="S83" s="500">
        <f t="shared" si="19"/>
        <v>6741.5253950529886</v>
      </c>
      <c r="T83" s="489">
        <f t="shared" si="53"/>
        <v>1.7799052022535429</v>
      </c>
      <c r="U83" s="493">
        <f t="shared" si="54"/>
        <v>405.42115030277023</v>
      </c>
      <c r="V83" s="500">
        <f t="shared" si="55"/>
        <v>721.61121452751627</v>
      </c>
      <c r="W83" s="489">
        <f t="shared" si="56"/>
        <v>0.85467174799093315</v>
      </c>
      <c r="X83" s="493">
        <f t="shared" si="57"/>
        <v>37.9060089869281</v>
      </c>
      <c r="Y83" s="763">
        <f t="shared" si="58"/>
        <v>32.39719496021786</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59"/>
        <v>46020.162717102205</v>
      </c>
      <c r="I84" s="487">
        <f>ITECountywide!$B$9*E84</f>
        <v>61.591486232406027</v>
      </c>
      <c r="J84" s="495">
        <f t="shared" si="48"/>
        <v>1.67</v>
      </c>
      <c r="K84" s="372">
        <f t="shared" si="49"/>
        <v>0.8974131092322899</v>
      </c>
      <c r="L84" s="488">
        <f>Passby_Length_Adj!H79</f>
        <v>1.2405469854222484</v>
      </c>
      <c r="M84" s="488">
        <f>Passby_Length_Adj!J79</f>
        <v>1</v>
      </c>
      <c r="N84" s="372">
        <v>0.5</v>
      </c>
      <c r="O84" s="481">
        <f t="shared" si="50"/>
        <v>0.6202734927111242</v>
      </c>
      <c r="P84" s="489">
        <f t="shared" si="51"/>
        <v>264.1186312109283</v>
      </c>
      <c r="Q84" s="490">
        <f t="shared" si="60"/>
        <v>158.15486898857984</v>
      </c>
      <c r="R84" s="491">
        <f t="shared" si="52"/>
        <v>261.71052631578948</v>
      </c>
      <c r="S84" s="500">
        <f t="shared" si="19"/>
        <v>41390.794002405957</v>
      </c>
      <c r="T84" s="489">
        <f t="shared" si="53"/>
        <v>10.928044508198139</v>
      </c>
      <c r="U84" s="493">
        <f t="shared" si="54"/>
        <v>405.42115030277023</v>
      </c>
      <c r="V84" s="500">
        <f t="shared" si="55"/>
        <v>4430.4603750735605</v>
      </c>
      <c r="W84" s="489">
        <f t="shared" si="56"/>
        <v>5.2474091823087887</v>
      </c>
      <c r="X84" s="493">
        <f t="shared" si="57"/>
        <v>37.9060089869281</v>
      </c>
      <c r="Y84" s="763">
        <f t="shared" si="58"/>
        <v>198.90833962268599</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59"/>
        <v>14992.442650921761</v>
      </c>
      <c r="I85" s="487">
        <f>ITECountywide!$B$9*E85</f>
        <v>20.065266409438927</v>
      </c>
      <c r="J85" s="495">
        <f t="shared" si="48"/>
        <v>1.67</v>
      </c>
      <c r="K85" s="372">
        <f t="shared" si="49"/>
        <v>0.8974131092322899</v>
      </c>
      <c r="L85" s="488">
        <f>Passby_Length_Adj!H80</f>
        <v>1.2405469854222484</v>
      </c>
      <c r="M85" s="488">
        <f>Passby_Length_Adj!J80</f>
        <v>1</v>
      </c>
      <c r="N85" s="372">
        <v>0.5</v>
      </c>
      <c r="O85" s="481">
        <f t="shared" si="50"/>
        <v>0.6202734927111242</v>
      </c>
      <c r="P85" s="489">
        <f t="shared" si="51"/>
        <v>86.044533475720314</v>
      </c>
      <c r="Q85" s="490">
        <f t="shared" si="60"/>
        <v>51.523672739952289</v>
      </c>
      <c r="R85" s="491">
        <f t="shared" si="52"/>
        <v>261.71052631578948</v>
      </c>
      <c r="S85" s="500">
        <f t="shared" si="19"/>
        <v>13484.287510495409</v>
      </c>
      <c r="T85" s="489">
        <f t="shared" si="53"/>
        <v>3.560136924830883</v>
      </c>
      <c r="U85" s="493">
        <f t="shared" si="54"/>
        <v>405.42115030277023</v>
      </c>
      <c r="V85" s="500">
        <f t="shared" si="55"/>
        <v>1443.3548073003035</v>
      </c>
      <c r="W85" s="489">
        <f t="shared" si="56"/>
        <v>1.7095002839363829</v>
      </c>
      <c r="X85" s="493">
        <f t="shared" si="57"/>
        <v>37.9060089869281</v>
      </c>
      <c r="Y85" s="763">
        <f t="shared" si="58"/>
        <v>64.80033312604867</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59"/>
        <v>15249.765514849052</v>
      </c>
      <c r="I86" s="487">
        <f>ITECountywide!$B$9*E86</f>
        <v>20.40965670914926</v>
      </c>
      <c r="J86" s="495">
        <f t="shared" si="48"/>
        <v>1.67</v>
      </c>
      <c r="K86" s="372">
        <f t="shared" si="49"/>
        <v>0.8974131092322899</v>
      </c>
      <c r="L86" s="488">
        <f>Passby_Length_Adj!H81</f>
        <v>1.2405469854222484</v>
      </c>
      <c r="M86" s="488">
        <f>Passby_Length_Adj!J81</f>
        <v>1</v>
      </c>
      <c r="N86" s="372">
        <v>0.5</v>
      </c>
      <c r="O86" s="481">
        <f t="shared" si="50"/>
        <v>0.6202734927111242</v>
      </c>
      <c r="P86" s="489">
        <f t="shared" si="51"/>
        <v>87.521359253533035</v>
      </c>
      <c r="Q86" s="490">
        <f t="shared" si="60"/>
        <v>52.407999553013795</v>
      </c>
      <c r="R86" s="491">
        <f t="shared" si="52"/>
        <v>261.71052631578948</v>
      </c>
      <c r="S86" s="500">
        <f t="shared" ref="S86:S137" si="61">+Q86*R86</f>
        <v>13715.725146176899</v>
      </c>
      <c r="T86" s="489">
        <f t="shared" si="53"/>
        <v>3.621241352628342</v>
      </c>
      <c r="U86" s="493">
        <f t="shared" si="54"/>
        <v>405.42115030277023</v>
      </c>
      <c r="V86" s="500">
        <f t="shared" si="55"/>
        <v>1468.127834706542</v>
      </c>
      <c r="W86" s="489">
        <f t="shared" si="56"/>
        <v>1.7388413005531773</v>
      </c>
      <c r="X86" s="493">
        <f t="shared" si="57"/>
        <v>37.9060089869281</v>
      </c>
      <c r="Y86" s="763">
        <f t="shared" si="58"/>
        <v>65.912533965610479</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59"/>
        <v>16847.87593292382</v>
      </c>
      <c r="I87" s="487">
        <f>ITECountywide!$B$9*E87</f>
        <v>22.548501728402911</v>
      </c>
      <c r="J87" s="495">
        <f t="shared" si="48"/>
        <v>1.67</v>
      </c>
      <c r="K87" s="372">
        <f t="shared" si="49"/>
        <v>0.8974131092322899</v>
      </c>
      <c r="L87" s="488">
        <f>Passby_Length_Adj!H82</f>
        <v>1.2405469854222484</v>
      </c>
      <c r="M87" s="488">
        <f>Passby_Length_Adj!J82</f>
        <v>1</v>
      </c>
      <c r="N87" s="372">
        <v>0.5</v>
      </c>
      <c r="O87" s="481">
        <f t="shared" si="50"/>
        <v>0.6202734927111242</v>
      </c>
      <c r="P87" s="489">
        <f t="shared" si="51"/>
        <v>96.693224610475212</v>
      </c>
      <c r="Q87" s="490">
        <f t="shared" si="60"/>
        <v>57.900134497290551</v>
      </c>
      <c r="R87" s="491">
        <f t="shared" si="52"/>
        <v>261.71052631578948</v>
      </c>
      <c r="S87" s="500">
        <f t="shared" si="61"/>
        <v>15153.074673040908</v>
      </c>
      <c r="T87" s="489">
        <f t="shared" si="53"/>
        <v>4.0007320094757164</v>
      </c>
      <c r="U87" s="493">
        <f t="shared" si="54"/>
        <v>405.42115030277023</v>
      </c>
      <c r="V87" s="500">
        <f t="shared" si="55"/>
        <v>1621.9813733347585</v>
      </c>
      <c r="W87" s="489">
        <f t="shared" si="56"/>
        <v>1.921064456383794</v>
      </c>
      <c r="X87" s="493">
        <f t="shared" si="57"/>
        <v>37.9060089869281</v>
      </c>
      <c r="Y87" s="763">
        <f t="shared" si="58"/>
        <v>72.81988654815224</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59"/>
        <v>17243.978529741969</v>
      </c>
      <c r="I89" s="487">
        <f>ITECountywide!$B$9*E89</f>
        <v>32.717078472481724</v>
      </c>
      <c r="J89" s="495">
        <f t="shared" ref="J89:J126" si="62">IF(F89="Prod",$M$3,$M$4)</f>
        <v>1.67</v>
      </c>
      <c r="K89" s="372">
        <f t="shared" ref="K89:K126" si="63">IF(F89="Prod",$F$4,$F$5)</f>
        <v>0.8974131092322899</v>
      </c>
      <c r="L89" s="488">
        <f>Passby_Length_Adj!H84</f>
        <v>0.87508191706880245</v>
      </c>
      <c r="M89" s="488">
        <f>Passby_Length_Adj!J84</f>
        <v>1</v>
      </c>
      <c r="N89" s="372">
        <v>0.5</v>
      </c>
      <c r="O89" s="481">
        <f t="shared" ref="O89:O126" si="64">L89*M89*N89</f>
        <v>0.43754095853440123</v>
      </c>
      <c r="P89" s="489">
        <f t="shared" ref="P89:P126" si="65">IF($F89="Prod",$I89*$O89*$F$4*$F$6,$I89*O89*$F$5*$F$7)</f>
        <v>98.96653416684984</v>
      </c>
      <c r="Q89" s="490">
        <f t="shared" si="60"/>
        <v>59.261397704700506</v>
      </c>
      <c r="R89" s="491">
        <f t="shared" ref="R89:R126" si="66">$Q$4</f>
        <v>261.71052631578948</v>
      </c>
      <c r="S89" s="500">
        <f t="shared" si="61"/>
        <v>15509.331583506488</v>
      </c>
      <c r="T89" s="489">
        <f t="shared" ref="T89:T126" si="67">IF($F89="Prod",$I89*$O89*$G$4*$G$6,$I89*$O89*$G$5*$G$7)</f>
        <v>4.0947913641644602</v>
      </c>
      <c r="U89" s="493">
        <f t="shared" ref="U89:U126" si="68">+$R$4</f>
        <v>405.42115030277023</v>
      </c>
      <c r="V89" s="500">
        <f t="shared" ref="V89:V126" si="69">+T89*U89</f>
        <v>1660.1150251094052</v>
      </c>
      <c r="W89" s="489">
        <f t="shared" ref="W89:W126" si="70">IF($F89="Prod",$I89*$O89*$J$4*$J$6,$I89*$O89*$J$5*$J$7)</f>
        <v>1.9662297118057939</v>
      </c>
      <c r="X89" s="493">
        <f t="shared" ref="X89:X126" si="71">+$S$4</f>
        <v>37.9060089869281</v>
      </c>
      <c r="Y89" s="763">
        <f t="shared" ref="Y89:Y126" si="72">+W89*X89</f>
        <v>74.531921126075474</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59"/>
        <v>47571.714343575899</v>
      </c>
      <c r="I90" s="487">
        <f>ITECountywide!$B$9*E90</f>
        <v>91.897832606915415</v>
      </c>
      <c r="J90" s="495">
        <f t="shared" si="62"/>
        <v>1.67</v>
      </c>
      <c r="K90" s="372">
        <f t="shared" si="63"/>
        <v>0.8974131092322899</v>
      </c>
      <c r="L90" s="488">
        <f>Passby_Length_Adj!H85</f>
        <v>0.8594671567024027</v>
      </c>
      <c r="M90" s="488">
        <f>Passby_Length_Adj!J85</f>
        <v>1</v>
      </c>
      <c r="N90" s="372">
        <v>0.5</v>
      </c>
      <c r="O90" s="481">
        <f t="shared" si="64"/>
        <v>0.42973357835120135</v>
      </c>
      <c r="P90" s="489">
        <f t="shared" si="65"/>
        <v>273.02328664112372</v>
      </c>
      <c r="Q90" s="490">
        <f t="shared" si="60"/>
        <v>163.48699798869686</v>
      </c>
      <c r="R90" s="491">
        <f t="shared" si="66"/>
        <v>261.71052631578948</v>
      </c>
      <c r="S90" s="500">
        <f t="shared" si="61"/>
        <v>42786.268289410269</v>
      </c>
      <c r="T90" s="489">
        <f t="shared" si="67"/>
        <v>11.296479216591091</v>
      </c>
      <c r="U90" s="493">
        <f t="shared" si="68"/>
        <v>405.42115030277023</v>
      </c>
      <c r="V90" s="500">
        <f t="shared" si="69"/>
        <v>4579.8315983616967</v>
      </c>
      <c r="W90" s="489">
        <f t="shared" si="70"/>
        <v>5.4243235122652669</v>
      </c>
      <c r="X90" s="493">
        <f t="shared" si="71"/>
        <v>37.9060089869281</v>
      </c>
      <c r="Y90" s="763">
        <f t="shared" si="72"/>
        <v>205.6144558039326</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59"/>
        <v>8576.0447554296588</v>
      </c>
      <c r="I91" s="487">
        <f>ITECountywide!$B$9*E91</f>
        <v>16.566985996591853</v>
      </c>
      <c r="J91" s="495">
        <f t="shared" si="62"/>
        <v>1.67</v>
      </c>
      <c r="K91" s="372">
        <f t="shared" si="63"/>
        <v>0.8974131092322899</v>
      </c>
      <c r="L91" s="488">
        <f>Passby_Length_Adj!H86</f>
        <v>0.8594671567024027</v>
      </c>
      <c r="M91" s="488">
        <f>Passby_Length_Adj!J86</f>
        <v>1</v>
      </c>
      <c r="N91" s="372">
        <v>0.5</v>
      </c>
      <c r="O91" s="481">
        <f t="shared" si="64"/>
        <v>0.42973357835120135</v>
      </c>
      <c r="P91" s="489">
        <f t="shared" si="65"/>
        <v>49.219582641023102</v>
      </c>
      <c r="Q91" s="490">
        <f t="shared" si="60"/>
        <v>29.47280397666054</v>
      </c>
      <c r="R91" s="491">
        <f t="shared" si="66"/>
        <v>261.71052631578948</v>
      </c>
      <c r="S91" s="500">
        <f t="shared" si="61"/>
        <v>7713.3430407339229</v>
      </c>
      <c r="T91" s="489">
        <f t="shared" si="67"/>
        <v>2.0364856023598148</v>
      </c>
      <c r="U91" s="493">
        <f t="shared" si="68"/>
        <v>405.42115030277023</v>
      </c>
      <c r="V91" s="500">
        <f t="shared" si="69"/>
        <v>825.63433548374599</v>
      </c>
      <c r="W91" s="489">
        <f t="shared" si="70"/>
        <v>0.9778760730198135</v>
      </c>
      <c r="X91" s="493">
        <f t="shared" si="71"/>
        <v>37.9060089869281</v>
      </c>
      <c r="Y91" s="763">
        <f t="shared" si="72"/>
        <v>37.06737921199101</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59"/>
        <v>63898.101514743968</v>
      </c>
      <c r="I92" s="710">
        <f>ITECountywide!$B$9*E92</f>
        <v>123.43673373828283</v>
      </c>
      <c r="J92" s="711">
        <f t="shared" si="62"/>
        <v>1.67</v>
      </c>
      <c r="K92" s="712">
        <f t="shared" si="63"/>
        <v>0.8974131092322899</v>
      </c>
      <c r="L92" s="713">
        <f>Passby_Length_Adj!H87</f>
        <v>0.8594671567024027</v>
      </c>
      <c r="M92" s="713">
        <f>Passby_Length_Adj!J87</f>
        <v>1</v>
      </c>
      <c r="N92" s="712">
        <v>0.5</v>
      </c>
      <c r="O92" s="714">
        <f t="shared" si="64"/>
        <v>0.42973357835120135</v>
      </c>
      <c r="P92" s="715">
        <f t="shared" si="65"/>
        <v>366.72358619843249</v>
      </c>
      <c r="Q92" s="716">
        <f t="shared" si="60"/>
        <v>219.59496179546858</v>
      </c>
      <c r="R92" s="717">
        <f t="shared" si="66"/>
        <v>261.71052631578948</v>
      </c>
      <c r="S92" s="721">
        <f t="shared" si="61"/>
        <v>57470.313027787764</v>
      </c>
      <c r="T92" s="715">
        <f t="shared" si="67"/>
        <v>15.173377409267326</v>
      </c>
      <c r="U92" s="719">
        <f t="shared" si="68"/>
        <v>405.42115030277023</v>
      </c>
      <c r="V92" s="721">
        <f t="shared" si="69"/>
        <v>6151.6081232432271</v>
      </c>
      <c r="W92" s="715">
        <f t="shared" si="70"/>
        <v>7.2859256644036421</v>
      </c>
      <c r="X92" s="719">
        <f t="shared" si="71"/>
        <v>37.9060089869281</v>
      </c>
      <c r="Y92" s="764">
        <f t="shared" si="72"/>
        <v>276.18036371297455</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59"/>
        <v>20686.804873190627</v>
      </c>
      <c r="I94" s="693">
        <f>ITECountywide!$B$9*E94</f>
        <v>284.21511603055654</v>
      </c>
      <c r="J94" s="694">
        <f t="shared" si="62"/>
        <v>1.67</v>
      </c>
      <c r="K94" s="695">
        <f t="shared" si="63"/>
        <v>0.8974131092322899</v>
      </c>
      <c r="L94" s="696">
        <f>Passby_Length_Adj!H89</f>
        <v>0.30211480362537763</v>
      </c>
      <c r="M94" s="696">
        <f>Passby_Length_Adj!J89</f>
        <v>0.4</v>
      </c>
      <c r="N94" s="695">
        <v>0.5</v>
      </c>
      <c r="O94" s="697">
        <f t="shared" si="64"/>
        <v>6.0422960725075525E-2</v>
      </c>
      <c r="P94" s="698">
        <f t="shared" si="65"/>
        <v>118.7255816721439</v>
      </c>
      <c r="Q94" s="699">
        <f t="shared" si="60"/>
        <v>71.093162677930479</v>
      </c>
      <c r="R94" s="700">
        <f t="shared" si="66"/>
        <v>261.71052631578948</v>
      </c>
      <c r="S94" s="704">
        <f t="shared" si="61"/>
        <v>18605.829021895228</v>
      </c>
      <c r="T94" s="698">
        <f t="shared" si="67"/>
        <v>4.9123321396389956</v>
      </c>
      <c r="U94" s="702">
        <f t="shared" si="68"/>
        <v>405.42115030277023</v>
      </c>
      <c r="V94" s="704">
        <f t="shared" si="69"/>
        <v>1991.5633467217101</v>
      </c>
      <c r="W94" s="698">
        <f t="shared" si="70"/>
        <v>2.35879500277973</v>
      </c>
      <c r="X94" s="702">
        <f t="shared" si="71"/>
        <v>37.9060089869281</v>
      </c>
      <c r="Y94" s="765">
        <f t="shared" si="72"/>
        <v>89.412504573689532</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59"/>
        <v>16760.727730964332</v>
      </c>
      <c r="I95" s="487">
        <f>ITECountywide!$B$9*E95</f>
        <v>160.19124330117839</v>
      </c>
      <c r="J95" s="495">
        <f t="shared" si="62"/>
        <v>1.67</v>
      </c>
      <c r="K95" s="372">
        <f t="shared" si="63"/>
        <v>0.8974131092322899</v>
      </c>
      <c r="L95" s="488">
        <f>Passby_Length_Adj!H90</f>
        <v>0.34743202416918428</v>
      </c>
      <c r="M95" s="488">
        <f>Passby_Length_Adj!J90</f>
        <v>0.5</v>
      </c>
      <c r="N95" s="372">
        <v>0.5</v>
      </c>
      <c r="O95" s="481">
        <f t="shared" si="64"/>
        <v>8.6858006042296071E-2</v>
      </c>
      <c r="P95" s="489">
        <f t="shared" si="65"/>
        <v>96.193064192626892</v>
      </c>
      <c r="Q95" s="490">
        <f t="shared" si="60"/>
        <v>57.600637241093949</v>
      </c>
      <c r="R95" s="491">
        <f t="shared" si="66"/>
        <v>261.71052631578948</v>
      </c>
      <c r="S95" s="500">
        <f t="shared" si="61"/>
        <v>15074.693088491562</v>
      </c>
      <c r="T95" s="489">
        <f t="shared" si="67"/>
        <v>3.9800376143759624</v>
      </c>
      <c r="U95" s="493">
        <f t="shared" si="68"/>
        <v>405.42115030277023</v>
      </c>
      <c r="V95" s="500">
        <f t="shared" si="69"/>
        <v>1613.5914278685962</v>
      </c>
      <c r="W95" s="489">
        <f t="shared" si="70"/>
        <v>1.9111274581598838</v>
      </c>
      <c r="X95" s="493">
        <f t="shared" si="71"/>
        <v>37.9060089869281</v>
      </c>
      <c r="Y95" s="763">
        <f t="shared" si="72"/>
        <v>72.443214604173619</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59"/>
        <v>15653.689685123727</v>
      </c>
      <c r="I96" s="487">
        <f>ITECountywide!$B$9*E96</f>
        <v>119.48075804939616</v>
      </c>
      <c r="J96" s="495">
        <f t="shared" si="62"/>
        <v>1.67</v>
      </c>
      <c r="K96" s="372">
        <f t="shared" si="63"/>
        <v>0.8974131092322899</v>
      </c>
      <c r="L96" s="488">
        <f>Passby_Length_Adj!H91</f>
        <v>0.36253776435045315</v>
      </c>
      <c r="M96" s="488">
        <f>Passby_Length_Adj!J91</f>
        <v>0.6</v>
      </c>
      <c r="N96" s="372">
        <v>0.5</v>
      </c>
      <c r="O96" s="481">
        <f t="shared" si="64"/>
        <v>0.10876132930513595</v>
      </c>
      <c r="P96" s="489">
        <f t="shared" si="65"/>
        <v>89.839558335569549</v>
      </c>
      <c r="Q96" s="490">
        <f t="shared" si="60"/>
        <v>53.796142715909909</v>
      </c>
      <c r="R96" s="491">
        <f t="shared" si="66"/>
        <v>261.71052631578948</v>
      </c>
      <c r="S96" s="500">
        <f t="shared" si="61"/>
        <v>14079.016823940106</v>
      </c>
      <c r="T96" s="489">
        <f t="shared" si="67"/>
        <v>3.7171580345799744</v>
      </c>
      <c r="U96" s="493">
        <f t="shared" si="68"/>
        <v>405.42115030277023</v>
      </c>
      <c r="V96" s="500">
        <f t="shared" si="69"/>
        <v>1507.0144862365978</v>
      </c>
      <c r="W96" s="489">
        <f t="shared" si="70"/>
        <v>1.7848984041120073</v>
      </c>
      <c r="X96" s="493">
        <f t="shared" si="71"/>
        <v>37.9060089869281</v>
      </c>
      <c r="Y96" s="763">
        <f t="shared" si="72"/>
        <v>67.658374947023376</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59"/>
        <v>14466.232141188366</v>
      </c>
      <c r="I97" s="487">
        <f>ITECountywide!$B$9*E97</f>
        <v>93.94431278308474</v>
      </c>
      <c r="J97" s="495">
        <f t="shared" si="62"/>
        <v>1.67</v>
      </c>
      <c r="K97" s="372">
        <f t="shared" si="63"/>
        <v>0.8974131092322899</v>
      </c>
      <c r="L97" s="488">
        <f>Passby_Length_Adj!H92</f>
        <v>0.37764350453172207</v>
      </c>
      <c r="M97" s="488">
        <f>Passby_Length_Adj!J92</f>
        <v>0.67700000000000005</v>
      </c>
      <c r="N97" s="372">
        <v>0.5</v>
      </c>
      <c r="O97" s="481">
        <f t="shared" si="64"/>
        <v>0.12783232628398794</v>
      </c>
      <c r="P97" s="489">
        <f t="shared" si="65"/>
        <v>83.02450939597189</v>
      </c>
      <c r="Q97" s="490">
        <f t="shared" si="60"/>
        <v>49.715275087408322</v>
      </c>
      <c r="R97" s="491">
        <f t="shared" si="66"/>
        <v>261.71052631578948</v>
      </c>
      <c r="S97" s="500">
        <f t="shared" si="61"/>
        <v>13011.01080905989</v>
      </c>
      <c r="T97" s="489">
        <f t="shared" si="67"/>
        <v>3.4351818718381835</v>
      </c>
      <c r="U97" s="493">
        <f t="shared" si="68"/>
        <v>405.42115030277023</v>
      </c>
      <c r="V97" s="500">
        <f t="shared" si="69"/>
        <v>1392.6953859798598</v>
      </c>
      <c r="W97" s="489">
        <f t="shared" si="70"/>
        <v>1.6494995864686999</v>
      </c>
      <c r="X97" s="493">
        <f t="shared" si="71"/>
        <v>37.9060089869281</v>
      </c>
      <c r="Y97" s="763">
        <f t="shared" si="72"/>
        <v>62.525946148616725</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59"/>
        <v>13458.740441531074</v>
      </c>
      <c r="I98" s="487">
        <f>ITECountywide!$B$9*E98</f>
        <v>81.278704137667205</v>
      </c>
      <c r="J98" s="495">
        <f t="shared" si="62"/>
        <v>1.67</v>
      </c>
      <c r="K98" s="372">
        <f t="shared" si="63"/>
        <v>0.8974131092322899</v>
      </c>
      <c r="L98" s="488">
        <f>Passby_Length_Adj!H93</f>
        <v>0.39274924471299094</v>
      </c>
      <c r="M98" s="488">
        <f>Passby_Length_Adj!J93</f>
        <v>0.7</v>
      </c>
      <c r="N98" s="372">
        <v>0.5</v>
      </c>
      <c r="O98" s="481">
        <f t="shared" si="64"/>
        <v>0.13746223564954682</v>
      </c>
      <c r="P98" s="489">
        <f t="shared" si="65"/>
        <v>77.242319308865419</v>
      </c>
      <c r="Q98" s="490">
        <f t="shared" si="60"/>
        <v>46.252885813691869</v>
      </c>
      <c r="R98" s="491">
        <f t="shared" si="66"/>
        <v>261.71052631578948</v>
      </c>
      <c r="S98" s="500">
        <f t="shared" si="61"/>
        <v>12104.867089925412</v>
      </c>
      <c r="T98" s="489">
        <f t="shared" si="67"/>
        <v>3.1959407765127317</v>
      </c>
      <c r="U98" s="493">
        <f t="shared" si="68"/>
        <v>405.42115030277023</v>
      </c>
      <c r="V98" s="500">
        <f t="shared" si="69"/>
        <v>1295.7019859133204</v>
      </c>
      <c r="W98" s="489">
        <f t="shared" si="70"/>
        <v>1.5346212182982004</v>
      </c>
      <c r="X98" s="493">
        <f t="shared" si="71"/>
        <v>37.9060089869281</v>
      </c>
      <c r="Y98" s="763">
        <f t="shared" si="72"/>
        <v>58.171365692342135</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59"/>
        <v>12908.278260545749</v>
      </c>
      <c r="I99" s="487">
        <f>ITECountywide!$B$9*E99</f>
        <v>72.982006524219813</v>
      </c>
      <c r="J99" s="495">
        <f t="shared" si="62"/>
        <v>1.67</v>
      </c>
      <c r="K99" s="372">
        <f t="shared" si="63"/>
        <v>0.8974131092322899</v>
      </c>
      <c r="L99" s="488">
        <f>Passby_Length_Adj!H94</f>
        <v>0.40785498489425986</v>
      </c>
      <c r="M99" s="488">
        <f>Passby_Length_Adj!J94</f>
        <v>0.72</v>
      </c>
      <c r="N99" s="372">
        <v>0.5</v>
      </c>
      <c r="O99" s="481">
        <f t="shared" si="64"/>
        <v>0.14682779456193354</v>
      </c>
      <c r="P99" s="489">
        <f t="shared" si="65"/>
        <v>74.08311018852919</v>
      </c>
      <c r="Q99" s="490">
        <f t="shared" si="60"/>
        <v>44.361143825466584</v>
      </c>
      <c r="R99" s="491">
        <f t="shared" si="66"/>
        <v>261.71052631578948</v>
      </c>
      <c r="S99" s="500">
        <f t="shared" si="61"/>
        <v>11609.778298533294</v>
      </c>
      <c r="T99" s="489">
        <f t="shared" si="67"/>
        <v>3.0652268707217818</v>
      </c>
      <c r="U99" s="493">
        <f t="shared" si="68"/>
        <v>405.42115030277023</v>
      </c>
      <c r="V99" s="500">
        <f t="shared" si="69"/>
        <v>1242.7078038669856</v>
      </c>
      <c r="W99" s="489">
        <f t="shared" si="70"/>
        <v>1.4718552450274738</v>
      </c>
      <c r="X99" s="493">
        <f t="shared" si="71"/>
        <v>37.9060089869281</v>
      </c>
      <c r="Y99" s="763">
        <f t="shared" si="72"/>
        <v>55.792158145468683</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59"/>
        <v>12695.084007230798</v>
      </c>
      <c r="I100" s="487">
        <f>ITECountywide!$B$9*E100</f>
        <v>67.342551831206222</v>
      </c>
      <c r="J100" s="495">
        <f t="shared" si="62"/>
        <v>1.67</v>
      </c>
      <c r="K100" s="372">
        <f t="shared" si="63"/>
        <v>0.8974131092322899</v>
      </c>
      <c r="L100" s="488">
        <f>Passby_Length_Adj!H95</f>
        <v>0.42296072507552868</v>
      </c>
      <c r="M100" s="488">
        <f>Passby_Length_Adj!J95</f>
        <v>0.74</v>
      </c>
      <c r="N100" s="372">
        <v>0.5</v>
      </c>
      <c r="O100" s="481">
        <f t="shared" si="64"/>
        <v>0.15649546827794561</v>
      </c>
      <c r="P100" s="489">
        <f t="shared" si="65"/>
        <v>72.859547057870046</v>
      </c>
      <c r="Q100" s="490">
        <f t="shared" si="60"/>
        <v>43.628471292137753</v>
      </c>
      <c r="R100" s="491">
        <f t="shared" si="66"/>
        <v>261.71052631578948</v>
      </c>
      <c r="S100" s="500">
        <f t="shared" si="61"/>
        <v>11418.030184218684</v>
      </c>
      <c r="T100" s="489">
        <f t="shared" si="67"/>
        <v>3.0146013154963538</v>
      </c>
      <c r="U100" s="493">
        <f t="shared" si="68"/>
        <v>405.42115030277023</v>
      </c>
      <c r="V100" s="500">
        <f t="shared" si="69"/>
        <v>1222.1831330327761</v>
      </c>
      <c r="W100" s="489">
        <f t="shared" si="70"/>
        <v>1.4475459550030692</v>
      </c>
      <c r="X100" s="493">
        <f t="shared" si="71"/>
        <v>37.9060089869281</v>
      </c>
      <c r="Y100" s="763">
        <f t="shared" si="72"/>
        <v>54.870689979337762</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59"/>
        <v>12663.955096694235</v>
      </c>
      <c r="I101" s="487">
        <f>ITECountywide!$B$9*E101</f>
        <v>63.154094551514092</v>
      </c>
      <c r="J101" s="495">
        <f t="shared" si="62"/>
        <v>1.67</v>
      </c>
      <c r="K101" s="372">
        <f t="shared" si="63"/>
        <v>0.8974131092322899</v>
      </c>
      <c r="L101" s="488">
        <f>Passby_Length_Adj!H96</f>
        <v>0.43806646525679754</v>
      </c>
      <c r="M101" s="488">
        <f>Passby_Length_Adj!J96</f>
        <v>0.76</v>
      </c>
      <c r="N101" s="372">
        <v>0.5</v>
      </c>
      <c r="O101" s="481">
        <f t="shared" si="64"/>
        <v>0.16646525679758306</v>
      </c>
      <c r="P101" s="489">
        <f t="shared" si="65"/>
        <v>72.680892208417532</v>
      </c>
      <c r="Q101" s="490">
        <f t="shared" si="60"/>
        <v>43.521492340369782</v>
      </c>
      <c r="R101" s="491">
        <f t="shared" si="66"/>
        <v>261.71052631578948</v>
      </c>
      <c r="S101" s="500">
        <f t="shared" si="61"/>
        <v>11390.032666446776</v>
      </c>
      <c r="T101" s="489">
        <f t="shared" si="67"/>
        <v>3.0072093790113308</v>
      </c>
      <c r="U101" s="493">
        <f t="shared" si="68"/>
        <v>405.42115030277023</v>
      </c>
      <c r="V101" s="500">
        <f t="shared" si="69"/>
        <v>1219.186285640053</v>
      </c>
      <c r="W101" s="489">
        <f t="shared" si="70"/>
        <v>1.443996507948982</v>
      </c>
      <c r="X101" s="493">
        <f t="shared" si="71"/>
        <v>37.9060089869281</v>
      </c>
      <c r="Y101" s="763">
        <f t="shared" si="72"/>
        <v>54.736144607406906</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59"/>
        <v>12446.817362859831</v>
      </c>
      <c r="I102" s="487">
        <f>ITECountywide!$B$9*E102</f>
        <v>58.463687032601783</v>
      </c>
      <c r="J102" s="495">
        <f t="shared" si="62"/>
        <v>1.67</v>
      </c>
      <c r="K102" s="372">
        <f t="shared" si="63"/>
        <v>0.8974131092322899</v>
      </c>
      <c r="L102" s="488">
        <f>Passby_Length_Adj!H97</f>
        <v>0.45317220543806647</v>
      </c>
      <c r="M102" s="488">
        <f>Passby_Length_Adj!J97</f>
        <v>0.78</v>
      </c>
      <c r="N102" s="372">
        <v>0.5</v>
      </c>
      <c r="O102" s="481">
        <f t="shared" si="64"/>
        <v>0.17673716012084592</v>
      </c>
      <c r="P102" s="489">
        <f t="shared" si="65"/>
        <v>71.434696678924681</v>
      </c>
      <c r="Q102" s="490">
        <f t="shared" si="60"/>
        <v>42.775267472409993</v>
      </c>
      <c r="R102" s="491">
        <f t="shared" si="66"/>
        <v>261.71052631578948</v>
      </c>
      <c r="S102" s="500">
        <f t="shared" si="61"/>
        <v>11194.73776350309</v>
      </c>
      <c r="T102" s="489">
        <f t="shared" si="67"/>
        <v>2.9556473966181245</v>
      </c>
      <c r="U102" s="493">
        <f t="shared" si="68"/>
        <v>405.42115030277023</v>
      </c>
      <c r="V102" s="500">
        <f t="shared" si="69"/>
        <v>1198.2819674263083</v>
      </c>
      <c r="W102" s="489">
        <f t="shared" si="70"/>
        <v>1.419237565974947</v>
      </c>
      <c r="X102" s="493">
        <f t="shared" si="71"/>
        <v>37.9060089869281</v>
      </c>
      <c r="Y102" s="763">
        <f t="shared" si="72"/>
        <v>53.797631930432303</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59"/>
        <v>12957.46833686709</v>
      </c>
      <c r="I103" s="487">
        <f>ITECountywide!$B$9*E103</f>
        <v>53.946089751997178</v>
      </c>
      <c r="J103" s="495">
        <f t="shared" si="62"/>
        <v>1.67</v>
      </c>
      <c r="K103" s="372">
        <f t="shared" si="63"/>
        <v>0.8974131092322899</v>
      </c>
      <c r="L103" s="488">
        <f>Passby_Length_Adj!H98</f>
        <v>0.49848942598187307</v>
      </c>
      <c r="M103" s="488">
        <f>Passby_Length_Adj!J98</f>
        <v>0.8</v>
      </c>
      <c r="N103" s="372">
        <v>0.5</v>
      </c>
      <c r="O103" s="481">
        <f t="shared" si="64"/>
        <v>0.19939577039274925</v>
      </c>
      <c r="P103" s="489">
        <f t="shared" si="65"/>
        <v>74.365421568152485</v>
      </c>
      <c r="Q103" s="490">
        <f t="shared" si="60"/>
        <v>44.530192555779934</v>
      </c>
      <c r="R103" s="491">
        <f t="shared" si="66"/>
        <v>261.71052631578948</v>
      </c>
      <c r="S103" s="500">
        <f t="shared" si="61"/>
        <v>11654.020130716617</v>
      </c>
      <c r="T103" s="489">
        <f t="shared" si="67"/>
        <v>3.0769076495731245</v>
      </c>
      <c r="U103" s="493">
        <f t="shared" si="68"/>
        <v>405.42115030277023</v>
      </c>
      <c r="V103" s="500">
        <f t="shared" si="69"/>
        <v>1247.4434386653293</v>
      </c>
      <c r="W103" s="489">
        <f t="shared" si="70"/>
        <v>1.4774641008621174</v>
      </c>
      <c r="X103" s="493">
        <f t="shared" si="71"/>
        <v>37.9060089869281</v>
      </c>
      <c r="Y103" s="763">
        <f t="shared" si="72"/>
        <v>56.00476748514307</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59"/>
        <v>12676.288334567646</v>
      </c>
      <c r="I104" s="487">
        <f>ITECountywide!$B$9*E104</f>
        <v>50.590842791664826</v>
      </c>
      <c r="J104" s="495">
        <f t="shared" si="62"/>
        <v>1.67</v>
      </c>
      <c r="K104" s="372">
        <f t="shared" si="63"/>
        <v>0.8974131092322899</v>
      </c>
      <c r="L104" s="488">
        <f>Passby_Length_Adj!H99</f>
        <v>0.51359516616314194</v>
      </c>
      <c r="M104" s="488">
        <f>Passby_Length_Adj!J99</f>
        <v>0.81</v>
      </c>
      <c r="N104" s="372">
        <v>0.5</v>
      </c>
      <c r="O104" s="481">
        <f t="shared" si="64"/>
        <v>0.2080060422960725</v>
      </c>
      <c r="P104" s="489">
        <f t="shared" si="65"/>
        <v>72.751675050398077</v>
      </c>
      <c r="Q104" s="490">
        <f t="shared" si="60"/>
        <v>43.563877275687474</v>
      </c>
      <c r="R104" s="491">
        <f t="shared" si="66"/>
        <v>261.71052631578948</v>
      </c>
      <c r="S104" s="500">
        <f t="shared" si="61"/>
        <v>11401.12525017663</v>
      </c>
      <c r="T104" s="489">
        <f t="shared" si="67"/>
        <v>3.0101380555837993</v>
      </c>
      <c r="U104" s="493">
        <f t="shared" si="68"/>
        <v>405.42115030277023</v>
      </c>
      <c r="V104" s="500">
        <f t="shared" si="69"/>
        <v>1220.3736330649281</v>
      </c>
      <c r="W104" s="489">
        <f t="shared" si="70"/>
        <v>1.4454027947120764</v>
      </c>
      <c r="X104" s="493">
        <f t="shared" si="71"/>
        <v>37.9060089869281</v>
      </c>
      <c r="Y104" s="763">
        <f t="shared" si="72"/>
        <v>54.789451326086962</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59"/>
        <v>12522.581198506987</v>
      </c>
      <c r="I105" s="487">
        <f>ITECountywide!$B$9*E105</f>
        <v>47.957407840094127</v>
      </c>
      <c r="J105" s="495">
        <f t="shared" si="62"/>
        <v>1.67</v>
      </c>
      <c r="K105" s="372">
        <f t="shared" si="63"/>
        <v>0.8974131092322899</v>
      </c>
      <c r="L105" s="488">
        <f>Passby_Length_Adj!H100</f>
        <v>0.52870090634441091</v>
      </c>
      <c r="M105" s="488">
        <f>Passby_Length_Adj!J100</f>
        <v>0.82</v>
      </c>
      <c r="N105" s="372">
        <v>0.5</v>
      </c>
      <c r="O105" s="481">
        <f t="shared" si="64"/>
        <v>0.21676737160120846</v>
      </c>
      <c r="P105" s="489">
        <f t="shared" si="65"/>
        <v>71.869520012545351</v>
      </c>
      <c r="Q105" s="490">
        <f t="shared" si="60"/>
        <v>43.035640726075066</v>
      </c>
      <c r="R105" s="491">
        <f t="shared" si="66"/>
        <v>261.71052631578948</v>
      </c>
      <c r="S105" s="500">
        <f t="shared" si="61"/>
        <v>11262.880184758331</v>
      </c>
      <c r="T105" s="489">
        <f t="shared" si="67"/>
        <v>2.9736384361794914</v>
      </c>
      <c r="U105" s="493">
        <f t="shared" si="68"/>
        <v>405.42115030277023</v>
      </c>
      <c r="V105" s="500">
        <f t="shared" si="69"/>
        <v>1205.5759153804202</v>
      </c>
      <c r="W105" s="489">
        <f t="shared" si="70"/>
        <v>1.4278764716934196</v>
      </c>
      <c r="X105" s="493">
        <f t="shared" si="71"/>
        <v>37.9060089869281</v>
      </c>
      <c r="Y105" s="763">
        <f t="shared" si="72"/>
        <v>54.125098368233949</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59"/>
        <v>29028.854258942796</v>
      </c>
      <c r="I106" s="487">
        <f>ITECountywide!$B$9*E106</f>
        <v>48.196516154198832</v>
      </c>
      <c r="J106" s="495">
        <f t="shared" si="62"/>
        <v>1.67</v>
      </c>
      <c r="K106" s="372">
        <f t="shared" si="63"/>
        <v>0.8974131092322899</v>
      </c>
      <c r="L106" s="488">
        <f>Passby_Length_Adj!H101</f>
        <v>1</v>
      </c>
      <c r="M106" s="488">
        <f>Passby_Length_Adj!J101</f>
        <v>1</v>
      </c>
      <c r="N106" s="372">
        <v>0.5</v>
      </c>
      <c r="O106" s="481">
        <f t="shared" si="64"/>
        <v>0.5</v>
      </c>
      <c r="P106" s="489">
        <f t="shared" si="65"/>
        <v>166.60221954504806</v>
      </c>
      <c r="Q106" s="490">
        <f t="shared" si="60"/>
        <v>99.761808110807223</v>
      </c>
      <c r="R106" s="491">
        <f t="shared" si="66"/>
        <v>261.71052631578948</v>
      </c>
      <c r="S106" s="500">
        <f t="shared" si="61"/>
        <v>26108.715306894155</v>
      </c>
      <c r="T106" s="489">
        <f t="shared" si="67"/>
        <v>6.8932527099873591</v>
      </c>
      <c r="U106" s="493">
        <f t="shared" si="68"/>
        <v>405.42115030277023</v>
      </c>
      <c r="V106" s="500">
        <f t="shared" si="69"/>
        <v>2794.6704430107634</v>
      </c>
      <c r="W106" s="489">
        <f t="shared" si="70"/>
        <v>3.3099899565038235</v>
      </c>
      <c r="X106" s="493">
        <f t="shared" si="71"/>
        <v>37.9060089869281</v>
      </c>
      <c r="Y106" s="763">
        <f t="shared" si="72"/>
        <v>125.46850903787569</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59"/>
        <v>16578.692927835244</v>
      </c>
      <c r="I107" s="487">
        <f>ITECountywide!$B$9*E107</f>
        <v>50.462241810187869</v>
      </c>
      <c r="J107" s="495">
        <f t="shared" si="62"/>
        <v>1.67</v>
      </c>
      <c r="K107" s="372">
        <f t="shared" si="63"/>
        <v>0.8974131092322899</v>
      </c>
      <c r="L107" s="488">
        <f>Passby_Length_Adj!H102</f>
        <v>0.69486404833836857</v>
      </c>
      <c r="M107" s="488">
        <f>Passby_Length_Adj!J102</f>
        <v>0.78500000000000003</v>
      </c>
      <c r="N107" s="372">
        <v>0.5</v>
      </c>
      <c r="O107" s="481">
        <f t="shared" si="64"/>
        <v>0.27273413897280968</v>
      </c>
      <c r="P107" s="489">
        <f t="shared" si="65"/>
        <v>95.148331184385313</v>
      </c>
      <c r="Q107" s="490">
        <f t="shared" si="60"/>
        <v>56.975048613404383</v>
      </c>
      <c r="R107" s="491">
        <f t="shared" si="66"/>
        <v>261.71052631578948</v>
      </c>
      <c r="S107" s="500">
        <f t="shared" si="61"/>
        <v>14910.969959481752</v>
      </c>
      <c r="T107" s="489">
        <f t="shared" si="67"/>
        <v>3.9368112476448318</v>
      </c>
      <c r="U107" s="493">
        <f t="shared" si="68"/>
        <v>405.42115030277023</v>
      </c>
      <c r="V107" s="500">
        <f t="shared" si="69"/>
        <v>1596.0665445450518</v>
      </c>
      <c r="W107" s="489">
        <f t="shared" si="70"/>
        <v>1.8903710974466181</v>
      </c>
      <c r="X107" s="493">
        <f t="shared" si="71"/>
        <v>37.9060089869281</v>
      </c>
      <c r="Y107" s="763">
        <f t="shared" si="72"/>
        <v>71.656423808440636</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59"/>
        <v>32954.916186293194</v>
      </c>
      <c r="I108" s="487">
        <f>ITECountywide!$B$9*E108</f>
        <v>100.30820624194673</v>
      </c>
      <c r="J108" s="495">
        <f t="shared" si="62"/>
        <v>1.67</v>
      </c>
      <c r="K108" s="372">
        <f t="shared" si="63"/>
        <v>0.8974131092322899</v>
      </c>
      <c r="L108" s="488">
        <f>Passby_Length_Adj!H103</f>
        <v>0.69486404833836857</v>
      </c>
      <c r="M108" s="488">
        <f>Passby_Length_Adj!J103</f>
        <v>0.78500000000000003</v>
      </c>
      <c r="N108" s="372">
        <v>0.5</v>
      </c>
      <c r="O108" s="481">
        <f t="shared" si="64"/>
        <v>0.27273413897280968</v>
      </c>
      <c r="P108" s="489">
        <f t="shared" si="65"/>
        <v>189.1346497034441</v>
      </c>
      <c r="Q108" s="490">
        <f t="shared" si="60"/>
        <v>113.25428125954737</v>
      </c>
      <c r="R108" s="491">
        <f t="shared" si="66"/>
        <v>261.71052631578948</v>
      </c>
      <c r="S108" s="500">
        <f t="shared" si="61"/>
        <v>29639.837555952596</v>
      </c>
      <c r="T108" s="489">
        <f t="shared" si="67"/>
        <v>7.8255436222940018</v>
      </c>
      <c r="U108" s="493">
        <f t="shared" si="68"/>
        <v>405.42115030277023</v>
      </c>
      <c r="V108" s="500">
        <f t="shared" si="69"/>
        <v>3172.6408970949415</v>
      </c>
      <c r="W108" s="489">
        <f t="shared" si="70"/>
        <v>3.7576557662606271</v>
      </c>
      <c r="X108" s="493">
        <f t="shared" si="71"/>
        <v>37.9060089869281</v>
      </c>
      <c r="Y108" s="763">
        <f t="shared" si="72"/>
        <v>142.43773324565754</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59"/>
        <v>26760.262190903049</v>
      </c>
      <c r="I109" s="487">
        <f>ITECountywide!$B$9*E109</f>
        <v>51.694796567045906</v>
      </c>
      <c r="J109" s="495">
        <f t="shared" si="62"/>
        <v>1.67</v>
      </c>
      <c r="K109" s="372">
        <f t="shared" si="63"/>
        <v>0.8974131092322899</v>
      </c>
      <c r="L109" s="488">
        <f>Passby_Length_Adj!H104</f>
        <v>0.8594671567024027</v>
      </c>
      <c r="M109" s="488">
        <f>Passby_Length_Adj!J104</f>
        <v>1</v>
      </c>
      <c r="N109" s="372">
        <v>0.5</v>
      </c>
      <c r="O109" s="481">
        <f t="shared" si="64"/>
        <v>0.42973357835120135</v>
      </c>
      <c r="P109" s="489">
        <f t="shared" si="65"/>
        <v>153.58233007899111</v>
      </c>
      <c r="Q109" s="490">
        <f t="shared" si="60"/>
        <v>91.96546711316833</v>
      </c>
      <c r="R109" s="491">
        <f t="shared" si="66"/>
        <v>261.71052631578948</v>
      </c>
      <c r="S109" s="500">
        <f t="shared" si="61"/>
        <v>24068.330801064712</v>
      </c>
      <c r="T109" s="489">
        <f t="shared" si="67"/>
        <v>6.3545480721336869</v>
      </c>
      <c r="U109" s="493">
        <f t="shared" si="68"/>
        <v>405.42115030277023</v>
      </c>
      <c r="V109" s="500">
        <f t="shared" si="69"/>
        <v>2576.26818905869</v>
      </c>
      <c r="W109" s="489">
        <f t="shared" si="70"/>
        <v>3.0513157114360037</v>
      </c>
      <c r="X109" s="493">
        <f t="shared" si="71"/>
        <v>37.9060089869281</v>
      </c>
      <c r="Y109" s="763">
        <f t="shared" si="72"/>
        <v>115.66320077964807</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59"/>
        <v>20511.378400725309</v>
      </c>
      <c r="I110" s="487">
        <f>ITECountywide!$B$9*E110</f>
        <v>193.54734843720766</v>
      </c>
      <c r="J110" s="495">
        <f t="shared" si="62"/>
        <v>1.67</v>
      </c>
      <c r="K110" s="372">
        <f t="shared" si="63"/>
        <v>0.8974131092322899</v>
      </c>
      <c r="L110" s="488">
        <f>Passby_Length_Adj!H105</f>
        <v>0.31419939577039274</v>
      </c>
      <c r="M110" s="488">
        <f>Passby_Length_Adj!J105</f>
        <v>0.56000000000000005</v>
      </c>
      <c r="N110" s="372">
        <v>0.5</v>
      </c>
      <c r="O110" s="481">
        <f t="shared" si="64"/>
        <v>8.7975830815709977E-2</v>
      </c>
      <c r="P110" s="489">
        <f t="shared" si="65"/>
        <v>117.71877515408518</v>
      </c>
      <c r="Q110" s="490">
        <f t="shared" si="60"/>
        <v>70.490284523404299</v>
      </c>
      <c r="R110" s="491">
        <f t="shared" si="66"/>
        <v>261.71052631578948</v>
      </c>
      <c r="S110" s="500">
        <f t="shared" si="61"/>
        <v>18448.04946276989</v>
      </c>
      <c r="T110" s="489">
        <f t="shared" si="67"/>
        <v>4.8706750009886619</v>
      </c>
      <c r="U110" s="493">
        <f t="shared" si="68"/>
        <v>405.42115030277023</v>
      </c>
      <c r="V110" s="500">
        <f t="shared" si="69"/>
        <v>1974.6746616517698</v>
      </c>
      <c r="W110" s="489">
        <f t="shared" si="70"/>
        <v>2.3387921512449945</v>
      </c>
      <c r="X110" s="493">
        <f t="shared" si="71"/>
        <v>37.9060089869281</v>
      </c>
      <c r="Y110" s="763">
        <f t="shared" si="72"/>
        <v>88.654276303649667</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59"/>
        <v>185529.62031741245</v>
      </c>
      <c r="I111" s="487">
        <f>ITECountywide!$B$9*E111</f>
        <v>1381.6938824378594</v>
      </c>
      <c r="J111" s="495">
        <f t="shared" si="62"/>
        <v>1.67</v>
      </c>
      <c r="K111" s="372">
        <f t="shared" si="63"/>
        <v>0.8974131092322899</v>
      </c>
      <c r="L111" s="488">
        <f>Passby_Length_Adj!H106</f>
        <v>0.32930513595166166</v>
      </c>
      <c r="M111" s="488">
        <f>Passby_Length_Adj!J106</f>
        <v>0.67700000000000005</v>
      </c>
      <c r="N111" s="372">
        <v>0.5</v>
      </c>
      <c r="O111" s="481">
        <f t="shared" si="64"/>
        <v>0.11146978851963749</v>
      </c>
      <c r="P111" s="489">
        <f t="shared" si="65"/>
        <v>1064.7904412799467</v>
      </c>
      <c r="Q111" s="490">
        <f t="shared" si="60"/>
        <v>637.5990666346986</v>
      </c>
      <c r="R111" s="491">
        <f t="shared" si="66"/>
        <v>261.71052631578948</v>
      </c>
      <c r="S111" s="500">
        <f t="shared" si="61"/>
        <v>166866.38730742311</v>
      </c>
      <c r="T111" s="489">
        <f t="shared" si="67"/>
        <v>44.056253361840596</v>
      </c>
      <c r="U111" s="493">
        <f t="shared" si="68"/>
        <v>405.42115030277023</v>
      </c>
      <c r="V111" s="500">
        <f t="shared" si="69"/>
        <v>17861.336915987704</v>
      </c>
      <c r="W111" s="489">
        <f t="shared" si="70"/>
        <v>21.154854215282004</v>
      </c>
      <c r="X111" s="493">
        <f t="shared" si="71"/>
        <v>37.9060089869281</v>
      </c>
      <c r="Y111" s="763">
        <f t="shared" si="72"/>
        <v>801.8960940016334</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59"/>
        <v>151922.63866575123</v>
      </c>
      <c r="I112" s="487">
        <f>ITECountywide!$B$9*E112</f>
        <v>1131.4127635746866</v>
      </c>
      <c r="J112" s="495">
        <f t="shared" si="62"/>
        <v>1.67</v>
      </c>
      <c r="K112" s="372">
        <f t="shared" si="63"/>
        <v>0.8974131092322899</v>
      </c>
      <c r="L112" s="488">
        <f>Passby_Length_Adj!H107</f>
        <v>0.32930513595166166</v>
      </c>
      <c r="M112" s="488">
        <f>Passby_Length_Adj!J107</f>
        <v>0.67700000000000005</v>
      </c>
      <c r="N112" s="372">
        <v>0.5</v>
      </c>
      <c r="O112" s="481">
        <f t="shared" si="64"/>
        <v>0.11146978851963749</v>
      </c>
      <c r="P112" s="489">
        <f t="shared" si="65"/>
        <v>871.91346151931418</v>
      </c>
      <c r="Q112" s="490">
        <f t="shared" si="60"/>
        <v>522.10386917324206</v>
      </c>
      <c r="R112" s="491">
        <f t="shared" si="66"/>
        <v>261.71052631578948</v>
      </c>
      <c r="S112" s="500">
        <f t="shared" si="61"/>
        <v>136640.07839283926</v>
      </c>
      <c r="T112" s="489">
        <f t="shared" si="67"/>
        <v>36.075868904419508</v>
      </c>
      <c r="U112" s="493">
        <f t="shared" si="68"/>
        <v>405.42115030277023</v>
      </c>
      <c r="V112" s="500">
        <f t="shared" si="69"/>
        <v>14625.920269401697</v>
      </c>
      <c r="W112" s="489">
        <f t="shared" si="70"/>
        <v>17.322847249277206</v>
      </c>
      <c r="X112" s="493">
        <f t="shared" si="71"/>
        <v>37.9060089869281</v>
      </c>
      <c r="Y112" s="763">
        <f t="shared" si="72"/>
        <v>656.64000351028449</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59"/>
        <v>39220.861135334766</v>
      </c>
      <c r="I113" s="487">
        <f>ITECountywide!$B$9*E113</f>
        <v>75.765865936273457</v>
      </c>
      <c r="J113" s="495">
        <f t="shared" si="62"/>
        <v>1.67</v>
      </c>
      <c r="K113" s="372">
        <f t="shared" si="63"/>
        <v>0.8974131092322899</v>
      </c>
      <c r="L113" s="488">
        <f>Passby_Length_Adj!H108</f>
        <v>0.8594671567024027</v>
      </c>
      <c r="M113" s="488">
        <f>Passby_Length_Adj!J108</f>
        <v>1</v>
      </c>
      <c r="N113" s="372">
        <v>0.5</v>
      </c>
      <c r="O113" s="481">
        <f t="shared" si="64"/>
        <v>0.42973357835120135</v>
      </c>
      <c r="P113" s="489">
        <f t="shared" si="65"/>
        <v>225.09612192502902</v>
      </c>
      <c r="Q113" s="490">
        <f t="shared" si="60"/>
        <v>134.78809696109522</v>
      </c>
      <c r="R113" s="491">
        <f t="shared" si="66"/>
        <v>261.71052631578948</v>
      </c>
      <c r="S113" s="500">
        <f t="shared" si="61"/>
        <v>35275.463796791897</v>
      </c>
      <c r="T113" s="489">
        <f t="shared" si="67"/>
        <v>9.3134680720612959</v>
      </c>
      <c r="U113" s="493">
        <f t="shared" si="68"/>
        <v>405.42115030277023</v>
      </c>
      <c r="V113" s="500">
        <f t="shared" si="69"/>
        <v>3775.8769390832144</v>
      </c>
      <c r="W113" s="489">
        <f t="shared" si="70"/>
        <v>4.4721247103094308</v>
      </c>
      <c r="X113" s="493">
        <f t="shared" si="71"/>
        <v>37.9060089869281</v>
      </c>
      <c r="Y113" s="763">
        <f t="shared" si="72"/>
        <v>169.52039945965251</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59"/>
        <v>26976.070756958721</v>
      </c>
      <c r="I114" s="487">
        <f>ITECountywide!$B$9*E114</f>
        <v>52.111690087747888</v>
      </c>
      <c r="J114" s="495">
        <f t="shared" si="62"/>
        <v>1.67</v>
      </c>
      <c r="K114" s="372">
        <f t="shared" si="63"/>
        <v>0.8974131092322899</v>
      </c>
      <c r="L114" s="488">
        <f>Passby_Length_Adj!H109</f>
        <v>0.8594671567024027</v>
      </c>
      <c r="M114" s="488">
        <f>Passby_Length_Adj!J109</f>
        <v>1</v>
      </c>
      <c r="N114" s="372">
        <v>0.5</v>
      </c>
      <c r="O114" s="481">
        <f t="shared" si="64"/>
        <v>0.42973357835120135</v>
      </c>
      <c r="P114" s="489">
        <f t="shared" si="65"/>
        <v>154.82089725704748</v>
      </c>
      <c r="Q114" s="490">
        <f t="shared" si="60"/>
        <v>92.707124106016451</v>
      </c>
      <c r="R114" s="491">
        <f t="shared" si="66"/>
        <v>261.71052631578948</v>
      </c>
      <c r="S114" s="500">
        <f t="shared" si="61"/>
        <v>24262.430243008781</v>
      </c>
      <c r="T114" s="489">
        <f t="shared" si="67"/>
        <v>6.4057944275541203</v>
      </c>
      <c r="U114" s="493">
        <f t="shared" si="68"/>
        <v>405.42115030277023</v>
      </c>
      <c r="V114" s="500">
        <f t="shared" si="69"/>
        <v>2597.0445454220671</v>
      </c>
      <c r="W114" s="489">
        <f t="shared" si="70"/>
        <v>3.0759230962056487</v>
      </c>
      <c r="X114" s="493">
        <f t="shared" si="71"/>
        <v>37.9060089869281</v>
      </c>
      <c r="Y114" s="763">
        <f t="shared" si="72"/>
        <v>116.59596852787102</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59"/>
        <v>28843.284002396907</v>
      </c>
      <c r="I115" s="487">
        <f>ITECountywide!$B$9*E115</f>
        <v>55.718725332082435</v>
      </c>
      <c r="J115" s="495">
        <f t="shared" si="62"/>
        <v>1.67</v>
      </c>
      <c r="K115" s="372">
        <f t="shared" si="63"/>
        <v>0.8974131092322899</v>
      </c>
      <c r="L115" s="488">
        <f>Passby_Length_Adj!H110</f>
        <v>0.8594671567024027</v>
      </c>
      <c r="M115" s="488">
        <f>Passby_Length_Adj!J110</f>
        <v>1</v>
      </c>
      <c r="N115" s="372">
        <v>0.5</v>
      </c>
      <c r="O115" s="481">
        <f t="shared" si="64"/>
        <v>0.42973357835120135</v>
      </c>
      <c r="P115" s="489">
        <f t="shared" si="65"/>
        <v>165.53719588457878</v>
      </c>
      <c r="Q115" s="490">
        <f t="shared" si="60"/>
        <v>99.124069391963346</v>
      </c>
      <c r="R115" s="491">
        <f t="shared" si="66"/>
        <v>261.71052631578948</v>
      </c>
      <c r="S115" s="500">
        <f t="shared" si="61"/>
        <v>25941.812371133565</v>
      </c>
      <c r="T115" s="489">
        <f t="shared" si="67"/>
        <v>6.8491868070613444</v>
      </c>
      <c r="U115" s="493">
        <f t="shared" si="68"/>
        <v>405.42115030277023</v>
      </c>
      <c r="V115" s="500">
        <f t="shared" si="69"/>
        <v>2776.8051939573684</v>
      </c>
      <c r="W115" s="489">
        <f t="shared" si="70"/>
        <v>3.2888304687777965</v>
      </c>
      <c r="X115" s="493">
        <f t="shared" si="71"/>
        <v>37.9060089869281</v>
      </c>
      <c r="Y115" s="763">
        <f t="shared" si="72"/>
        <v>124.66643730597411</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59"/>
        <v>38517.137550370615</v>
      </c>
      <c r="I116" s="487">
        <f>ITECountywide!$B$9*E116</f>
        <v>74.406430542680027</v>
      </c>
      <c r="J116" s="495">
        <f t="shared" si="62"/>
        <v>1.67</v>
      </c>
      <c r="K116" s="372">
        <f t="shared" si="63"/>
        <v>0.8974131092322899</v>
      </c>
      <c r="L116" s="488">
        <f>Passby_Length_Adj!H111</f>
        <v>0.8594671567024027</v>
      </c>
      <c r="M116" s="488">
        <f>Passby_Length_Adj!J111</f>
        <v>1</v>
      </c>
      <c r="N116" s="372">
        <v>0.5</v>
      </c>
      <c r="O116" s="481">
        <f t="shared" si="64"/>
        <v>0.42973357835120135</v>
      </c>
      <c r="P116" s="489">
        <f t="shared" si="65"/>
        <v>221.05731590962779</v>
      </c>
      <c r="Q116" s="490">
        <f t="shared" si="60"/>
        <v>132.3696502452861</v>
      </c>
      <c r="R116" s="491">
        <f t="shared" si="66"/>
        <v>261.71052631578948</v>
      </c>
      <c r="S116" s="500">
        <f t="shared" si="61"/>
        <v>34642.530833930796</v>
      </c>
      <c r="T116" s="489">
        <f t="shared" si="67"/>
        <v>9.1463603913424922</v>
      </c>
      <c r="U116" s="493">
        <f t="shared" si="68"/>
        <v>405.42115030277023</v>
      </c>
      <c r="V116" s="500">
        <f t="shared" si="69"/>
        <v>3708.1279509417691</v>
      </c>
      <c r="W116" s="489">
        <f t="shared" si="70"/>
        <v>4.3918832382345006</v>
      </c>
      <c r="X116" s="493">
        <f t="shared" si="71"/>
        <v>37.9060089869281</v>
      </c>
      <c r="Y116" s="763">
        <f t="shared" si="72"/>
        <v>166.47876549805585</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59"/>
        <v>134739.60906780077</v>
      </c>
      <c r="I117" s="487">
        <f>ITECountywide!$B$9*E117</f>
        <v>260.28656336002075</v>
      </c>
      <c r="J117" s="495">
        <f t="shared" si="62"/>
        <v>1.67</v>
      </c>
      <c r="K117" s="372">
        <f t="shared" si="63"/>
        <v>0.8974131092322899</v>
      </c>
      <c r="L117" s="488">
        <f>Passby_Length_Adj!H112</f>
        <v>0.8594671567024027</v>
      </c>
      <c r="M117" s="488">
        <f>Passby_Length_Adj!J112</f>
        <v>1</v>
      </c>
      <c r="N117" s="372">
        <v>0.5</v>
      </c>
      <c r="O117" s="481">
        <f t="shared" si="64"/>
        <v>0.42973357835120135</v>
      </c>
      <c r="P117" s="489">
        <f t="shared" si="65"/>
        <v>773.29672508215708</v>
      </c>
      <c r="Q117" s="490">
        <f t="shared" si="60"/>
        <v>463.05193118692046</v>
      </c>
      <c r="R117" s="491">
        <f t="shared" si="66"/>
        <v>261.71052631578948</v>
      </c>
      <c r="S117" s="500">
        <f t="shared" si="61"/>
        <v>121185.56462247169</v>
      </c>
      <c r="T117" s="489">
        <f t="shared" si="67"/>
        <v>31.995550601626842</v>
      </c>
      <c r="U117" s="493">
        <f t="shared" si="68"/>
        <v>405.42115030277023</v>
      </c>
      <c r="V117" s="500">
        <f t="shared" si="69"/>
        <v>12971.672929482047</v>
      </c>
      <c r="W117" s="489">
        <f t="shared" si="70"/>
        <v>15.36356718661326</v>
      </c>
      <c r="X117" s="493">
        <f t="shared" si="71"/>
        <v>37.9060089869281</v>
      </c>
      <c r="Y117" s="763">
        <f t="shared" si="72"/>
        <v>582.37151584703588</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59"/>
        <v>18765.962265710416</v>
      </c>
      <c r="I118" s="487">
        <f>ITECountywide!$B$9*E118</f>
        <v>36.251610495824622</v>
      </c>
      <c r="J118" s="495">
        <f t="shared" si="62"/>
        <v>1.67</v>
      </c>
      <c r="K118" s="372">
        <f t="shared" si="63"/>
        <v>0.8974131092322899</v>
      </c>
      <c r="L118" s="488">
        <f>Passby_Length_Adj!H113</f>
        <v>0.8594671567024027</v>
      </c>
      <c r="M118" s="488">
        <f>Passby_Length_Adj!J113</f>
        <v>1</v>
      </c>
      <c r="N118" s="372">
        <v>0.5</v>
      </c>
      <c r="O118" s="481">
        <f t="shared" si="64"/>
        <v>0.42973357835120135</v>
      </c>
      <c r="P118" s="489">
        <f t="shared" si="65"/>
        <v>107.70149374403304</v>
      </c>
      <c r="Q118" s="490">
        <f t="shared" si="60"/>
        <v>64.491912421576671</v>
      </c>
      <c r="R118" s="491">
        <f t="shared" si="66"/>
        <v>261.71052631578948</v>
      </c>
      <c r="S118" s="500">
        <f t="shared" si="61"/>
        <v>16878.212342962634</v>
      </c>
      <c r="T118" s="489">
        <f t="shared" si="67"/>
        <v>4.4562048191680841</v>
      </c>
      <c r="U118" s="493">
        <f t="shared" si="68"/>
        <v>405.42115030277023</v>
      </c>
      <c r="V118" s="500">
        <f t="shared" si="69"/>
        <v>1806.6396837718728</v>
      </c>
      <c r="W118" s="489">
        <f t="shared" si="70"/>
        <v>2.1397725886647998</v>
      </c>
      <c r="X118" s="493">
        <f t="shared" si="71"/>
        <v>37.9060089869281</v>
      </c>
      <c r="Y118" s="763">
        <f t="shared" si="72"/>
        <v>81.110238975910306</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59"/>
        <v>21468.260831972711</v>
      </c>
      <c r="I119" s="487">
        <f>ITECountywide!$B$9*E119</f>
        <v>41.471842407223363</v>
      </c>
      <c r="J119" s="495">
        <f t="shared" si="62"/>
        <v>1.67</v>
      </c>
      <c r="K119" s="372">
        <f t="shared" si="63"/>
        <v>0.8974131092322899</v>
      </c>
      <c r="L119" s="488">
        <f>Passby_Length_Adj!H114</f>
        <v>0.8594671567024027</v>
      </c>
      <c r="M119" s="488">
        <f>Passby_Length_Adj!J114</f>
        <v>1</v>
      </c>
      <c r="N119" s="372">
        <v>0.5</v>
      </c>
      <c r="O119" s="481">
        <f t="shared" si="64"/>
        <v>0.42973357835120135</v>
      </c>
      <c r="P119" s="489">
        <f t="shared" si="65"/>
        <v>123.21050884317378</v>
      </c>
      <c r="Q119" s="490">
        <f t="shared" si="60"/>
        <v>73.778747810283704</v>
      </c>
      <c r="R119" s="491">
        <f t="shared" si="66"/>
        <v>261.71052631578948</v>
      </c>
      <c r="S119" s="500">
        <f t="shared" si="61"/>
        <v>19308.674920349247</v>
      </c>
      <c r="T119" s="489">
        <f t="shared" si="67"/>
        <v>5.0978983131282876</v>
      </c>
      <c r="U119" s="493">
        <f t="shared" si="68"/>
        <v>405.42115030277023</v>
      </c>
      <c r="V119" s="500">
        <f t="shared" si="69"/>
        <v>2066.7957982350222</v>
      </c>
      <c r="W119" s="489">
        <f t="shared" si="70"/>
        <v>2.4478998414325304</v>
      </c>
      <c r="X119" s="493">
        <f t="shared" si="71"/>
        <v>37.9060089869281</v>
      </c>
      <c r="Y119" s="763">
        <f t="shared" si="72"/>
        <v>92.79011338844137</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59"/>
        <v>62302.994722158583</v>
      </c>
      <c r="I120" s="487">
        <f>ITECountywide!$B$9*E120</f>
        <v>120.35534684613775</v>
      </c>
      <c r="J120" s="495">
        <f t="shared" si="62"/>
        <v>1.67</v>
      </c>
      <c r="K120" s="372">
        <f t="shared" si="63"/>
        <v>0.8974131092322899</v>
      </c>
      <c r="L120" s="488">
        <f>Passby_Length_Adj!H115</f>
        <v>0.8594671567024027</v>
      </c>
      <c r="M120" s="488">
        <f>Passby_Length_Adj!J115</f>
        <v>1</v>
      </c>
      <c r="N120" s="372">
        <v>0.5</v>
      </c>
      <c r="O120" s="481">
        <f t="shared" si="64"/>
        <v>0.42973357835120135</v>
      </c>
      <c r="P120" s="489">
        <f t="shared" si="65"/>
        <v>357.56895923018971</v>
      </c>
      <c r="Q120" s="490">
        <f t="shared" si="60"/>
        <v>214.11314923963457</v>
      </c>
      <c r="R120" s="491">
        <f t="shared" si="66"/>
        <v>261.71052631578948</v>
      </c>
      <c r="S120" s="500">
        <f t="shared" si="61"/>
        <v>56035.664978635941</v>
      </c>
      <c r="T120" s="489">
        <f t="shared" si="67"/>
        <v>14.79459999963804</v>
      </c>
      <c r="U120" s="493">
        <f t="shared" si="68"/>
        <v>405.42115030277023</v>
      </c>
      <c r="V120" s="500">
        <f t="shared" si="69"/>
        <v>5998.0437501226179</v>
      </c>
      <c r="W120" s="489">
        <f t="shared" si="70"/>
        <v>7.1040449943671344</v>
      </c>
      <c r="X120" s="493">
        <f t="shared" si="71"/>
        <v>37.9060089869281</v>
      </c>
      <c r="Y120" s="763">
        <f t="shared" si="72"/>
        <v>269.28599340002216</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59"/>
        <v>53060.758306296193</v>
      </c>
      <c r="I121" s="487">
        <f>ITECountywide!$B$9*E121</f>
        <v>102.5014286769441</v>
      </c>
      <c r="J121" s="495">
        <f t="shared" si="62"/>
        <v>1.67</v>
      </c>
      <c r="K121" s="372">
        <f t="shared" si="63"/>
        <v>0.8974131092322899</v>
      </c>
      <c r="L121" s="488">
        <f>Passby_Length_Adj!H116</f>
        <v>0.8594671567024027</v>
      </c>
      <c r="M121" s="488">
        <f>Passby_Length_Adj!J116</f>
        <v>1</v>
      </c>
      <c r="N121" s="372">
        <v>0.5</v>
      </c>
      <c r="O121" s="481">
        <f t="shared" si="64"/>
        <v>0.42973357835120135</v>
      </c>
      <c r="P121" s="489">
        <f t="shared" si="65"/>
        <v>304.52597356125335</v>
      </c>
      <c r="Q121" s="490">
        <f t="shared" si="60"/>
        <v>182.35088237200802</v>
      </c>
      <c r="R121" s="491">
        <f t="shared" si="66"/>
        <v>261.71052631578948</v>
      </c>
      <c r="S121" s="500">
        <f t="shared" si="61"/>
        <v>47723.145399726833</v>
      </c>
      <c r="T121" s="489">
        <f t="shared" si="67"/>
        <v>12.599919126197756</v>
      </c>
      <c r="U121" s="493">
        <f t="shared" si="68"/>
        <v>405.42115030277023</v>
      </c>
      <c r="V121" s="500">
        <f t="shared" si="69"/>
        <v>5108.27370586497</v>
      </c>
      <c r="W121" s="489">
        <f t="shared" si="70"/>
        <v>6.0502069944497201</v>
      </c>
      <c r="X121" s="493">
        <f t="shared" si="71"/>
        <v>37.9060089869281</v>
      </c>
      <c r="Y121" s="763">
        <f t="shared" si="72"/>
        <v>229.33920070438634</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59"/>
        <v>10011.295739793713</v>
      </c>
      <c r="I122" s="487">
        <f>ITECountywide!$B$9*E122</f>
        <v>163.27725367319408</v>
      </c>
      <c r="J122" s="495">
        <f t="shared" si="62"/>
        <v>1.67</v>
      </c>
      <c r="K122" s="372">
        <f t="shared" si="63"/>
        <v>0.8974131092322899</v>
      </c>
      <c r="L122" s="488">
        <f>Passby_Length_Adj!H117</f>
        <v>0.31419939577039274</v>
      </c>
      <c r="M122" s="488">
        <f>Passby_Length_Adj!J117</f>
        <v>0.32400000000000001</v>
      </c>
      <c r="N122" s="372">
        <v>0.5</v>
      </c>
      <c r="O122" s="481">
        <f t="shared" si="64"/>
        <v>5.0900302114803626E-2</v>
      </c>
      <c r="P122" s="489">
        <f t="shared" si="65"/>
        <v>57.456766150448139</v>
      </c>
      <c r="Q122" s="490">
        <f t="shared" si="60"/>
        <v>34.405249191885112</v>
      </c>
      <c r="R122" s="491">
        <f t="shared" si="66"/>
        <v>261.71052631578948</v>
      </c>
      <c r="S122" s="500">
        <f t="shared" si="61"/>
        <v>9004.2158740341438</v>
      </c>
      <c r="T122" s="489">
        <f t="shared" si="67"/>
        <v>2.3773033159776942</v>
      </c>
      <c r="U122" s="493">
        <f t="shared" si="68"/>
        <v>405.42115030277023</v>
      </c>
      <c r="V122" s="500">
        <f t="shared" si="69"/>
        <v>963.80904498226687</v>
      </c>
      <c r="W122" s="489">
        <f t="shared" si="70"/>
        <v>1.141529323021705</v>
      </c>
      <c r="X122" s="493">
        <f t="shared" si="71"/>
        <v>37.9060089869281</v>
      </c>
      <c r="Y122" s="763">
        <f t="shared" si="72"/>
        <v>43.270820777302696</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59"/>
        <v>12131.80553903066</v>
      </c>
      <c r="I123" s="487">
        <f>ITECountywide!$B$9*E123</f>
        <v>197.86129008621077</v>
      </c>
      <c r="J123" s="495">
        <f t="shared" si="62"/>
        <v>1.67</v>
      </c>
      <c r="K123" s="372">
        <f t="shared" si="63"/>
        <v>0.8974131092322899</v>
      </c>
      <c r="L123" s="488">
        <f>Passby_Length_Adj!H118</f>
        <v>0.31419939577039274</v>
      </c>
      <c r="M123" s="488">
        <f>Passby_Length_Adj!J118</f>
        <v>0.32400000000000001</v>
      </c>
      <c r="N123" s="372">
        <v>0.5</v>
      </c>
      <c r="O123" s="481">
        <f t="shared" si="64"/>
        <v>5.0900302114803626E-2</v>
      </c>
      <c r="P123" s="489">
        <f t="shared" si="65"/>
        <v>69.626782781781969</v>
      </c>
      <c r="Q123" s="490">
        <f t="shared" si="60"/>
        <v>41.692684300468244</v>
      </c>
      <c r="R123" s="491">
        <f t="shared" si="66"/>
        <v>261.71052631578948</v>
      </c>
      <c r="S123" s="500">
        <f t="shared" si="61"/>
        <v>10911.414351793597</v>
      </c>
      <c r="T123" s="489">
        <f t="shared" si="67"/>
        <v>2.8808440272216376</v>
      </c>
      <c r="U123" s="493">
        <f t="shared" si="68"/>
        <v>405.42115030277023</v>
      </c>
      <c r="V123" s="500">
        <f t="shared" si="69"/>
        <v>1167.9550993590615</v>
      </c>
      <c r="W123" s="489">
        <f t="shared" si="70"/>
        <v>1.3833186156866046</v>
      </c>
      <c r="X123" s="493">
        <f t="shared" si="71"/>
        <v>37.9060089869281</v>
      </c>
      <c r="Y123" s="763">
        <f t="shared" si="72"/>
        <v>52.436087878001373</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59"/>
        <v>237107.93322725108</v>
      </c>
      <c r="I124" s="487">
        <f>ITECountywide!$B$9*E124</f>
        <v>458.03909861474403</v>
      </c>
      <c r="J124" s="495">
        <f t="shared" si="62"/>
        <v>1.67</v>
      </c>
      <c r="K124" s="372">
        <f t="shared" si="63"/>
        <v>0.8974131092322899</v>
      </c>
      <c r="L124" s="488">
        <f>Passby_Length_Adj!H119</f>
        <v>0.8594671567024027</v>
      </c>
      <c r="M124" s="488">
        <f>Passby_Length_Adj!J119</f>
        <v>1</v>
      </c>
      <c r="N124" s="372">
        <v>0.5</v>
      </c>
      <c r="O124" s="481">
        <f t="shared" si="64"/>
        <v>0.42973357835120135</v>
      </c>
      <c r="P124" s="489">
        <f t="shared" si="65"/>
        <v>1360.8083734558572</v>
      </c>
      <c r="Q124" s="490">
        <f t="shared" si="60"/>
        <v>814.85531344662115</v>
      </c>
      <c r="R124" s="491">
        <f t="shared" si="66"/>
        <v>261.71052631578948</v>
      </c>
      <c r="S124" s="500">
        <f t="shared" si="61"/>
        <v>213256.21295333284</v>
      </c>
      <c r="T124" s="489">
        <f t="shared" si="67"/>
        <v>56.304147890188737</v>
      </c>
      <c r="U124" s="493">
        <f t="shared" si="68"/>
        <v>405.42115030277023</v>
      </c>
      <c r="V124" s="500">
        <f t="shared" si="69"/>
        <v>22826.892404457612</v>
      </c>
      <c r="W124" s="489">
        <f t="shared" si="70"/>
        <v>27.036026657779736</v>
      </c>
      <c r="X124" s="493">
        <f t="shared" si="71"/>
        <v>37.9060089869281</v>
      </c>
      <c r="Y124" s="763">
        <f t="shared" si="72"/>
        <v>1024.8278694606263</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59"/>
        <v>3429.3411978996783</v>
      </c>
      <c r="I125" s="487">
        <f>ITECountywide!$B$9*E125</f>
        <v>11.419257306184756</v>
      </c>
      <c r="J125" s="495">
        <f t="shared" si="62"/>
        <v>1.67</v>
      </c>
      <c r="K125" s="372">
        <f t="shared" si="63"/>
        <v>0.8974131092322899</v>
      </c>
      <c r="L125" s="488">
        <f>Passby_Length_Adj!H120</f>
        <v>0.91993957703927487</v>
      </c>
      <c r="M125" s="488">
        <f>Passby_Length_Adj!J120</f>
        <v>0.54200000000000004</v>
      </c>
      <c r="N125" s="372">
        <v>0.5</v>
      </c>
      <c r="O125" s="481">
        <f t="shared" si="64"/>
        <v>0.2493036253776435</v>
      </c>
      <c r="P125" s="489">
        <f t="shared" si="65"/>
        <v>19.681653641956995</v>
      </c>
      <c r="Q125" s="490">
        <f t="shared" si="60"/>
        <v>11.785421342489219</v>
      </c>
      <c r="R125" s="491">
        <f t="shared" si="66"/>
        <v>261.71052631578948</v>
      </c>
      <c r="S125" s="500">
        <f t="shared" si="61"/>
        <v>3084.3688223961917</v>
      </c>
      <c r="T125" s="489">
        <f t="shared" si="67"/>
        <v>0.8143385644857406</v>
      </c>
      <c r="U125" s="493">
        <f t="shared" si="68"/>
        <v>405.42115030277023</v>
      </c>
      <c r="V125" s="500">
        <f t="shared" si="69"/>
        <v>330.1500775497156</v>
      </c>
      <c r="W125" s="489">
        <f t="shared" si="70"/>
        <v>0.3910276589361375</v>
      </c>
      <c r="X125" s="493">
        <f t="shared" si="71"/>
        <v>37.9060089869281</v>
      </c>
      <c r="Y125" s="763">
        <f t="shared" si="72"/>
        <v>14.822297953770684</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59"/>
        <v>67860.992490886521</v>
      </c>
      <c r="I126" s="487">
        <f>ITECountywide!$B$9*E126</f>
        <v>183.95879746106203</v>
      </c>
      <c r="J126" s="495">
        <f t="shared" si="62"/>
        <v>1.67</v>
      </c>
      <c r="K126" s="372">
        <f t="shared" si="63"/>
        <v>0.8974131092322899</v>
      </c>
      <c r="L126" s="488">
        <f>Passby_Length_Adj!H121</f>
        <v>0.61247081225203326</v>
      </c>
      <c r="M126" s="488">
        <f>Passby_Length_Adj!J121</f>
        <v>1</v>
      </c>
      <c r="N126" s="372">
        <v>0.5</v>
      </c>
      <c r="O126" s="481">
        <f t="shared" si="64"/>
        <v>0.30623540612601663</v>
      </c>
      <c r="P126" s="489">
        <f t="shared" si="65"/>
        <v>389.46738540425196</v>
      </c>
      <c r="Q126" s="490">
        <f t="shared" si="60"/>
        <v>233.21400323607904</v>
      </c>
      <c r="R126" s="491">
        <f t="shared" si="66"/>
        <v>261.71052631578948</v>
      </c>
      <c r="S126" s="500">
        <f t="shared" si="61"/>
        <v>61034.559531126477</v>
      </c>
      <c r="T126" s="489">
        <f t="shared" si="67"/>
        <v>16.114413824862805</v>
      </c>
      <c r="U126" s="493">
        <f t="shared" si="68"/>
        <v>405.42115030277023</v>
      </c>
      <c r="V126" s="500">
        <f t="shared" si="69"/>
        <v>6533.1241893307415</v>
      </c>
      <c r="W126" s="489">
        <f t="shared" si="70"/>
        <v>7.7377908745405719</v>
      </c>
      <c r="X126" s="493">
        <f t="shared" si="71"/>
        <v>37.9060089869281</v>
      </c>
      <c r="Y126" s="763">
        <f t="shared" si="72"/>
        <v>293.30877042930518</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59"/>
        <v>29328.475463611761</v>
      </c>
      <c r="I128" s="487">
        <f>ITECountywide!$B$9*E128</f>
        <v>283.63260051933179</v>
      </c>
      <c r="J128" s="495">
        <f t="shared" ref="J128:J137" si="73">IF(F128="Prod",$M$3,$M$4)</f>
        <v>1.67</v>
      </c>
      <c r="K128" s="372">
        <f t="shared" ref="K128:K137" si="74">IF(F128="Prod",$F$4,$F$5)</f>
        <v>0.8974131092322899</v>
      </c>
      <c r="L128" s="488">
        <f>Passby_Length_Adj!H123</f>
        <v>0.37160120845921452</v>
      </c>
      <c r="M128" s="488">
        <f>Passby_Length_Adj!J123</f>
        <v>0.46200000000000002</v>
      </c>
      <c r="N128" s="372">
        <v>0.5</v>
      </c>
      <c r="O128" s="481">
        <f t="shared" ref="O128:O137" si="75">L128*M128*N128</f>
        <v>8.5839879154078563E-2</v>
      </c>
      <c r="P128" s="489">
        <f t="shared" ref="P128:P137" si="76">IF($F128="Prod",$I128*$O128*$F$4*$F$6,$I128*O128*$F$5*$F$7)</f>
        <v>168.3218036965732</v>
      </c>
      <c r="Q128" s="490">
        <f>+P128/J128</f>
        <v>100.79149921950491</v>
      </c>
      <c r="R128" s="491">
        <f t="shared" ref="R128:R137" si="77">$Q$4</f>
        <v>261.71052631578948</v>
      </c>
      <c r="S128" s="500">
        <f t="shared" si="61"/>
        <v>26378.196308894116</v>
      </c>
      <c r="T128" s="489">
        <f t="shared" ref="T128:T137" si="78">IF($F128="Prod",$I128*$O128*$G$4*$G$6,$I128*$O128*$G$5*$G$7)</f>
        <v>6.9644013906287165</v>
      </c>
      <c r="U128" s="493">
        <f t="shared" ref="U128:U137" si="79">+$R$4</f>
        <v>405.42115030277023</v>
      </c>
      <c r="V128" s="500">
        <f t="shared" ref="V128:V137" si="80">+T128*U128</f>
        <v>2823.515622958907</v>
      </c>
      <c r="W128" s="489">
        <f t="shared" ref="W128:W137" si="81">IF($F128="Prod",$I128*$O128*$J$4*$J$6,$I128*$O128*$J$5*$J$7)</f>
        <v>3.344154004776736</v>
      </c>
      <c r="X128" s="493">
        <f t="shared" ref="X128:X137" si="82">+$S$4</f>
        <v>37.9060089869281</v>
      </c>
      <c r="Y128" s="763">
        <f t="shared" ref="Y128:Y137" si="83">+W128*X128</f>
        <v>126.76353175873855</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59"/>
        <v>18748.25792833004</v>
      </c>
      <c r="I129" s="487">
        <f>ITECountywide!$B$9*E129</f>
        <v>181.31242989486685</v>
      </c>
      <c r="J129" s="495">
        <f t="shared" si="73"/>
        <v>1.67</v>
      </c>
      <c r="K129" s="372">
        <f t="shared" si="74"/>
        <v>0.8974131092322899</v>
      </c>
      <c r="L129" s="488">
        <f>Passby_Length_Adj!H124</f>
        <v>0.37160120845921452</v>
      </c>
      <c r="M129" s="488">
        <f>Passby_Length_Adj!J124</f>
        <v>0.46200000000000002</v>
      </c>
      <c r="N129" s="372">
        <v>0.5</v>
      </c>
      <c r="O129" s="481">
        <f t="shared" si="75"/>
        <v>8.5839879154078563E-2</v>
      </c>
      <c r="P129" s="489">
        <f t="shared" si="76"/>
        <v>107.59988512121816</v>
      </c>
      <c r="Q129" s="490">
        <f t="shared" si="60"/>
        <v>64.431068934861173</v>
      </c>
      <c r="R129" s="491">
        <f t="shared" si="77"/>
        <v>261.71052631578948</v>
      </c>
      <c r="S129" s="500">
        <f t="shared" si="61"/>
        <v>16862.288962031431</v>
      </c>
      <c r="T129" s="489">
        <f t="shared" si="78"/>
        <v>4.4520007100242243</v>
      </c>
      <c r="U129" s="493">
        <f t="shared" si="79"/>
        <v>405.42115030277023</v>
      </c>
      <c r="V129" s="500">
        <f t="shared" si="80"/>
        <v>1804.9352490067708</v>
      </c>
      <c r="W129" s="489">
        <f t="shared" si="81"/>
        <v>2.1377538669339016</v>
      </c>
      <c r="X129" s="493">
        <f t="shared" si="82"/>
        <v>37.9060089869281</v>
      </c>
      <c r="Y129" s="763">
        <f t="shared" si="83"/>
        <v>81.033717291836766</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59"/>
        <v>33298.897137633219</v>
      </c>
      <c r="I130" s="487">
        <f>ITECountywide!$B$9*E130</f>
        <v>151.96675119849681</v>
      </c>
      <c r="J130" s="495">
        <f t="shared" si="73"/>
        <v>1.67</v>
      </c>
      <c r="K130" s="372">
        <f t="shared" si="74"/>
        <v>0.8974131092322899</v>
      </c>
      <c r="L130" s="488">
        <f>Passby_Length_Adj!H125</f>
        <v>0.47432024169184289</v>
      </c>
      <c r="M130" s="488">
        <f>Passby_Length_Adj!J125</f>
        <v>0.76700000000000002</v>
      </c>
      <c r="N130" s="372">
        <v>0.5</v>
      </c>
      <c r="O130" s="481">
        <f t="shared" si="75"/>
        <v>0.18190181268882175</v>
      </c>
      <c r="P130" s="489">
        <f t="shared" si="76"/>
        <v>191.10882303675129</v>
      </c>
      <c r="Q130" s="490">
        <f t="shared" si="60"/>
        <v>114.4364209800906</v>
      </c>
      <c r="R130" s="491">
        <f t="shared" si="77"/>
        <v>261.71052631578948</v>
      </c>
      <c r="S130" s="500">
        <f t="shared" si="61"/>
        <v>29949.215964394763</v>
      </c>
      <c r="T130" s="489">
        <f t="shared" si="78"/>
        <v>7.9072260615614134</v>
      </c>
      <c r="U130" s="493">
        <f t="shared" si="79"/>
        <v>405.42115030277023</v>
      </c>
      <c r="V130" s="500">
        <f t="shared" si="80"/>
        <v>3205.7566855822715</v>
      </c>
      <c r="W130" s="489">
        <f t="shared" si="81"/>
        <v>3.7968778962147698</v>
      </c>
      <c r="X130" s="493">
        <f t="shared" si="82"/>
        <v>37.9060089869281</v>
      </c>
      <c r="Y130" s="763">
        <f t="shared" si="83"/>
        <v>143.92448765618573</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59"/>
        <v>1032.6470963483584</v>
      </c>
      <c r="I131" s="487">
        <f>ITECountywide!$B$9*E131</f>
        <v>4.7127093644572007</v>
      </c>
      <c r="J131" s="495">
        <f t="shared" si="73"/>
        <v>1.67</v>
      </c>
      <c r="K131" s="372">
        <f t="shared" si="74"/>
        <v>0.8974131092322899</v>
      </c>
      <c r="L131" s="488">
        <f>Passby_Length_Adj!H126</f>
        <v>0.47432024169184289</v>
      </c>
      <c r="M131" s="488">
        <f>Passby_Length_Adj!J126</f>
        <v>0.76700000000000002</v>
      </c>
      <c r="N131" s="372">
        <v>0.5</v>
      </c>
      <c r="O131" s="481">
        <f t="shared" si="75"/>
        <v>0.18190181268882175</v>
      </c>
      <c r="P131" s="489">
        <f t="shared" si="76"/>
        <v>5.9265617831053596</v>
      </c>
      <c r="Q131" s="490">
        <f t="shared" si="60"/>
        <v>3.5488393910810538</v>
      </c>
      <c r="R131" s="491">
        <f t="shared" si="77"/>
        <v>261.71052631578948</v>
      </c>
      <c r="S131" s="500">
        <f t="shared" si="61"/>
        <v>928.76862485002846</v>
      </c>
      <c r="T131" s="489">
        <f t="shared" si="78"/>
        <v>0.24521454866483394</v>
      </c>
      <c r="U131" s="493">
        <f t="shared" si="79"/>
        <v>405.42115030277023</v>
      </c>
      <c r="V131" s="500">
        <f t="shared" si="80"/>
        <v>99.415164390671606</v>
      </c>
      <c r="W131" s="489">
        <f t="shared" si="81"/>
        <v>0.11774669048375956</v>
      </c>
      <c r="X131" s="493">
        <f t="shared" si="82"/>
        <v>37.9060089869281</v>
      </c>
      <c r="Y131" s="763">
        <f t="shared" si="83"/>
        <v>4.463307107658431</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59"/>
        <v>41520.399523690976</v>
      </c>
      <c r="I132" s="487">
        <f>ITECountywide!$B$9*E132</f>
        <v>203.3352832710803</v>
      </c>
      <c r="J132" s="495">
        <f t="shared" si="73"/>
        <v>1.67</v>
      </c>
      <c r="K132" s="372">
        <f t="shared" si="74"/>
        <v>0.8974131092322899</v>
      </c>
      <c r="L132" s="488">
        <f>Passby_Length_Adj!H127</f>
        <v>0.47885196374622352</v>
      </c>
      <c r="M132" s="488">
        <f>Passby_Length_Adj!J127</f>
        <v>0.70799999999999996</v>
      </c>
      <c r="N132" s="372">
        <v>0.5</v>
      </c>
      <c r="O132" s="481">
        <f t="shared" si="75"/>
        <v>0.16951359516616313</v>
      </c>
      <c r="P132" s="489">
        <f t="shared" si="76"/>
        <v>238.29361831988464</v>
      </c>
      <c r="Q132" s="490">
        <f t="shared" si="60"/>
        <v>142.6907894131046</v>
      </c>
      <c r="R132" s="491">
        <f t="shared" si="77"/>
        <v>261.71052631578948</v>
      </c>
      <c r="S132" s="500">
        <f t="shared" si="61"/>
        <v>37343.681597719085</v>
      </c>
      <c r="T132" s="489">
        <f t="shared" si="78"/>
        <v>9.8595212881427798</v>
      </c>
      <c r="U132" s="493">
        <f t="shared" si="79"/>
        <v>405.42115030277023</v>
      </c>
      <c r="V132" s="500">
        <f t="shared" si="80"/>
        <v>3997.2584620734965</v>
      </c>
      <c r="W132" s="489">
        <f t="shared" si="81"/>
        <v>4.7343275827396853</v>
      </c>
      <c r="X132" s="493">
        <f t="shared" si="82"/>
        <v>37.9060089869281</v>
      </c>
      <c r="Y132" s="763">
        <f t="shared" si="83"/>
        <v>179.4594638983921</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59"/>
        <v>1617.4375639020286</v>
      </c>
      <c r="I133" s="487">
        <f>ITECountywide!$B$9*E133</f>
        <v>7.9209768933376798</v>
      </c>
      <c r="J133" s="495">
        <f t="shared" si="73"/>
        <v>1.67</v>
      </c>
      <c r="K133" s="372">
        <f t="shared" si="74"/>
        <v>0.8974131092322899</v>
      </c>
      <c r="L133" s="488">
        <f>Passby_Length_Adj!H128</f>
        <v>0.47885196374622352</v>
      </c>
      <c r="M133" s="488">
        <f>Passby_Length_Adj!J128</f>
        <v>0.70799999999999996</v>
      </c>
      <c r="N133" s="372">
        <v>0.5</v>
      </c>
      <c r="O133" s="481">
        <f t="shared" si="75"/>
        <v>0.16951359516616313</v>
      </c>
      <c r="P133" s="489">
        <f t="shared" si="76"/>
        <v>9.2827875918871108</v>
      </c>
      <c r="Q133" s="490">
        <f t="shared" si="60"/>
        <v>5.5585554442437788</v>
      </c>
      <c r="R133" s="491">
        <f t="shared" si="77"/>
        <v>261.71052631578948</v>
      </c>
      <c r="S133" s="500">
        <f t="shared" si="61"/>
        <v>1454.7324708685364</v>
      </c>
      <c r="T133" s="489">
        <f t="shared" si="78"/>
        <v>0.38408012149388437</v>
      </c>
      <c r="U133" s="493">
        <f t="shared" si="79"/>
        <v>405.42115030277023</v>
      </c>
      <c r="V133" s="500">
        <f t="shared" si="80"/>
        <v>155.71420466447836</v>
      </c>
      <c r="W133" s="489">
        <f t="shared" si="81"/>
        <v>0.18442691688868271</v>
      </c>
      <c r="X133" s="493">
        <f t="shared" si="82"/>
        <v>37.9060089869281</v>
      </c>
      <c r="Y133" s="763">
        <f t="shared" si="83"/>
        <v>6.9908883690138488</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59"/>
        <v>67772.060324946986</v>
      </c>
      <c r="I134" s="487">
        <f>ITECountywide!$B$9*E134</f>
        <v>627.56975509846791</v>
      </c>
      <c r="J134" s="495">
        <f t="shared" si="73"/>
        <v>1.67</v>
      </c>
      <c r="K134" s="372">
        <f t="shared" si="74"/>
        <v>0.8974131092322899</v>
      </c>
      <c r="L134" s="488">
        <f>Passby_Length_Adj!H129</f>
        <v>0.30966767371601206</v>
      </c>
      <c r="M134" s="488">
        <f>Passby_Length_Adj!J129</f>
        <v>0.57899999999999996</v>
      </c>
      <c r="N134" s="372">
        <v>0.5</v>
      </c>
      <c r="O134" s="481">
        <f t="shared" si="75"/>
        <v>8.9648791540785491E-2</v>
      </c>
      <c r="P134" s="489">
        <f t="shared" si="76"/>
        <v>388.9569864714415</v>
      </c>
      <c r="Q134" s="490">
        <f t="shared" si="60"/>
        <v>232.9083751325997</v>
      </c>
      <c r="R134" s="491">
        <f t="shared" si="77"/>
        <v>261.71052631578948</v>
      </c>
      <c r="S134" s="500">
        <f t="shared" si="61"/>
        <v>60954.573439308006</v>
      </c>
      <c r="T134" s="489">
        <f t="shared" si="78"/>
        <v>16.093295805928975</v>
      </c>
      <c r="U134" s="493">
        <f t="shared" si="79"/>
        <v>405.42115030277023</v>
      </c>
      <c r="V134" s="500">
        <f t="shared" si="80"/>
        <v>6524.5624978024725</v>
      </c>
      <c r="W134" s="489">
        <f t="shared" si="81"/>
        <v>7.727650461369449</v>
      </c>
      <c r="X134" s="493">
        <f t="shared" si="82"/>
        <v>37.9060089869281</v>
      </c>
      <c r="Y134" s="763">
        <f t="shared" si="83"/>
        <v>292.92438783650942</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59"/>
        <v>92185.113392928921</v>
      </c>
      <c r="I135" s="487">
        <f>ITECountywide!$B$9*E135</f>
        <v>853.63479815043024</v>
      </c>
      <c r="J135" s="495">
        <f t="shared" si="73"/>
        <v>1.67</v>
      </c>
      <c r="K135" s="372">
        <f t="shared" si="74"/>
        <v>0.8974131092322899</v>
      </c>
      <c r="L135" s="488">
        <f>Passby_Length_Adj!H130</f>
        <v>0.30966767371601206</v>
      </c>
      <c r="M135" s="488">
        <f>Passby_Length_Adj!J130</f>
        <v>0.57899999999999996</v>
      </c>
      <c r="N135" s="372">
        <v>0.5</v>
      </c>
      <c r="O135" s="481">
        <f t="shared" si="75"/>
        <v>8.9648791540785491E-2</v>
      </c>
      <c r="P135" s="489">
        <f t="shared" si="76"/>
        <v>529.06822857269833</v>
      </c>
      <c r="Q135" s="490">
        <f t="shared" si="60"/>
        <v>316.80732249862177</v>
      </c>
      <c r="R135" s="491">
        <f t="shared" si="77"/>
        <v>261.71052631578948</v>
      </c>
      <c r="S135" s="500">
        <f t="shared" si="61"/>
        <v>82911.811111810355</v>
      </c>
      <c r="T135" s="489">
        <f t="shared" si="78"/>
        <v>21.890470669214832</v>
      </c>
      <c r="U135" s="493">
        <f t="shared" si="79"/>
        <v>405.42115030277023</v>
      </c>
      <c r="V135" s="500">
        <f t="shared" si="80"/>
        <v>8874.8597993821295</v>
      </c>
      <c r="W135" s="489">
        <f t="shared" si="81"/>
        <v>10.511327686167986</v>
      </c>
      <c r="X135" s="493">
        <f t="shared" si="82"/>
        <v>37.9060089869281</v>
      </c>
      <c r="Y135" s="763">
        <f t="shared" si="83"/>
        <v>398.44248173642984</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59"/>
        <v>160583.5509614418</v>
      </c>
      <c r="I136" s="487">
        <f>ITECountywide!$B$9*E136</f>
        <v>1487.00481092823</v>
      </c>
      <c r="J136" s="495">
        <f t="shared" si="73"/>
        <v>1.67</v>
      </c>
      <c r="K136" s="372">
        <f t="shared" si="74"/>
        <v>0.8974131092322899</v>
      </c>
      <c r="L136" s="488">
        <f>Passby_Length_Adj!H131</f>
        <v>0.30966767371601206</v>
      </c>
      <c r="M136" s="488">
        <f>Passby_Length_Adj!J131</f>
        <v>0.57899999999999996</v>
      </c>
      <c r="N136" s="372">
        <v>0.5</v>
      </c>
      <c r="O136" s="481">
        <f t="shared" si="75"/>
        <v>8.9648791540785491E-2</v>
      </c>
      <c r="P136" s="489">
        <f t="shared" si="76"/>
        <v>921.62011541877109</v>
      </c>
      <c r="Q136" s="490">
        <f t="shared" si="60"/>
        <v>551.86833258609045</v>
      </c>
      <c r="R136" s="491">
        <f t="shared" si="77"/>
        <v>261.71052631578948</v>
      </c>
      <c r="S136" s="500">
        <f t="shared" si="61"/>
        <v>144429.75177812288</v>
      </c>
      <c r="T136" s="489">
        <f t="shared" si="78"/>
        <v>38.132507331161406</v>
      </c>
      <c r="U136" s="493">
        <f t="shared" si="79"/>
        <v>405.42115030277023</v>
      </c>
      <c r="V136" s="500">
        <f t="shared" si="80"/>
        <v>15459.724986128276</v>
      </c>
      <c r="W136" s="489">
        <f t="shared" si="81"/>
        <v>18.310400270046696</v>
      </c>
      <c r="X136" s="493">
        <f t="shared" si="82"/>
        <v>37.9060089869281</v>
      </c>
      <c r="Y136" s="763">
        <f t="shared" si="83"/>
        <v>694.0741971906408</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59"/>
        <v>41865.128287241059</v>
      </c>
      <c r="I137" s="751">
        <f>ITECountywide!$B$9*E137</f>
        <v>311.78197606933963</v>
      </c>
      <c r="J137" s="752">
        <f t="shared" si="73"/>
        <v>1.67</v>
      </c>
      <c r="K137" s="753">
        <f t="shared" si="74"/>
        <v>0.8974131092322899</v>
      </c>
      <c r="L137" s="754">
        <f>Passby_Length_Adj!H132</f>
        <v>0.32930513595166166</v>
      </c>
      <c r="M137" s="754">
        <f>Passby_Length_Adj!J132</f>
        <v>0.67700000000000005</v>
      </c>
      <c r="N137" s="753">
        <v>0.5</v>
      </c>
      <c r="O137" s="755">
        <f t="shared" si="75"/>
        <v>0.11146978851963749</v>
      </c>
      <c r="P137" s="756">
        <f t="shared" si="76"/>
        <v>240.27208349236977</v>
      </c>
      <c r="Q137" s="757">
        <f t="shared" si="60"/>
        <v>143.87549909722742</v>
      </c>
      <c r="R137" s="758">
        <f t="shared" si="77"/>
        <v>261.71052631578948</v>
      </c>
      <c r="S137" s="767">
        <f t="shared" si="61"/>
        <v>37653.732592682281</v>
      </c>
      <c r="T137" s="756">
        <f t="shared" si="78"/>
        <v>9.9413813044684378</v>
      </c>
      <c r="U137" s="760">
        <f t="shared" si="79"/>
        <v>405.42115030277023</v>
      </c>
      <c r="V137" s="767">
        <f t="shared" si="80"/>
        <v>4030.4462440560483</v>
      </c>
      <c r="W137" s="756">
        <f t="shared" si="81"/>
        <v>4.7736349813331813</v>
      </c>
      <c r="X137" s="760">
        <f t="shared" si="82"/>
        <v>37.9060089869281</v>
      </c>
      <c r="Y137" s="768">
        <f t="shared" si="83"/>
        <v>180.94945050272992</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43.85546875" style="30" customWidth="1"/>
    <col min="4" max="4" width="12.140625" style="60" customWidth="1"/>
    <col min="5" max="6" width="12.85546875" style="60" customWidth="1"/>
    <col min="7" max="7" width="12.85546875" style="13" customWidth="1"/>
    <col min="8" max="8" width="12.85546875" style="376" customWidth="1"/>
    <col min="9" max="9" width="10.5703125" style="11" customWidth="1"/>
    <col min="10" max="10" width="10.5703125" style="60" customWidth="1"/>
    <col min="11" max="11" width="10.5703125" style="12" customWidth="1"/>
    <col min="12" max="12" width="14.42578125" style="12" customWidth="1"/>
    <col min="13" max="14" width="11" style="12" customWidth="1"/>
    <col min="15" max="15" width="8.5703125" style="368" customWidth="1"/>
    <col min="16" max="16" width="8.5703125" style="12" customWidth="1"/>
    <col min="17" max="17" width="8.5703125" style="11" customWidth="1"/>
    <col min="18" max="18" width="8.5703125" style="13" customWidth="1"/>
    <col min="19" max="19" width="10.1406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3</v>
      </c>
      <c r="E4" s="396" t="s">
        <v>69</v>
      </c>
      <c r="F4" s="461">
        <f>+'2045_24hr_all_productions'!Q41</f>
        <v>0.8872444414531403</v>
      </c>
      <c r="G4" s="461">
        <f>+'2045_24hr_all_productions'!R41</f>
        <v>2.0792092927501345E-2</v>
      </c>
      <c r="H4" s="461">
        <f>+'2045_24hr_all_productions'!S41</f>
        <v>5.6634624520951443E-2</v>
      </c>
      <c r="I4" s="461">
        <f>+'2045_24hr_all_productions'!T41</f>
        <v>3.5328841098406866E-2</v>
      </c>
      <c r="J4" s="463">
        <f>+H4+I4</f>
        <v>9.1963465619358309E-2</v>
      </c>
      <c r="K4" s="60"/>
      <c r="L4" s="395" t="s">
        <v>73</v>
      </c>
      <c r="M4" s="393">
        <f>ITECountywide!B4</f>
        <v>1.67</v>
      </c>
      <c r="O4" s="472" t="s">
        <v>388</v>
      </c>
      <c r="P4" s="603"/>
      <c r="Q4" s="614">
        <f>+RoadCapCost!P15</f>
        <v>261.71052631578948</v>
      </c>
      <c r="R4" s="614">
        <f>+TransitCapCost!AD13</f>
        <v>154.50490219883392</v>
      </c>
      <c r="S4" s="589">
        <f>+WalkBikeCapCost!$Z$7</f>
        <v>37.9060089869281</v>
      </c>
      <c r="T4" s="11"/>
    </row>
    <row r="5" spans="1:36" ht="17.100000000000001" customHeight="1" thickBot="1" x14ac:dyDescent="0.3">
      <c r="B5" s="960"/>
      <c r="C5" s="958"/>
      <c r="E5" s="396" t="s">
        <v>72</v>
      </c>
      <c r="F5" s="461">
        <f>+'2045_24hr_all_attractions'!Q41</f>
        <v>0.8872439567052266</v>
      </c>
      <c r="G5" s="461">
        <f>+'2045_24hr_all_attractions'!R41</f>
        <v>2.0793249245825318E-2</v>
      </c>
      <c r="H5" s="461">
        <f>+'2045_24hr_all_attractions'!S41</f>
        <v>5.6632382400215363E-2</v>
      </c>
      <c r="I5" s="461">
        <f>+'2045_24hr_all_attractions'!T41</f>
        <v>3.5330411648732747E-2</v>
      </c>
      <c r="J5" s="463">
        <f>+H5+I5</f>
        <v>9.196279404894811E-2</v>
      </c>
      <c r="K5" s="60"/>
      <c r="S5" s="380"/>
      <c r="T5" s="11"/>
    </row>
    <row r="6" spans="1:36" ht="17.100000000000001" customHeight="1" x14ac:dyDescent="0.25">
      <c r="B6" s="955" t="s">
        <v>56</v>
      </c>
      <c r="C6" s="957" t="s">
        <v>393</v>
      </c>
      <c r="E6" s="396" t="s">
        <v>74</v>
      </c>
      <c r="F6" s="791">
        <f>'2045_24hr_all_productions'!$M$41</f>
        <v>8.2090280394683273</v>
      </c>
      <c r="G6" s="791">
        <f>'2045_24hr_all_productions'!$O$41</f>
        <v>5.7353428871024112</v>
      </c>
      <c r="H6" s="792">
        <f>'2045_24hr_all_productions'!$P$41</f>
        <v>0.87787443267776089</v>
      </c>
      <c r="I6" s="791">
        <f>'2045_24hr_all_productions'!$N$41</f>
        <v>4.615774741752749</v>
      </c>
      <c r="J6" s="793">
        <f>+((H4/J4)*H6)+(I4/J4*I6)</f>
        <v>2.3138325620460223</v>
      </c>
      <c r="K6" s="60"/>
      <c r="O6" s="60"/>
      <c r="P6" s="11"/>
      <c r="S6" s="380"/>
    </row>
    <row r="7" spans="1:36" ht="17.100000000000001" customHeight="1" thickBot="1" x14ac:dyDescent="0.3">
      <c r="B7" s="956"/>
      <c r="C7" s="958"/>
      <c r="E7" s="399" t="s">
        <v>75</v>
      </c>
      <c r="F7" s="794">
        <f>'2045_24hr_all_attractions'!$M$41</f>
        <v>8.2107668246974175</v>
      </c>
      <c r="G7" s="794">
        <f>'2045_24hr_all_attractions'!$O$41</f>
        <v>5.7560426424327149</v>
      </c>
      <c r="H7" s="795">
        <f>'2045_24hr_all_attractions'!$P$41</f>
        <v>0.8782247807939042</v>
      </c>
      <c r="I7" s="794">
        <f>'2045_24hr_all_attractions'!$N$41</f>
        <v>4.6073354276738545</v>
      </c>
      <c r="J7" s="796">
        <f>+((H5/J5)*H7)+(I5/J5*I7)</f>
        <v>2.31088040637021</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66</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10428.418922360745</v>
      </c>
      <c r="I12" s="487">
        <f>ITECountywide!$B$9*E12</f>
        <v>17.853918169193626</v>
      </c>
      <c r="J12" s="488">
        <f>IF(F12="Prod",$M$3,$M$4)</f>
        <v>1.67</v>
      </c>
      <c r="K12" s="372">
        <f>IF(F12="Prod",$F$4,$F$5)</f>
        <v>0.8872439567052266</v>
      </c>
      <c r="L12" s="488">
        <f>Passby_Length_Adj!H7</f>
        <v>1</v>
      </c>
      <c r="M12" s="488">
        <f>Passby_Length_Adj!J7</f>
        <v>1</v>
      </c>
      <c r="N12" s="372">
        <v>0.5</v>
      </c>
      <c r="O12" s="481">
        <f>L12*M12*N12</f>
        <v>0.5</v>
      </c>
      <c r="P12" s="489">
        <f>IF($F12="Prod",$I12*$O12*$F$4*$F$6,$I12*O12*$F$5*$F$7)</f>
        <v>65.032479552463315</v>
      </c>
      <c r="Q12" s="490">
        <f>+P12/J12</f>
        <v>38.941604522433124</v>
      </c>
      <c r="R12" s="491">
        <f>+$Q$4</f>
        <v>261.71052631578948</v>
      </c>
      <c r="S12" s="500">
        <f>+Q12*R12</f>
        <v>10191.427815147301</v>
      </c>
      <c r="T12" s="489">
        <f>IF($F12="Prod",$I12*$O12*$G$4*$G$6,$I12*$O12*$G$5*$G$7)</f>
        <v>1.0684394284270831</v>
      </c>
      <c r="U12" s="493">
        <f>+$R$4</f>
        <v>154.50490219883392</v>
      </c>
      <c r="V12" s="500">
        <f>+T12*U12</f>
        <v>165.07912939450449</v>
      </c>
      <c r="W12" s="489">
        <f>IF($F12="Prod",$I12*$O12*$J$4*$J$6,$I12*$O12*$J$5*$J$7)</f>
        <v>1.8971128784288349</v>
      </c>
      <c r="X12" s="493">
        <f>$S$4</f>
        <v>37.9060089869281</v>
      </c>
      <c r="Y12" s="763">
        <f>+W12*X12</f>
        <v>71.911977818940457</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5251.2647568435841</v>
      </c>
      <c r="I14" s="487">
        <f>ITECountywide!$B$9*E14</f>
        <v>8.9903994029645062</v>
      </c>
      <c r="J14" s="488">
        <f t="shared" ref="J14:J20" si="1">IF(F14="Prod",$M$3,$M$4)</f>
        <v>1.67</v>
      </c>
      <c r="K14" s="372">
        <f t="shared" ref="K14:K20" si="2">IF(F14="Prod",$F$4,$F$5)</f>
        <v>0.8872439567052266</v>
      </c>
      <c r="L14" s="488">
        <f>Passby_Length_Adj!H9</f>
        <v>1</v>
      </c>
      <c r="M14" s="488">
        <f>Passby_Length_Adj!J9</f>
        <v>1</v>
      </c>
      <c r="N14" s="372">
        <v>0.5</v>
      </c>
      <c r="O14" s="481">
        <f t="shared" ref="O14:O20" si="3">L14*M14*N14</f>
        <v>0.5</v>
      </c>
      <c r="P14" s="489">
        <f t="shared" ref="P14:P20" si="4">IF($F14="Prod",$I14*$O14*$F$4*$F$6,$I14*O14*$F$5*$F$7)</f>
        <v>32.747319652814014</v>
      </c>
      <c r="Q14" s="490">
        <f t="shared" ref="Q14:Q20" si="5">+P14/J14</f>
        <v>19.609173444798813</v>
      </c>
      <c r="R14" s="491">
        <f t="shared" ref="R14:R20" si="6">+$Q$4</f>
        <v>261.71052631578948</v>
      </c>
      <c r="S14" s="500">
        <f t="shared" ref="S14:S20" si="7">+Q14*R14</f>
        <v>5131.9271028558996</v>
      </c>
      <c r="T14" s="489">
        <f t="shared" ref="T14:T20" si="8">IF($F14="Prod",$I14*$O14*$G$4*$G$6,$I14*$O14*$G$5*$G$7)</f>
        <v>0.53801619949221646</v>
      </c>
      <c r="U14" s="493">
        <f t="shared" ref="U14:U20" si="9">+$R$4</f>
        <v>154.50490219883392</v>
      </c>
      <c r="V14" s="500">
        <f t="shared" ref="V14:V20" si="10">+T14*U14</f>
        <v>83.126140283933225</v>
      </c>
      <c r="W14" s="489">
        <f t="shared" ref="W14:W20" si="11">IF($F14="Prod",$I14*$O14*$J$4*$J$6,$I14*$O14*$J$5*$J$7)</f>
        <v>0.95529744944233719</v>
      </c>
      <c r="X14" s="493">
        <f t="shared" ref="X14:X20" si="12">$S$4</f>
        <v>37.9060089869281</v>
      </c>
      <c r="Y14" s="763">
        <f t="shared" ref="Y14:Y20" si="13">+W14*X14</f>
        <v>36.211513703750725</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3567.8956110005797</v>
      </c>
      <c r="I15" s="487">
        <f>ITECountywide!$B$9*E15</f>
        <v>6.1083963685464484</v>
      </c>
      <c r="J15" s="488">
        <f t="shared" si="1"/>
        <v>1.67</v>
      </c>
      <c r="K15" s="372">
        <f t="shared" si="2"/>
        <v>0.8872439567052266</v>
      </c>
      <c r="L15" s="488">
        <f>Passby_Length_Adj!H10</f>
        <v>1</v>
      </c>
      <c r="M15" s="488">
        <f>Passby_Length_Adj!J10</f>
        <v>1</v>
      </c>
      <c r="N15" s="372">
        <v>0.5</v>
      </c>
      <c r="O15" s="481">
        <f t="shared" si="3"/>
        <v>0.5</v>
      </c>
      <c r="P15" s="489">
        <f t="shared" si="4"/>
        <v>22.24969097378694</v>
      </c>
      <c r="Q15" s="490">
        <f t="shared" si="5"/>
        <v>13.323168247776611</v>
      </c>
      <c r="R15" s="491">
        <f t="shared" si="6"/>
        <v>261.71052631578948</v>
      </c>
      <c r="S15" s="500">
        <f t="shared" si="7"/>
        <v>3486.8133743194317</v>
      </c>
      <c r="T15" s="489">
        <f t="shared" si="8"/>
        <v>0.36554729683241322</v>
      </c>
      <c r="U15" s="493">
        <f t="shared" si="9"/>
        <v>154.50490219883392</v>
      </c>
      <c r="V15" s="500">
        <f t="shared" si="10"/>
        <v>56.478849346140116</v>
      </c>
      <c r="W15" s="489">
        <f t="shared" si="11"/>
        <v>0.64906298480255575</v>
      </c>
      <c r="X15" s="493">
        <f t="shared" si="12"/>
        <v>37.9060089869281</v>
      </c>
      <c r="Y15" s="763">
        <f t="shared" si="13"/>
        <v>24.603387335008055</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4160.7803416119523</v>
      </c>
      <c r="I16" s="487">
        <f>ITECountywide!$B$9*E16</f>
        <v>7.1234414624295379</v>
      </c>
      <c r="J16" s="488">
        <f t="shared" si="1"/>
        <v>1.67</v>
      </c>
      <c r="K16" s="372">
        <f t="shared" si="2"/>
        <v>0.8872439567052266</v>
      </c>
      <c r="L16" s="488">
        <f>Passby_Length_Adj!H11</f>
        <v>1</v>
      </c>
      <c r="M16" s="488">
        <f>Passby_Length_Adj!J11</f>
        <v>1</v>
      </c>
      <c r="N16" s="372">
        <v>0.5</v>
      </c>
      <c r="O16" s="481">
        <f t="shared" si="3"/>
        <v>0.5</v>
      </c>
      <c r="P16" s="489">
        <f t="shared" si="4"/>
        <v>25.946968999104651</v>
      </c>
      <c r="Q16" s="490">
        <f t="shared" si="5"/>
        <v>15.537107185092607</v>
      </c>
      <c r="R16" s="491">
        <f t="shared" si="6"/>
        <v>261.71052631578948</v>
      </c>
      <c r="S16" s="500">
        <f t="shared" si="7"/>
        <v>4066.2244988354205</v>
      </c>
      <c r="T16" s="489">
        <f t="shared" si="8"/>
        <v>0.42629106129121186</v>
      </c>
      <c r="U16" s="493">
        <f t="shared" si="9"/>
        <v>154.50490219883392</v>
      </c>
      <c r="V16" s="500">
        <f t="shared" si="10"/>
        <v>65.864058733035804</v>
      </c>
      <c r="W16" s="489">
        <f t="shared" si="11"/>
        <v>0.75691914844927122</v>
      </c>
      <c r="X16" s="493">
        <f t="shared" si="12"/>
        <v>37.9060089869281</v>
      </c>
      <c r="Y16" s="763">
        <f t="shared" si="13"/>
        <v>28.691784043496039</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1842.1775558281925</v>
      </c>
      <c r="I17" s="487">
        <f>ITECountywide!$B$9*E17</f>
        <v>3.1538901131367418</v>
      </c>
      <c r="J17" s="488">
        <f t="shared" si="1"/>
        <v>1.67</v>
      </c>
      <c r="K17" s="372">
        <f t="shared" si="2"/>
        <v>0.8872439567052266</v>
      </c>
      <c r="L17" s="488">
        <f>Passby_Length_Adj!H12</f>
        <v>1</v>
      </c>
      <c r="M17" s="488">
        <f>Passby_Length_Adj!J12</f>
        <v>1</v>
      </c>
      <c r="N17" s="372">
        <v>0.5</v>
      </c>
      <c r="O17" s="481">
        <f t="shared" si="3"/>
        <v>0.5</v>
      </c>
      <c r="P17" s="489">
        <f t="shared" si="4"/>
        <v>11.487971007237173</v>
      </c>
      <c r="Q17" s="490">
        <f t="shared" si="5"/>
        <v>6.8790245552318403</v>
      </c>
      <c r="R17" s="491">
        <f t="shared" si="6"/>
        <v>261.71052631578948</v>
      </c>
      <c r="S17" s="500">
        <f t="shared" si="7"/>
        <v>1800.3131368889647</v>
      </c>
      <c r="T17" s="489">
        <f t="shared" si="8"/>
        <v>0.18873955385412433</v>
      </c>
      <c r="U17" s="493">
        <f t="shared" si="9"/>
        <v>154.50490219883392</v>
      </c>
      <c r="V17" s="500">
        <f t="shared" si="10"/>
        <v>29.161186309283028</v>
      </c>
      <c r="W17" s="489">
        <f t="shared" si="11"/>
        <v>0.3351245084737231</v>
      </c>
      <c r="X17" s="493">
        <f t="shared" si="12"/>
        <v>37.9060089869281</v>
      </c>
      <c r="Y17" s="763">
        <f t="shared" si="13"/>
        <v>12.703232629944811</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1598.6713271842364</v>
      </c>
      <c r="I18" s="487">
        <f>ITECountywide!$B$9*E18</f>
        <v>2.736996592434759</v>
      </c>
      <c r="J18" s="495">
        <f t="shared" si="1"/>
        <v>1.67</v>
      </c>
      <c r="K18" s="372">
        <f t="shared" si="2"/>
        <v>0.8872439567052266</v>
      </c>
      <c r="L18" s="488">
        <f>Passby_Length_Adj!H13</f>
        <v>1</v>
      </c>
      <c r="M18" s="488">
        <f>Passby_Length_Adj!J13</f>
        <v>1</v>
      </c>
      <c r="N18" s="372">
        <v>0.5</v>
      </c>
      <c r="O18" s="481">
        <f t="shared" si="3"/>
        <v>0.5</v>
      </c>
      <c r="P18" s="489">
        <f t="shared" si="4"/>
        <v>9.9694461039816851</v>
      </c>
      <c r="Q18" s="490">
        <f t="shared" si="5"/>
        <v>5.9697282059770576</v>
      </c>
      <c r="R18" s="491">
        <f t="shared" si="6"/>
        <v>261.71052631578948</v>
      </c>
      <c r="S18" s="500">
        <f t="shared" si="7"/>
        <v>1562.3407107484695</v>
      </c>
      <c r="T18" s="489">
        <f t="shared" si="8"/>
        <v>0.16379122202283206</v>
      </c>
      <c r="U18" s="493">
        <f t="shared" si="9"/>
        <v>154.50490219883392</v>
      </c>
      <c r="V18" s="500">
        <f t="shared" si="10"/>
        <v>25.306546739665158</v>
      </c>
      <c r="W18" s="489">
        <f t="shared" si="11"/>
        <v>0.29082644126167928</v>
      </c>
      <c r="X18" s="493">
        <f t="shared" si="12"/>
        <v>37.9060089869281</v>
      </c>
      <c r="Y18" s="763">
        <f t="shared" si="13"/>
        <v>11.024069696101533</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1048.1355059022474</v>
      </c>
      <c r="I19" s="487">
        <f>ITECountywide!$B$9*E19</f>
        <v>1.7944547195433187</v>
      </c>
      <c r="J19" s="488">
        <f t="shared" si="1"/>
        <v>1.67</v>
      </c>
      <c r="K19" s="372">
        <f t="shared" si="2"/>
        <v>0.8872439567052266</v>
      </c>
      <c r="L19" s="488">
        <f>Passby_Length_Adj!H14</f>
        <v>1</v>
      </c>
      <c r="M19" s="488">
        <f>Passby_Length_Adj!J14</f>
        <v>1</v>
      </c>
      <c r="N19" s="372">
        <v>0.5</v>
      </c>
      <c r="O19" s="481">
        <f t="shared" si="3"/>
        <v>0.5</v>
      </c>
      <c r="P19" s="489">
        <f t="shared" si="4"/>
        <v>6.5362593661866679</v>
      </c>
      <c r="Q19" s="490">
        <f t="shared" si="5"/>
        <v>3.9139277641836339</v>
      </c>
      <c r="R19" s="491">
        <f t="shared" si="6"/>
        <v>261.71052631578948</v>
      </c>
      <c r="S19" s="500">
        <f t="shared" si="7"/>
        <v>1024.3160951264799</v>
      </c>
      <c r="T19" s="489">
        <f t="shared" si="8"/>
        <v>0.10738629788251901</v>
      </c>
      <c r="U19" s="493">
        <f t="shared" si="9"/>
        <v>154.50490219883392</v>
      </c>
      <c r="V19" s="500">
        <f t="shared" si="10"/>
        <v>16.591709451833445</v>
      </c>
      <c r="W19" s="489">
        <f t="shared" si="11"/>
        <v>0.19067428930401487</v>
      </c>
      <c r="X19" s="493">
        <f t="shared" si="12"/>
        <v>37.9060089869281</v>
      </c>
      <c r="Y19" s="763">
        <f t="shared" si="13"/>
        <v>7.2277013239341157</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14017.488988026018</v>
      </c>
      <c r="I20" s="487">
        <f>ITECountywide!$B$9*E20</f>
        <v>23.998566148235899</v>
      </c>
      <c r="J20" s="488">
        <f t="shared" si="1"/>
        <v>1.67</v>
      </c>
      <c r="K20" s="372">
        <f t="shared" si="2"/>
        <v>0.8872439567052266</v>
      </c>
      <c r="L20" s="488">
        <f>Passby_Length_Adj!H15</f>
        <v>1</v>
      </c>
      <c r="M20" s="488">
        <f>Passby_Length_Adj!J15</f>
        <v>1</v>
      </c>
      <c r="N20" s="372">
        <v>0.5</v>
      </c>
      <c r="O20" s="481">
        <f t="shared" si="3"/>
        <v>0.5</v>
      </c>
      <c r="P20" s="489">
        <f t="shared" si="4"/>
        <v>87.414216170011599</v>
      </c>
      <c r="Q20" s="490">
        <f t="shared" si="5"/>
        <v>52.343842017971021</v>
      </c>
      <c r="R20" s="491">
        <f t="shared" si="6"/>
        <v>261.71052631578948</v>
      </c>
      <c r="S20" s="500">
        <f t="shared" si="7"/>
        <v>13698.934443913731</v>
      </c>
      <c r="T20" s="489">
        <f t="shared" si="8"/>
        <v>1.436156145418739</v>
      </c>
      <c r="U20" s="493">
        <f t="shared" si="9"/>
        <v>154.50490219883392</v>
      </c>
      <c r="V20" s="500">
        <f t="shared" si="10"/>
        <v>221.89316479017657</v>
      </c>
      <c r="W20" s="489">
        <f t="shared" si="11"/>
        <v>2.5500278690759162</v>
      </c>
      <c r="X20" s="493">
        <f t="shared" si="12"/>
        <v>37.9060089869281</v>
      </c>
      <c r="Y20" s="763">
        <f t="shared" si="13"/>
        <v>96.661379322108786</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9991.7903820213087</v>
      </c>
      <c r="I22" s="487">
        <f>ITECountywide!$B$9*E22</f>
        <v>17.110760154029219</v>
      </c>
      <c r="J22" s="488">
        <f t="shared" ref="J22:J35" si="14">IF(F22="Prod",$M$3,$M$4)</f>
        <v>1.67</v>
      </c>
      <c r="K22" s="372">
        <f t="shared" ref="K22:K35" si="15">IF(F22="Prod",$F$4,$F$5)</f>
        <v>0.8872444414531403</v>
      </c>
      <c r="L22" s="488">
        <f>Passby_Length_Adj!H17</f>
        <v>1</v>
      </c>
      <c r="M22" s="488">
        <f>Passby_Length_Adj!J17</f>
        <v>1</v>
      </c>
      <c r="N22" s="372">
        <v>0.5</v>
      </c>
      <c r="O22" s="481">
        <f t="shared" ref="O22:O35" si="16">L22*M22*N22</f>
        <v>0.5</v>
      </c>
      <c r="P22" s="489">
        <f t="shared" ref="P22:P35" si="17">IF($F22="Prod",$I22*$O22*$F$4*$F$6,$I22*O22*$F$5*$F$7)</f>
        <v>62.312379286700356</v>
      </c>
      <c r="Q22" s="490">
        <f t="shared" ref="Q22:Q35" si="18">+P22/J22</f>
        <v>37.312801968084045</v>
      </c>
      <c r="R22" s="491">
        <f t="shared" ref="R22:R35" si="19">+$Q$4</f>
        <v>261.71052631578948</v>
      </c>
      <c r="S22" s="500">
        <f t="shared" ref="S22:S35" si="20">+Q22*R22</f>
        <v>9765.153041384101</v>
      </c>
      <c r="T22" s="489">
        <f t="shared" ref="T22:T35" si="21">IF($F22="Prod",$I22*$O22*$G$4*$G$6,$I22*$O22*$G$5*$G$7)</f>
        <v>1.0202272115042224</v>
      </c>
      <c r="U22" s="493">
        <f t="shared" ref="U22:U35" si="22">+$R$4</f>
        <v>154.50490219883392</v>
      </c>
      <c r="V22" s="500">
        <f t="shared" ref="V22:V35" si="23">+T22*U22</f>
        <v>157.63010553404891</v>
      </c>
      <c r="W22" s="489">
        <f t="shared" ref="W22:W35" si="24">IF($F22="Prod",$I22*$O22*$J$4*$J$6,$I22*$O22*$J$5*$J$7)</f>
        <v>1.8204827400045531</v>
      </c>
      <c r="X22" s="493">
        <f t="shared" ref="X22:X35" si="25">$S$4</f>
        <v>37.9060089869281</v>
      </c>
      <c r="Y22" s="763">
        <f t="shared" ref="Y22:Y35" si="26">+W22*X22</f>
        <v>69.007235103160085</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7747.8713555504237</v>
      </c>
      <c r="I23" s="487">
        <f>ITECountywide!$B$9*E23</f>
        <v>13.268089441471812</v>
      </c>
      <c r="J23" s="488">
        <f t="shared" si="14"/>
        <v>1.67</v>
      </c>
      <c r="K23" s="372">
        <f t="shared" si="15"/>
        <v>0.8872444414531403</v>
      </c>
      <c r="L23" s="488">
        <f>Passby_Length_Adj!H18</f>
        <v>1</v>
      </c>
      <c r="M23" s="488">
        <f>Passby_Length_Adj!J18</f>
        <v>1</v>
      </c>
      <c r="N23" s="372">
        <v>0.5</v>
      </c>
      <c r="O23" s="481">
        <f t="shared" si="16"/>
        <v>0.5</v>
      </c>
      <c r="P23" s="489">
        <f t="shared" si="17"/>
        <v>48.318497497737994</v>
      </c>
      <c r="Q23" s="490">
        <f t="shared" si="18"/>
        <v>28.933232034573649</v>
      </c>
      <c r="R23" s="491">
        <f t="shared" si="19"/>
        <v>261.71052631578948</v>
      </c>
      <c r="S23" s="500">
        <f t="shared" si="20"/>
        <v>7572.1313837851303</v>
      </c>
      <c r="T23" s="489">
        <f t="shared" si="21"/>
        <v>0.79110838858166399</v>
      </c>
      <c r="U23" s="493">
        <f t="shared" si="22"/>
        <v>154.50490219883392</v>
      </c>
      <c r="V23" s="500">
        <f t="shared" si="23"/>
        <v>122.23012420648709</v>
      </c>
      <c r="W23" s="489">
        <f t="shared" si="24"/>
        <v>1.4116455144950562</v>
      </c>
      <c r="X23" s="493">
        <f t="shared" si="25"/>
        <v>37.9060089869281</v>
      </c>
      <c r="Y23" s="763">
        <f t="shared" si="26"/>
        <v>53.509847558806342</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5757.9808981139749</v>
      </c>
      <c r="I24" s="487">
        <f>ITECountywide!$B$9*E24</f>
        <v>9.8604380548642965</v>
      </c>
      <c r="J24" s="488">
        <f t="shared" si="14"/>
        <v>1.67</v>
      </c>
      <c r="K24" s="372">
        <f t="shared" si="15"/>
        <v>0.8872444414531403</v>
      </c>
      <c r="L24" s="488">
        <f>Passby_Length_Adj!H19</f>
        <v>1</v>
      </c>
      <c r="M24" s="488">
        <f>Passby_Length_Adj!J19</f>
        <v>1</v>
      </c>
      <c r="N24" s="372">
        <v>0.5</v>
      </c>
      <c r="O24" s="481">
        <f t="shared" si="16"/>
        <v>0.5</v>
      </c>
      <c r="P24" s="489">
        <f t="shared" si="17"/>
        <v>35.908828741488342</v>
      </c>
      <c r="Q24" s="490">
        <f t="shared" si="18"/>
        <v>21.502292659573857</v>
      </c>
      <c r="R24" s="491">
        <f t="shared" si="19"/>
        <v>261.71052631578948</v>
      </c>
      <c r="S24" s="500">
        <f t="shared" si="20"/>
        <v>5627.376328933211</v>
      </c>
      <c r="T24" s="489">
        <f t="shared" si="21"/>
        <v>0.58792754561260274</v>
      </c>
      <c r="U24" s="493">
        <f t="shared" si="22"/>
        <v>154.50490219883392</v>
      </c>
      <c r="V24" s="500">
        <f t="shared" si="23"/>
        <v>90.83768793487566</v>
      </c>
      <c r="W24" s="489">
        <f t="shared" si="24"/>
        <v>1.0490917484772002</v>
      </c>
      <c r="X24" s="493">
        <f t="shared" si="25"/>
        <v>37.9060089869281</v>
      </c>
      <c r="Y24" s="763">
        <f t="shared" si="26"/>
        <v>39.766881245888868</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4710.1130508469114</v>
      </c>
      <c r="I25" s="487">
        <f>ITECountywide!$B$9*E25</f>
        <v>8.0659833353209791</v>
      </c>
      <c r="J25" s="488">
        <f t="shared" si="14"/>
        <v>1.67</v>
      </c>
      <c r="K25" s="372">
        <f t="shared" si="15"/>
        <v>0.8872444414531403</v>
      </c>
      <c r="L25" s="488">
        <f>Passby_Length_Adj!H20</f>
        <v>1</v>
      </c>
      <c r="M25" s="488">
        <f>Passby_Length_Adj!J20</f>
        <v>1</v>
      </c>
      <c r="N25" s="372">
        <v>0.5</v>
      </c>
      <c r="O25" s="481">
        <f t="shared" si="16"/>
        <v>0.5</v>
      </c>
      <c r="P25" s="489">
        <f t="shared" si="17"/>
        <v>29.373949981548375</v>
      </c>
      <c r="Q25" s="490">
        <f t="shared" si="18"/>
        <v>17.589191605717591</v>
      </c>
      <c r="R25" s="491">
        <f t="shared" si="19"/>
        <v>261.71052631578948</v>
      </c>
      <c r="S25" s="500">
        <f t="shared" si="20"/>
        <v>4603.2765926016173</v>
      </c>
      <c r="T25" s="489">
        <f t="shared" si="21"/>
        <v>0.48093337830442695</v>
      </c>
      <c r="U25" s="493">
        <f t="shared" si="22"/>
        <v>154.50490219883392</v>
      </c>
      <c r="V25" s="500">
        <f t="shared" si="23"/>
        <v>74.306564579080273</v>
      </c>
      <c r="W25" s="489">
        <f t="shared" si="24"/>
        <v>0.8581724780741804</v>
      </c>
      <c r="X25" s="493">
        <f t="shared" si="25"/>
        <v>37.9060089869281</v>
      </c>
      <c r="Y25" s="763">
        <f t="shared" si="26"/>
        <v>32.529893666214242</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6202.5308939242459</v>
      </c>
      <c r="I26" s="487">
        <f>ITECountywide!$B$9*E26</f>
        <v>10.621721875276615</v>
      </c>
      <c r="J26" s="488">
        <f t="shared" si="14"/>
        <v>1.67</v>
      </c>
      <c r="K26" s="372">
        <f t="shared" si="15"/>
        <v>0.8872444414531403</v>
      </c>
      <c r="L26" s="488">
        <f>Passby_Length_Adj!H22</f>
        <v>1</v>
      </c>
      <c r="M26" s="488">
        <f>Passby_Length_Adj!J22</f>
        <v>1</v>
      </c>
      <c r="N26" s="372">
        <v>0.5</v>
      </c>
      <c r="O26" s="481">
        <f t="shared" si="16"/>
        <v>0.5</v>
      </c>
      <c r="P26" s="489">
        <f t="shared" si="17"/>
        <v>38.681201548735608</v>
      </c>
      <c r="Q26" s="490">
        <f t="shared" si="18"/>
        <v>23.16239613696743</v>
      </c>
      <c r="R26" s="491">
        <f t="shared" si="19"/>
        <v>261.71052631578948</v>
      </c>
      <c r="S26" s="500">
        <f t="shared" si="20"/>
        <v>6061.8428837405554</v>
      </c>
      <c r="T26" s="489">
        <f t="shared" si="21"/>
        <v>0.63331901053122286</v>
      </c>
      <c r="U26" s="493">
        <f t="shared" si="22"/>
        <v>154.50490219883392</v>
      </c>
      <c r="V26" s="500">
        <f t="shared" si="23"/>
        <v>97.85089178278885</v>
      </c>
      <c r="W26" s="489">
        <f t="shared" si="24"/>
        <v>1.1300878025875722</v>
      </c>
      <c r="X26" s="493">
        <f t="shared" si="25"/>
        <v>37.9060089869281</v>
      </c>
      <c r="Y26" s="763">
        <f t="shared" si="26"/>
        <v>42.837118400902341</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3641.076156160309</v>
      </c>
      <c r="I27" s="487">
        <f>ITECountywide!$B$9*E27</f>
        <v>6.2352770052818345</v>
      </c>
      <c r="J27" s="488">
        <f t="shared" si="14"/>
        <v>1.67</v>
      </c>
      <c r="K27" s="372">
        <f t="shared" si="15"/>
        <v>0.8872444414531403</v>
      </c>
      <c r="L27" s="488">
        <f>Passby_Length_Adj!H22</f>
        <v>1</v>
      </c>
      <c r="M27" s="488">
        <f>Passby_Length_Adj!J22</f>
        <v>1</v>
      </c>
      <c r="N27" s="372">
        <v>0.5</v>
      </c>
      <c r="O27" s="481">
        <f t="shared" si="16"/>
        <v>0.5</v>
      </c>
      <c r="P27" s="489">
        <f t="shared" si="17"/>
        <v>22.707053468882336</v>
      </c>
      <c r="Q27" s="490">
        <f t="shared" si="18"/>
        <v>13.597038005318765</v>
      </c>
      <c r="R27" s="491">
        <f t="shared" si="19"/>
        <v>261.71052631578948</v>
      </c>
      <c r="S27" s="500">
        <f t="shared" si="20"/>
        <v>3558.4879727077664</v>
      </c>
      <c r="T27" s="489">
        <f t="shared" si="21"/>
        <v>0.37177771266679294</v>
      </c>
      <c r="U27" s="493">
        <f t="shared" si="22"/>
        <v>154.50490219883392</v>
      </c>
      <c r="V27" s="500">
        <f t="shared" si="23"/>
        <v>57.441479135289022</v>
      </c>
      <c r="W27" s="489">
        <f t="shared" si="24"/>
        <v>0.66339625271352365</v>
      </c>
      <c r="X27" s="493">
        <f t="shared" si="25"/>
        <v>37.9060089869281</v>
      </c>
      <c r="Y27" s="763">
        <f t="shared" si="26"/>
        <v>25.146704317253253</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5292.2618548841701</v>
      </c>
      <c r="I28" s="487">
        <f>ITECountywide!$B$9*E28</f>
        <v>9.0629026239561554</v>
      </c>
      <c r="J28" s="488">
        <f t="shared" si="14"/>
        <v>1.67</v>
      </c>
      <c r="K28" s="372">
        <f t="shared" si="15"/>
        <v>0.8872444414531403</v>
      </c>
      <c r="L28" s="488">
        <f>Passby_Length_Adj!H23</f>
        <v>1</v>
      </c>
      <c r="M28" s="488">
        <f>Passby_Length_Adj!J23</f>
        <v>1</v>
      </c>
      <c r="N28" s="372">
        <v>0.5</v>
      </c>
      <c r="O28" s="481">
        <f t="shared" si="16"/>
        <v>0.5</v>
      </c>
      <c r="P28" s="489">
        <f t="shared" si="17"/>
        <v>33.004438181515027</v>
      </c>
      <c r="Q28" s="490">
        <f t="shared" si="18"/>
        <v>19.763136635637743</v>
      </c>
      <c r="R28" s="491">
        <f t="shared" si="19"/>
        <v>261.71052631578948</v>
      </c>
      <c r="S28" s="500">
        <f t="shared" si="20"/>
        <v>5172.2208905636144</v>
      </c>
      <c r="T28" s="489">
        <f t="shared" si="21"/>
        <v>0.54037458236452451</v>
      </c>
      <c r="U28" s="493">
        <f t="shared" si="22"/>
        <v>154.50490219883392</v>
      </c>
      <c r="V28" s="500">
        <f t="shared" si="23"/>
        <v>83.490521998966585</v>
      </c>
      <c r="W28" s="489">
        <f t="shared" si="24"/>
        <v>0.96423873940919136</v>
      </c>
      <c r="X28" s="493">
        <f t="shared" si="25"/>
        <v>37.9060089869281</v>
      </c>
      <c r="Y28" s="763">
        <f t="shared" si="26"/>
        <v>36.550442321589031</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4519.5916240710794</v>
      </c>
      <c r="I29" s="487">
        <f>ITECountywide!$B$9*E29</f>
        <v>7.739718840858556</v>
      </c>
      <c r="J29" s="488">
        <f t="shared" si="14"/>
        <v>1.67</v>
      </c>
      <c r="K29" s="372">
        <f t="shared" si="15"/>
        <v>0.8872444414531403</v>
      </c>
      <c r="L29" s="488">
        <f>Passby_Length_Adj!H24</f>
        <v>1</v>
      </c>
      <c r="M29" s="488">
        <f>Passby_Length_Adj!J24</f>
        <v>1</v>
      </c>
      <c r="N29" s="372">
        <v>0.5</v>
      </c>
      <c r="O29" s="481">
        <f t="shared" si="16"/>
        <v>0.5</v>
      </c>
      <c r="P29" s="489">
        <f t="shared" si="17"/>
        <v>28.185790207013827</v>
      </c>
      <c r="Q29" s="490">
        <f t="shared" si="18"/>
        <v>16.877718686834626</v>
      </c>
      <c r="R29" s="491">
        <f t="shared" si="19"/>
        <v>261.71052631578948</v>
      </c>
      <c r="S29" s="500">
        <f t="shared" si="20"/>
        <v>4417.0766405413251</v>
      </c>
      <c r="T29" s="489">
        <f t="shared" si="21"/>
        <v>0.46147989333930389</v>
      </c>
      <c r="U29" s="493">
        <f t="shared" si="22"/>
        <v>154.50490219883392</v>
      </c>
      <c r="V29" s="500">
        <f t="shared" si="23"/>
        <v>71.300905787117458</v>
      </c>
      <c r="W29" s="489">
        <f t="shared" si="24"/>
        <v>0.82345988345544929</v>
      </c>
      <c r="X29" s="493">
        <f t="shared" si="25"/>
        <v>37.9060089869281</v>
      </c>
      <c r="Y29" s="763">
        <f t="shared" si="26"/>
        <v>31.214077742637027</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3916.2737726142859</v>
      </c>
      <c r="I30" s="487">
        <f>ITECountywide!$B$9*E30</f>
        <v>6.7065479417275551</v>
      </c>
      <c r="J30" s="488">
        <f t="shared" si="14"/>
        <v>1.67</v>
      </c>
      <c r="K30" s="372">
        <f t="shared" si="15"/>
        <v>0.8872444414531403</v>
      </c>
      <c r="L30" s="488">
        <f>Passby_Length_Adj!H25</f>
        <v>1</v>
      </c>
      <c r="M30" s="488">
        <f>Passby_Length_Adj!J25</f>
        <v>1</v>
      </c>
      <c r="N30" s="372">
        <v>0.5</v>
      </c>
      <c r="O30" s="481">
        <f t="shared" si="16"/>
        <v>0.5</v>
      </c>
      <c r="P30" s="489">
        <f t="shared" si="17"/>
        <v>24.423284254321118</v>
      </c>
      <c r="Q30" s="490">
        <f t="shared" si="18"/>
        <v>14.624721110371928</v>
      </c>
      <c r="R30" s="491">
        <f t="shared" si="19"/>
        <v>261.71052631578948</v>
      </c>
      <c r="S30" s="500">
        <f t="shared" si="20"/>
        <v>3827.4434590170745</v>
      </c>
      <c r="T30" s="489">
        <f t="shared" si="21"/>
        <v>0.39987719094974822</v>
      </c>
      <c r="U30" s="493">
        <f t="shared" si="22"/>
        <v>154.50490219883392</v>
      </c>
      <c r="V30" s="500">
        <f t="shared" si="23"/>
        <v>61.782986279235281</v>
      </c>
      <c r="W30" s="489">
        <f t="shared" si="24"/>
        <v>0.71353666716280162</v>
      </c>
      <c r="X30" s="493">
        <f t="shared" si="25"/>
        <v>37.9060089869281</v>
      </c>
      <c r="Y30" s="763">
        <f t="shared" si="26"/>
        <v>27.047327317975881</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712.2434087959125</v>
      </c>
      <c r="I31" s="487">
        <f>ITECountywide!$B$9*E31</f>
        <v>3.6614126600782866</v>
      </c>
      <c r="J31" s="488">
        <f t="shared" si="14"/>
        <v>1.67</v>
      </c>
      <c r="K31" s="372">
        <f t="shared" si="15"/>
        <v>0.8872444414531403</v>
      </c>
      <c r="L31" s="488">
        <f>Passby_Length_Adj!H26</f>
        <v>0.46525679758308158</v>
      </c>
      <c r="M31" s="488">
        <f>Passby_Length_Adj!J26</f>
        <v>0.71599999999999997</v>
      </c>
      <c r="N31" s="372">
        <v>0.5</v>
      </c>
      <c r="O31" s="481">
        <f t="shared" si="16"/>
        <v>0.16656193353474319</v>
      </c>
      <c r="P31" s="489">
        <f t="shared" si="17"/>
        <v>4.441804695302765</v>
      </c>
      <c r="Q31" s="490">
        <f t="shared" si="18"/>
        <v>2.6597632906004582</v>
      </c>
      <c r="R31" s="491">
        <f t="shared" si="19"/>
        <v>261.71052631578948</v>
      </c>
      <c r="S31" s="500">
        <f t="shared" si="20"/>
        <v>696.08805065846207</v>
      </c>
      <c r="T31" s="489">
        <f t="shared" si="21"/>
        <v>7.2724714899504966E-2</v>
      </c>
      <c r="U31" s="493">
        <f t="shared" si="22"/>
        <v>154.50490219883392</v>
      </c>
      <c r="V31" s="500">
        <f t="shared" si="23"/>
        <v>11.236324962986094</v>
      </c>
      <c r="W31" s="489">
        <f t="shared" si="24"/>
        <v>0.12976921881067943</v>
      </c>
      <c r="X31" s="493">
        <f t="shared" si="25"/>
        <v>37.9060089869281</v>
      </c>
      <c r="Y31" s="763">
        <f t="shared" si="26"/>
        <v>4.9190331744642535</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916.74894201454072</v>
      </c>
      <c r="I32" s="487">
        <f>ITECountywide!$B$9*E32</f>
        <v>4.7127093644572007</v>
      </c>
      <c r="J32" s="495">
        <f t="shared" si="14"/>
        <v>1.67</v>
      </c>
      <c r="K32" s="372">
        <f t="shared" si="15"/>
        <v>0.8872444414531403</v>
      </c>
      <c r="L32" s="488">
        <f>Passby_Length_Adj!H27</f>
        <v>0.46525679758308158</v>
      </c>
      <c r="M32" s="488">
        <f>Passby_Length_Adj!J27</f>
        <v>0.71599999999999997</v>
      </c>
      <c r="N32" s="372">
        <v>0.5</v>
      </c>
      <c r="O32" s="481">
        <f t="shared" si="16"/>
        <v>0.16656193353474319</v>
      </c>
      <c r="P32" s="489">
        <f t="shared" si="17"/>
        <v>5.7171743602906879</v>
      </c>
      <c r="Q32" s="490">
        <f t="shared" si="18"/>
        <v>3.4234577007728673</v>
      </c>
      <c r="R32" s="491">
        <f t="shared" si="19"/>
        <v>261.71052631578948</v>
      </c>
      <c r="S32" s="500">
        <f t="shared" si="20"/>
        <v>895.95491668910961</v>
      </c>
      <c r="T32" s="489">
        <f t="shared" si="21"/>
        <v>9.3606068682531129E-2</v>
      </c>
      <c r="U32" s="493">
        <f t="shared" si="22"/>
        <v>154.50490219883392</v>
      </c>
      <c r="V32" s="500">
        <f t="shared" si="23"/>
        <v>14.462596487011803</v>
      </c>
      <c r="W32" s="489">
        <f t="shared" si="24"/>
        <v>0.16702968757810222</v>
      </c>
      <c r="X32" s="493">
        <f t="shared" si="25"/>
        <v>37.9060089869281</v>
      </c>
      <c r="Y32" s="763">
        <f t="shared" si="26"/>
        <v>6.3314288384193356</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846.22979262880665</v>
      </c>
      <c r="I33" s="487">
        <f>ITECountywide!$B$9*E33</f>
        <v>4.3501932594989539</v>
      </c>
      <c r="J33" s="495">
        <f t="shared" si="14"/>
        <v>1.67</v>
      </c>
      <c r="K33" s="372">
        <f t="shared" si="15"/>
        <v>0.8872444414531403</v>
      </c>
      <c r="L33" s="488">
        <f>Passby_Length_Adj!H28</f>
        <v>0.46525679758308158</v>
      </c>
      <c r="M33" s="488">
        <f>Passby_Length_Adj!J28</f>
        <v>0.71599999999999997</v>
      </c>
      <c r="N33" s="372">
        <v>0.5</v>
      </c>
      <c r="O33" s="481">
        <f t="shared" si="16"/>
        <v>0.16656193353474319</v>
      </c>
      <c r="P33" s="489">
        <f t="shared" si="17"/>
        <v>5.2773917171914029</v>
      </c>
      <c r="Q33" s="490">
        <f t="shared" si="18"/>
        <v>3.1601148007134152</v>
      </c>
      <c r="R33" s="491">
        <f t="shared" si="19"/>
        <v>261.71052631578948</v>
      </c>
      <c r="S33" s="500">
        <f t="shared" si="20"/>
        <v>827.03530771302405</v>
      </c>
      <c r="T33" s="489">
        <f t="shared" si="21"/>
        <v>8.6405601860797959E-2</v>
      </c>
      <c r="U33" s="493">
        <f t="shared" si="22"/>
        <v>154.50490219883392</v>
      </c>
      <c r="V33" s="500">
        <f t="shared" si="23"/>
        <v>13.35008906493397</v>
      </c>
      <c r="W33" s="489">
        <f t="shared" si="24"/>
        <v>0.15418125007209435</v>
      </c>
      <c r="X33" s="493">
        <f t="shared" si="25"/>
        <v>37.9060089869281</v>
      </c>
      <c r="Y33" s="763">
        <f t="shared" si="26"/>
        <v>5.8443958508486169</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9134.4439615300762</v>
      </c>
      <c r="I34" s="487">
        <f>ITECountywide!$B$9*E34</f>
        <v>15.642569928948324</v>
      </c>
      <c r="J34" s="495">
        <f t="shared" si="14"/>
        <v>1.67</v>
      </c>
      <c r="K34" s="372">
        <f t="shared" si="15"/>
        <v>0.8872444414531403</v>
      </c>
      <c r="L34" s="488">
        <f>Passby_Length_Adj!H29</f>
        <v>1</v>
      </c>
      <c r="M34" s="488">
        <f>Passby_Length_Adj!J29</f>
        <v>1</v>
      </c>
      <c r="N34" s="372">
        <v>0.5</v>
      </c>
      <c r="O34" s="481">
        <f t="shared" si="16"/>
        <v>0.5</v>
      </c>
      <c r="P34" s="489">
        <f t="shared" si="17"/>
        <v>56.965660301294932</v>
      </c>
      <c r="Q34" s="490">
        <f t="shared" si="18"/>
        <v>34.11117383311074</v>
      </c>
      <c r="R34" s="491">
        <f t="shared" si="19"/>
        <v>261.71052631578948</v>
      </c>
      <c r="S34" s="500">
        <f t="shared" si="20"/>
        <v>8927.2532571127977</v>
      </c>
      <c r="T34" s="489">
        <f t="shared" si="21"/>
        <v>0.93268652916116945</v>
      </c>
      <c r="U34" s="493">
        <f t="shared" si="22"/>
        <v>154.50490219883392</v>
      </c>
      <c r="V34" s="500">
        <f t="shared" si="23"/>
        <v>144.10464097021634</v>
      </c>
      <c r="W34" s="489">
        <f t="shared" si="24"/>
        <v>1.6642760642202641</v>
      </c>
      <c r="X34" s="493">
        <f t="shared" si="25"/>
        <v>37.9060089869281</v>
      </c>
      <c r="Y34" s="763">
        <f t="shared" si="26"/>
        <v>63.086063447062656</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8287.6820647486074</v>
      </c>
      <c r="I35" s="487">
        <f>ITECountywide!$B$9*E35</f>
        <v>14.192505509115339</v>
      </c>
      <c r="J35" s="495">
        <f t="shared" si="14"/>
        <v>1.67</v>
      </c>
      <c r="K35" s="372">
        <f t="shared" si="15"/>
        <v>0.8872444414531403</v>
      </c>
      <c r="L35" s="488">
        <f>Passby_Length_Adj!H30</f>
        <v>1</v>
      </c>
      <c r="M35" s="488">
        <f>Passby_Length_Adj!J30</f>
        <v>1</v>
      </c>
      <c r="N35" s="372">
        <v>0.5</v>
      </c>
      <c r="O35" s="481">
        <f t="shared" si="16"/>
        <v>0.5</v>
      </c>
      <c r="P35" s="489">
        <f t="shared" si="17"/>
        <v>51.684950192252522</v>
      </c>
      <c r="Q35" s="490">
        <f t="shared" si="18"/>
        <v>30.949071971408696</v>
      </c>
      <c r="R35" s="491">
        <f t="shared" si="19"/>
        <v>261.71052631578948</v>
      </c>
      <c r="S35" s="500">
        <f t="shared" si="20"/>
        <v>8099.6979146226176</v>
      </c>
      <c r="T35" s="489">
        <f t="shared" si="21"/>
        <v>0.84622659598284544</v>
      </c>
      <c r="U35" s="493">
        <f t="shared" si="22"/>
        <v>154.50490219883392</v>
      </c>
      <c r="V35" s="500">
        <f t="shared" si="23"/>
        <v>130.74615745038167</v>
      </c>
      <c r="W35" s="489">
        <f t="shared" si="24"/>
        <v>1.5099978659147937</v>
      </c>
      <c r="X35" s="493">
        <f t="shared" si="25"/>
        <v>37.9060089869281</v>
      </c>
      <c r="Y35" s="763">
        <f t="shared" si="26"/>
        <v>57.237992675608425</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5538.7677375055482</v>
      </c>
      <c r="I37" s="487">
        <f>ITECountywide!$B$9*E37</f>
        <v>15.153173187254691</v>
      </c>
      <c r="J37" s="495">
        <f>IF(F37="Prod",$M$3,$M$4)</f>
        <v>1.67</v>
      </c>
      <c r="K37" s="372">
        <f>IF(F37="Prod",$F$4,$F$5)</f>
        <v>0.8872444414531403</v>
      </c>
      <c r="L37" s="488">
        <f>Passby_Length_Adj!H32</f>
        <v>0.9441087613293051</v>
      </c>
      <c r="M37" s="488">
        <f>Passby_Length_Adj!J32</f>
        <v>0.66300000000000003</v>
      </c>
      <c r="N37" s="372">
        <v>0.5</v>
      </c>
      <c r="O37" s="481">
        <f>L37*M37*N37</f>
        <v>0.31297205438066467</v>
      </c>
      <c r="P37" s="489">
        <f>IF($F37="Prod",$I37*$O37*$F$4*$F$6,$I37*O37*$F$5*$F$7)</f>
        <v>34.541737050589063</v>
      </c>
      <c r="Q37" s="490">
        <f>+P37/J37</f>
        <v>20.683674880592253</v>
      </c>
      <c r="R37" s="491">
        <f>+$Q$4</f>
        <v>261.71052631578948</v>
      </c>
      <c r="S37" s="500">
        <f>+Q37*R37</f>
        <v>5413.1354391444729</v>
      </c>
      <c r="T37" s="489">
        <f>IF($F37="Prod",$I37*$O37*$G$4*$G$6,$I37*$O37*$G$5*$G$7)</f>
        <v>0.56554444678629212</v>
      </c>
      <c r="U37" s="493">
        <f>+$R$4</f>
        <v>154.50490219883392</v>
      </c>
      <c r="V37" s="500">
        <f>+T37*U37</f>
        <v>87.3793894398097</v>
      </c>
      <c r="W37" s="489">
        <f>IF($F37="Prod",$I37*$O37*$J$4*$J$6,$I37*$O37*$J$5*$J$7)</f>
        <v>1.0091515815990439</v>
      </c>
      <c r="X37" s="493">
        <f>$S$4</f>
        <v>37.9060089869281</v>
      </c>
      <c r="Y37" s="763">
        <f>+W37*X37</f>
        <v>38.252908921266062</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2954.892836037649</v>
      </c>
      <c r="I38" s="487">
        <f>ITECountywide!$B$9*E38</f>
        <v>8.0841091405688896</v>
      </c>
      <c r="J38" s="495">
        <f>IF(F38="Prod",$M$3,$M$4)</f>
        <v>1.67</v>
      </c>
      <c r="K38" s="372">
        <f>IF(F38="Prod",$F$4,$F$5)</f>
        <v>0.8872444414531403</v>
      </c>
      <c r="L38" s="488">
        <f>Passby_Length_Adj!H33</f>
        <v>0.9441087613293051</v>
      </c>
      <c r="M38" s="488">
        <f>Passby_Length_Adj!J33</f>
        <v>0.66300000000000003</v>
      </c>
      <c r="N38" s="372">
        <v>0.5</v>
      </c>
      <c r="O38" s="481">
        <f>L38*M38*N38</f>
        <v>0.31297205438066467</v>
      </c>
      <c r="P38" s="489">
        <f>IF($F38="Prod",$I38*$O38*$F$4*$F$6,$I38*O38*$F$5*$F$7)</f>
        <v>18.427768809285553</v>
      </c>
      <c r="Q38" s="490">
        <f>+P38/J38</f>
        <v>11.034592101368595</v>
      </c>
      <c r="R38" s="491">
        <f>+$Q$4</f>
        <v>261.71052631578948</v>
      </c>
      <c r="S38" s="500">
        <f>+Q38*R38</f>
        <v>2887.8689065292283</v>
      </c>
      <c r="T38" s="489">
        <f>IF($F38="Prod",$I38*$O38*$G$4*$G$6,$I38*$O38*$G$5*$G$7)</f>
        <v>0.30171390342905058</v>
      </c>
      <c r="U38" s="493">
        <f>+$R$4</f>
        <v>154.50490219883392</v>
      </c>
      <c r="V38" s="500">
        <f>+T38*U38</f>
        <v>46.616277141333882</v>
      </c>
      <c r="W38" s="489">
        <f>IF($F38="Prod",$I38*$O38*$J$4*$J$6,$I38*$O38*$J$5*$J$7)</f>
        <v>0.53837512606838944</v>
      </c>
      <c r="X38" s="493">
        <f>$S$4</f>
        <v>37.9060089869281</v>
      </c>
      <c r="Y38" s="763">
        <f>+W38*X38</f>
        <v>20.407652367086918</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1780.6420982734526</v>
      </c>
      <c r="I39" s="487">
        <f>ITECountywide!$B$9*E39</f>
        <v>6.0721447580506238</v>
      </c>
      <c r="J39" s="495">
        <f>IF(F39="Prod",$M$3,$M$4)</f>
        <v>1.67</v>
      </c>
      <c r="K39" s="372">
        <f>IF(F39="Prod",$F$4,$F$5)</f>
        <v>0.8872444414531403</v>
      </c>
      <c r="L39" s="488">
        <f>Passby_Length_Adj!H34</f>
        <v>0.65558912386706947</v>
      </c>
      <c r="M39" s="488">
        <f>Passby_Length_Adj!J34</f>
        <v>0.76600000000000001</v>
      </c>
      <c r="N39" s="372">
        <v>0.5</v>
      </c>
      <c r="O39" s="481">
        <f>L39*M39*N39</f>
        <v>0.25109063444108759</v>
      </c>
      <c r="P39" s="489">
        <f>IF($F39="Prod",$I39*$O39*$F$4*$F$6,$I39*O39*$F$5*$F$7)</f>
        <v>11.104721131973472</v>
      </c>
      <c r="Q39" s="490">
        <f>+P39/J39</f>
        <v>6.6495336119601633</v>
      </c>
      <c r="R39" s="491">
        <f>+$Q$4</f>
        <v>261.71052631578948</v>
      </c>
      <c r="S39" s="500">
        <f>+Q39*R39</f>
        <v>1740.2529413406271</v>
      </c>
      <c r="T39" s="489">
        <f>IF($F39="Prod",$I39*$O39*$G$4*$G$6,$I39*$O39*$G$5*$G$7)</f>
        <v>0.18181521560713992</v>
      </c>
      <c r="U39" s="493">
        <f>+$R$4</f>
        <v>154.50490219883392</v>
      </c>
      <c r="V39" s="500">
        <f>+T39*U39</f>
        <v>28.091342105641058</v>
      </c>
      <c r="W39" s="489">
        <f>IF($F39="Prod",$I39*$O39*$J$4*$J$6,$I39*$O39*$J$5*$J$7)</f>
        <v>0.324429164553444</v>
      </c>
      <c r="X39" s="493">
        <f>$S$4</f>
        <v>37.9060089869281</v>
      </c>
      <c r="Y39" s="763">
        <f>+W39*X39</f>
        <v>12.297814827184423</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2663.3787445899884</v>
      </c>
      <c r="I40" s="487">
        <f>ITECountywide!$B$9*E40</f>
        <v>7.2865737096607477</v>
      </c>
      <c r="J40" s="495">
        <f>IF(F40="Prod",$M$3,$M$4)</f>
        <v>1.67</v>
      </c>
      <c r="K40" s="372">
        <f>IF(F40="Prod",$F$4,$F$5)</f>
        <v>0.8872444414531403</v>
      </c>
      <c r="L40" s="488">
        <f>Passby_Length_Adj!H35</f>
        <v>0.9441087613293051</v>
      </c>
      <c r="M40" s="488">
        <f>Passby_Length_Adj!J35</f>
        <v>0.66300000000000003</v>
      </c>
      <c r="N40" s="372">
        <v>0.5</v>
      </c>
      <c r="O40" s="481">
        <f>L40*M40*N40</f>
        <v>0.31297205438066467</v>
      </c>
      <c r="P40" s="489">
        <f>IF($F40="Prod",$I40*$O40*$F$4*$F$6,$I40*O40*$F$5*$F$7)</f>
        <v>16.609782648728231</v>
      </c>
      <c r="Q40" s="490">
        <f>+P40/J40</f>
        <v>9.9459776339690009</v>
      </c>
      <c r="R40" s="491">
        <f>+$Q$4</f>
        <v>261.71052631578948</v>
      </c>
      <c r="S40" s="500">
        <f>+Q40*R40</f>
        <v>2602.967041311098</v>
      </c>
      <c r="T40" s="489">
        <f>IF($F40="Prod",$I40*$O40*$G$4*$G$6,$I40*$O40*$G$5*$G$7)</f>
        <v>0.27194840622977196</v>
      </c>
      <c r="U40" s="493">
        <f>+$R$4</f>
        <v>154.50490219883392</v>
      </c>
      <c r="V40" s="500">
        <f>+T40*U40</f>
        <v>42.017361907659669</v>
      </c>
      <c r="W40" s="489">
        <f>IF($F40="Prod",$I40*$O40*$J$4*$J$6,$I40*$O40*$J$5*$J$7)</f>
        <v>0.48526188493159761</v>
      </c>
      <c r="X40" s="493">
        <f>$S$4</f>
        <v>37.9060089869281</v>
      </c>
      <c r="Y40" s="763">
        <f>+W40*X40</f>
        <v>18.394341371230809</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2408.9140739193449</v>
      </c>
      <c r="I42" s="487">
        <f>ITECountywide!$B$9*E42</f>
        <v>4.368319064746867</v>
      </c>
      <c r="J42" s="495">
        <f t="shared" ref="J42:J50" si="27">IF(F42="Prod",$M$3,$M$4)</f>
        <v>1.67</v>
      </c>
      <c r="K42" s="372">
        <f t="shared" ref="K42:K50" si="28">IF(F42="Prod",$F$4,$F$5)</f>
        <v>0.8872439567052266</v>
      </c>
      <c r="L42" s="488">
        <f>Passby_Length_Adj!H37</f>
        <v>0.9441087613293051</v>
      </c>
      <c r="M42" s="488">
        <f>Passby_Length_Adj!J37</f>
        <v>1</v>
      </c>
      <c r="N42" s="372">
        <v>0.5</v>
      </c>
      <c r="O42" s="481">
        <f t="shared" ref="O42:O50" si="29">L42*M42*N42</f>
        <v>0.47205438066465255</v>
      </c>
      <c r="P42" s="489">
        <f t="shared" ref="P42:P50" si="30">IF($F42="Prod",$I42*$O42*$F$4*$F$6,$I42*O42*$F$5*$F$7)</f>
        <v>15.022186625039929</v>
      </c>
      <c r="Q42" s="490">
        <f t="shared" ref="Q42:Q50" si="31">+P42/J42</f>
        <v>8.9953213323592394</v>
      </c>
      <c r="R42" s="491">
        <f t="shared" ref="R42:R50" si="32">+$Q$4</f>
        <v>261.71052631578948</v>
      </c>
      <c r="S42" s="500">
        <f t="shared" ref="S42:S50" si="33">+Q42*R42</f>
        <v>2354.1702802713853</v>
      </c>
      <c r="T42" s="489">
        <f t="shared" ref="T42:T50" si="34">IF($F42="Prod",$I42*$O42*$G$4*$G$6,$I42*$O42*$G$5*$G$7)</f>
        <v>0.24680431381113899</v>
      </c>
      <c r="U42" s="493">
        <f t="shared" ref="U42:U50" si="35">+$R$4</f>
        <v>154.50490219883392</v>
      </c>
      <c r="V42" s="500">
        <f t="shared" ref="V42:V50" si="36">+T42*U42</f>
        <v>38.132476367640344</v>
      </c>
      <c r="W42" s="489">
        <f t="shared" ref="W42:W50" si="37">IF($F42="Prod",$I42*$O42*$J$4*$J$6,$I42*$O42*$J$5*$J$7)</f>
        <v>0.43822385221424587</v>
      </c>
      <c r="X42" s="493">
        <f t="shared" ref="X42:X50" si="38">$S$4</f>
        <v>37.9060089869281</v>
      </c>
      <c r="Y42" s="763">
        <f t="shared" ref="Y42:Y50" si="39">+W42*X42</f>
        <v>16.611317280319454</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20530.136189213717</v>
      </c>
      <c r="I43" s="487">
        <f>ITECountywide!$B$9*E43</f>
        <v>55.066196343157593</v>
      </c>
      <c r="J43" s="495">
        <f t="shared" si="27"/>
        <v>1.67</v>
      </c>
      <c r="K43" s="372">
        <f t="shared" si="28"/>
        <v>0.8872439567052266</v>
      </c>
      <c r="L43" s="488">
        <f>Passby_Length_Adj!H38</f>
        <v>0.63829555828418605</v>
      </c>
      <c r="M43" s="488">
        <f>Passby_Length_Adj!J38</f>
        <v>1</v>
      </c>
      <c r="N43" s="372">
        <v>0.5</v>
      </c>
      <c r="O43" s="481">
        <f t="shared" si="29"/>
        <v>0.31914777914209302</v>
      </c>
      <c r="P43" s="489">
        <f t="shared" si="30"/>
        <v>128.02762066563466</v>
      </c>
      <c r="Q43" s="490">
        <f t="shared" si="31"/>
        <v>76.663245907565667</v>
      </c>
      <c r="R43" s="491">
        <f t="shared" si="32"/>
        <v>261.71052631578948</v>
      </c>
      <c r="S43" s="500">
        <f t="shared" si="33"/>
        <v>20063.578435545805</v>
      </c>
      <c r="T43" s="489">
        <f t="shared" si="34"/>
        <v>2.1034067713275242</v>
      </c>
      <c r="U43" s="493">
        <f t="shared" si="35"/>
        <v>154.50490219883392</v>
      </c>
      <c r="V43" s="500">
        <f t="shared" si="36"/>
        <v>324.98665748832417</v>
      </c>
      <c r="W43" s="489">
        <f t="shared" si="37"/>
        <v>3.7347929777679401</v>
      </c>
      <c r="X43" s="493">
        <f t="shared" si="38"/>
        <v>37.9060089869281</v>
      </c>
      <c r="Y43" s="763">
        <f t="shared" si="39"/>
        <v>141.5710961795875</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24342.611180021777</v>
      </c>
      <c r="I44" s="487">
        <f>ITECountywide!$B$9*E44</f>
        <v>141.54441318094723</v>
      </c>
      <c r="J44" s="495">
        <f t="shared" si="27"/>
        <v>1.67</v>
      </c>
      <c r="K44" s="372">
        <f t="shared" si="28"/>
        <v>0.8872439567052266</v>
      </c>
      <c r="L44" s="488">
        <f>Passby_Length_Adj!H39</f>
        <v>0.33534743202416922</v>
      </c>
      <c r="M44" s="488">
        <f>Passby_Length_Adj!J39</f>
        <v>0.878</v>
      </c>
      <c r="N44" s="372">
        <v>0.5</v>
      </c>
      <c r="O44" s="481">
        <f t="shared" si="29"/>
        <v>0.14721752265861029</v>
      </c>
      <c r="P44" s="489">
        <f t="shared" si="30"/>
        <v>151.80252880174515</v>
      </c>
      <c r="Q44" s="490">
        <f t="shared" si="31"/>
        <v>90.899717845356378</v>
      </c>
      <c r="R44" s="491">
        <f t="shared" si="32"/>
        <v>261.71052631578948</v>
      </c>
      <c r="S44" s="500">
        <f t="shared" si="33"/>
        <v>23789.41299926498</v>
      </c>
      <c r="T44" s="489">
        <f t="shared" si="34"/>
        <v>2.4940123492581625</v>
      </c>
      <c r="U44" s="493">
        <f t="shared" si="35"/>
        <v>154.50490219883392</v>
      </c>
      <c r="V44" s="500">
        <f t="shared" si="36"/>
        <v>385.33713410481641</v>
      </c>
      <c r="W44" s="489">
        <f t="shared" si="37"/>
        <v>4.4283492548600893</v>
      </c>
      <c r="X44" s="493">
        <f t="shared" si="38"/>
        <v>37.9060089869281</v>
      </c>
      <c r="Y44" s="763">
        <f t="shared" si="39"/>
        <v>167.86104665198289</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68579.516706425828</v>
      </c>
      <c r="I45" s="487">
        <f>ITECountywide!$B$9*E45</f>
        <v>398.76771545407081</v>
      </c>
      <c r="J45" s="495">
        <f t="shared" si="27"/>
        <v>1.67</v>
      </c>
      <c r="K45" s="372">
        <f t="shared" si="28"/>
        <v>0.8872439567052266</v>
      </c>
      <c r="L45" s="488">
        <f>Passby_Length_Adj!H40</f>
        <v>0.33534743202416922</v>
      </c>
      <c r="M45" s="488">
        <f>Passby_Length_Adj!J40</f>
        <v>0.878</v>
      </c>
      <c r="N45" s="372">
        <v>0.5</v>
      </c>
      <c r="O45" s="481">
        <f t="shared" si="29"/>
        <v>0.14721752265861029</v>
      </c>
      <c r="P45" s="489">
        <f t="shared" si="30"/>
        <v>427.6675161529509</v>
      </c>
      <c r="Q45" s="490">
        <f t="shared" si="31"/>
        <v>256.08833302571912</v>
      </c>
      <c r="R45" s="491">
        <f t="shared" si="32"/>
        <v>261.71052631578948</v>
      </c>
      <c r="S45" s="500">
        <f t="shared" si="33"/>
        <v>67021.012419494131</v>
      </c>
      <c r="T45" s="489">
        <f t="shared" si="34"/>
        <v>7.0262865518862299</v>
      </c>
      <c r="U45" s="493">
        <f t="shared" si="35"/>
        <v>154.50490219883392</v>
      </c>
      <c r="V45" s="500">
        <f t="shared" si="36"/>
        <v>1085.5957165201639</v>
      </c>
      <c r="W45" s="489">
        <f t="shared" si="37"/>
        <v>12.475820669345877</v>
      </c>
      <c r="X45" s="493">
        <f t="shared" si="38"/>
        <v>37.9060089869281</v>
      </c>
      <c r="Y45" s="763">
        <f t="shared" si="39"/>
        <v>472.90857041152816</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36093.30394555314</v>
      </c>
      <c r="I46" s="487">
        <f>ITECountywide!$B$9*E46</f>
        <v>96.80992582909964</v>
      </c>
      <c r="J46" s="495">
        <f t="shared" si="27"/>
        <v>1.67</v>
      </c>
      <c r="K46" s="372">
        <f t="shared" si="28"/>
        <v>0.8872439567052266</v>
      </c>
      <c r="L46" s="488">
        <f>Passby_Length_Adj!H41</f>
        <v>0.63829555828418605</v>
      </c>
      <c r="M46" s="488">
        <f>Passby_Length_Adj!J41</f>
        <v>1</v>
      </c>
      <c r="N46" s="372">
        <v>0.5</v>
      </c>
      <c r="O46" s="481">
        <f t="shared" si="29"/>
        <v>0.31914777914209302</v>
      </c>
      <c r="P46" s="489">
        <f t="shared" si="30"/>
        <v>225.08081697668027</v>
      </c>
      <c r="Q46" s="490">
        <f t="shared" si="31"/>
        <v>134.77893232136543</v>
      </c>
      <c r="R46" s="491">
        <f t="shared" si="32"/>
        <v>261.71052631578948</v>
      </c>
      <c r="S46" s="500">
        <f t="shared" si="33"/>
        <v>35273.065314104715</v>
      </c>
      <c r="T46" s="489">
        <f t="shared" si="34"/>
        <v>3.6979248076564537</v>
      </c>
      <c r="U46" s="493">
        <f t="shared" si="35"/>
        <v>154.50490219883392</v>
      </c>
      <c r="V46" s="500">
        <f t="shared" si="36"/>
        <v>571.34751074560211</v>
      </c>
      <c r="W46" s="489">
        <f t="shared" si="37"/>
        <v>6.5660070093017016</v>
      </c>
      <c r="X46" s="493">
        <f t="shared" si="38"/>
        <v>37.9060089869281</v>
      </c>
      <c r="Y46" s="763">
        <f t="shared" si="39"/>
        <v>248.8911207028232</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20489.589508129025</v>
      </c>
      <c r="I47" s="487">
        <f>ITECountywide!$B$9*E47</f>
        <v>54.957441511670126</v>
      </c>
      <c r="J47" s="495">
        <f t="shared" si="27"/>
        <v>1.67</v>
      </c>
      <c r="K47" s="372">
        <f t="shared" si="28"/>
        <v>0.8872439567052266</v>
      </c>
      <c r="L47" s="488">
        <f>Passby_Length_Adj!H42</f>
        <v>0.63829555828418605</v>
      </c>
      <c r="M47" s="488">
        <f>Passby_Length_Adj!J42</f>
        <v>1</v>
      </c>
      <c r="N47" s="372">
        <v>0.5</v>
      </c>
      <c r="O47" s="481">
        <f t="shared" si="29"/>
        <v>0.31914777914209302</v>
      </c>
      <c r="P47" s="489">
        <f t="shared" si="30"/>
        <v>127.77476822192372</v>
      </c>
      <c r="Q47" s="490">
        <f t="shared" si="31"/>
        <v>76.511837258636959</v>
      </c>
      <c r="R47" s="491">
        <f t="shared" si="32"/>
        <v>261.71052631578948</v>
      </c>
      <c r="S47" s="500">
        <f t="shared" si="33"/>
        <v>20023.953198345909</v>
      </c>
      <c r="T47" s="489">
        <f t="shared" si="34"/>
        <v>2.0992525775724338</v>
      </c>
      <c r="U47" s="493">
        <f t="shared" si="35"/>
        <v>154.50490219883392</v>
      </c>
      <c r="V47" s="500">
        <f t="shared" si="36"/>
        <v>324.34481418847889</v>
      </c>
      <c r="W47" s="489">
        <f t="shared" si="37"/>
        <v>3.7274168231048046</v>
      </c>
      <c r="X47" s="493">
        <f t="shared" si="38"/>
        <v>37.9060089869281</v>
      </c>
      <c r="Y47" s="763">
        <f t="shared" si="39"/>
        <v>141.29149559463772</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26152.609299623797</v>
      </c>
      <c r="I48" s="487">
        <f>ITECountywide!$B$9*E48</f>
        <v>70.146866309420645</v>
      </c>
      <c r="J48" s="495">
        <f t="shared" si="27"/>
        <v>1.67</v>
      </c>
      <c r="K48" s="372">
        <f t="shared" si="28"/>
        <v>0.8872439567052266</v>
      </c>
      <c r="L48" s="488">
        <f>Passby_Length_Adj!H43</f>
        <v>0.63829555828418605</v>
      </c>
      <c r="M48" s="488">
        <f>Passby_Length_Adj!J43</f>
        <v>1</v>
      </c>
      <c r="N48" s="372">
        <v>0.5</v>
      </c>
      <c r="O48" s="481">
        <f t="shared" si="29"/>
        <v>0.31914777914209302</v>
      </c>
      <c r="P48" s="489">
        <f t="shared" si="30"/>
        <v>163.08982619355044</v>
      </c>
      <c r="Q48" s="490">
        <f t="shared" si="31"/>
        <v>97.658578559012241</v>
      </c>
      <c r="R48" s="491">
        <f t="shared" si="32"/>
        <v>261.71052631578948</v>
      </c>
      <c r="S48" s="500">
        <f t="shared" si="33"/>
        <v>25558.277993930966</v>
      </c>
      <c r="T48" s="489">
        <f t="shared" si="34"/>
        <v>2.6794549720334171</v>
      </c>
      <c r="U48" s="493">
        <f t="shared" si="35"/>
        <v>154.50490219883392</v>
      </c>
      <c r="V48" s="500">
        <f t="shared" si="36"/>
        <v>413.98892840020238</v>
      </c>
      <c r="W48" s="489">
        <f t="shared" si="37"/>
        <v>4.7576197577228214</v>
      </c>
      <c r="X48" s="493">
        <f t="shared" si="38"/>
        <v>37.9060089869281</v>
      </c>
      <c r="Y48" s="763">
        <f t="shared" si="39"/>
        <v>180.34237729262796</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2553.6299747136532</v>
      </c>
      <c r="I49" s="487">
        <f>ITECountywide!$B$9*E49</f>
        <v>7.2865737096607477</v>
      </c>
      <c r="J49" s="495">
        <f t="shared" si="27"/>
        <v>1.67</v>
      </c>
      <c r="K49" s="372">
        <f t="shared" si="28"/>
        <v>0.8872439567052266</v>
      </c>
      <c r="L49" s="488">
        <f>Passby_Length_Adj!H44</f>
        <v>0.63829555828418605</v>
      </c>
      <c r="M49" s="488">
        <f>Passby_Length_Adj!J44</f>
        <v>0.94</v>
      </c>
      <c r="N49" s="372">
        <v>0.5</v>
      </c>
      <c r="O49" s="481">
        <f t="shared" si="29"/>
        <v>0.29999891239356741</v>
      </c>
      <c r="P49" s="489">
        <f t="shared" si="30"/>
        <v>15.924646904914422</v>
      </c>
      <c r="Q49" s="490">
        <f t="shared" si="31"/>
        <v>9.5357167095295949</v>
      </c>
      <c r="R49" s="491">
        <f t="shared" si="32"/>
        <v>261.71052631578948</v>
      </c>
      <c r="S49" s="500">
        <f t="shared" si="33"/>
        <v>2495.5974388492587</v>
      </c>
      <c r="T49" s="489">
        <f t="shared" si="34"/>
        <v>0.26163112269560396</v>
      </c>
      <c r="U49" s="493">
        <f t="shared" si="35"/>
        <v>154.50490219883392</v>
      </c>
      <c r="V49" s="500">
        <f t="shared" si="36"/>
        <v>40.423291024255406</v>
      </c>
      <c r="W49" s="489">
        <f t="shared" si="37"/>
        <v>0.46455022068431501</v>
      </c>
      <c r="X49" s="493">
        <f t="shared" si="38"/>
        <v>37.9060089869281</v>
      </c>
      <c r="Y49" s="763">
        <f t="shared" si="39"/>
        <v>17.609244840139077</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19475.922481011825</v>
      </c>
      <c r="I50" s="487">
        <f>ITECountywide!$B$9*E50</f>
        <v>52.238570724483274</v>
      </c>
      <c r="J50" s="495">
        <f t="shared" si="27"/>
        <v>1.67</v>
      </c>
      <c r="K50" s="372">
        <f t="shared" si="28"/>
        <v>0.8872439567052266</v>
      </c>
      <c r="L50" s="488">
        <f>Passby_Length_Adj!H45</f>
        <v>0.63829555828418605</v>
      </c>
      <c r="M50" s="488">
        <f>Passby_Length_Adj!J45</f>
        <v>1</v>
      </c>
      <c r="N50" s="372">
        <v>0.5</v>
      </c>
      <c r="O50" s="481">
        <f t="shared" si="29"/>
        <v>0.31914777914209302</v>
      </c>
      <c r="P50" s="489">
        <f t="shared" si="30"/>
        <v>121.45345712915045</v>
      </c>
      <c r="Q50" s="490">
        <f t="shared" si="31"/>
        <v>72.726621035419441</v>
      </c>
      <c r="R50" s="491">
        <f t="shared" si="32"/>
        <v>261.71052631578948</v>
      </c>
      <c r="S50" s="500">
        <f t="shared" si="33"/>
        <v>19033.322268348587</v>
      </c>
      <c r="T50" s="489">
        <f t="shared" si="34"/>
        <v>1.9953977336951696</v>
      </c>
      <c r="U50" s="493">
        <f t="shared" si="35"/>
        <v>154.50490219883392</v>
      </c>
      <c r="V50" s="500">
        <f t="shared" si="36"/>
        <v>308.29873169234702</v>
      </c>
      <c r="W50" s="489">
        <f t="shared" si="37"/>
        <v>3.5430129565263999</v>
      </c>
      <c r="X50" s="493">
        <f t="shared" si="38"/>
        <v>37.9060089869281</v>
      </c>
      <c r="Y50" s="763">
        <f t="shared" si="39"/>
        <v>134.30148097089241</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932.57468133161706</v>
      </c>
      <c r="I52" s="487">
        <f>ITECountywide!$B$9*E52</f>
        <v>3.4257771918554263</v>
      </c>
      <c r="J52" s="495">
        <f t="shared" ref="J52:J60" si="40">IF(F52="Prod",$M$3,$M$4)</f>
        <v>1.67</v>
      </c>
      <c r="K52" s="372">
        <f t="shared" ref="K52:K60" si="41">IF(F52="Prod",$F$4,$F$5)</f>
        <v>0.8872439567052266</v>
      </c>
      <c r="L52" s="488">
        <f>Passby_Length_Adj!H47</f>
        <v>0.87013619005702103</v>
      </c>
      <c r="M52" s="488">
        <f>Passby_Length_Adj!J47</f>
        <v>0.53561452513966479</v>
      </c>
      <c r="N52" s="372">
        <v>0.5</v>
      </c>
      <c r="O52" s="481">
        <f t="shared" ref="O52:O60" si="42">L52*M52*N52</f>
        <v>0.23302879112211422</v>
      </c>
      <c r="P52" s="489">
        <f t="shared" ref="P52:P60" si="43">IF($F52="Prod",$I52*$O52*$F$4*$F$6,$I52*O52*$F$5*$F$7)</f>
        <v>5.8156125436044706</v>
      </c>
      <c r="Q52" s="490">
        <f t="shared" ref="Q52:Q60" si="44">+P52/J52</f>
        <v>3.48240272072124</v>
      </c>
      <c r="R52" s="491">
        <f t="shared" ref="R52:R60" si="45">+$Q$4</f>
        <v>261.71052631578948</v>
      </c>
      <c r="S52" s="500">
        <f t="shared" ref="S52:S60" si="46">+Q52*R52</f>
        <v>911.38144888349302</v>
      </c>
      <c r="T52" s="489">
        <f t="shared" ref="T52:T60" si="47">IF($F52="Prod",$I52*$O52*$G$4*$G$6,$I52*$O52*$G$5*$G$7)</f>
        <v>9.5546560500271965E-2</v>
      </c>
      <c r="U52" s="493">
        <f t="shared" ref="U52:U60" si="48">+$R$4</f>
        <v>154.50490219883392</v>
      </c>
      <c r="V52" s="500">
        <f t="shared" ref="V52:V60" si="49">+T52*U52</f>
        <v>14.762411985529488</v>
      </c>
      <c r="W52" s="489">
        <f t="shared" ref="W52:W60" si="50">IF($F52="Prod",$I52*$O52*$J$4*$J$6,$I52*$O52*$J$5*$J$7)</f>
        <v>0.16965174215022544</v>
      </c>
      <c r="X52" s="493">
        <f t="shared" ref="X52:X60" si="51">$S$4</f>
        <v>37.9060089869281</v>
      </c>
      <c r="Y52" s="763">
        <f t="shared" ref="Y52:Y60" si="52">+W52*X52</f>
        <v>6.4308204625944541</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1001.6542873561809</v>
      </c>
      <c r="I53" s="487">
        <f>ITECountywide!$B$9*E53</f>
        <v>3.6795384653261984</v>
      </c>
      <c r="J53" s="495">
        <f t="shared" si="40"/>
        <v>1.67</v>
      </c>
      <c r="K53" s="372">
        <f t="shared" si="41"/>
        <v>0.8872439567052266</v>
      </c>
      <c r="L53" s="488">
        <f>Passby_Length_Adj!H48</f>
        <v>0.87013619005702103</v>
      </c>
      <c r="M53" s="488">
        <f>Passby_Length_Adj!J48</f>
        <v>0.53561452513966479</v>
      </c>
      <c r="N53" s="372">
        <v>0.5</v>
      </c>
      <c r="O53" s="481">
        <f t="shared" si="42"/>
        <v>0.23302879112211422</v>
      </c>
      <c r="P53" s="489">
        <f t="shared" si="43"/>
        <v>6.2463986579455408</v>
      </c>
      <c r="Q53" s="490">
        <f t="shared" si="44"/>
        <v>3.7403584778117014</v>
      </c>
      <c r="R53" s="491">
        <f t="shared" si="45"/>
        <v>261.71052631578948</v>
      </c>
      <c r="S53" s="500">
        <f t="shared" si="46"/>
        <v>978.89118583782556</v>
      </c>
      <c r="T53" s="489">
        <f t="shared" si="47"/>
        <v>0.1026240835002921</v>
      </c>
      <c r="U53" s="493">
        <f t="shared" si="48"/>
        <v>154.50490219883392</v>
      </c>
      <c r="V53" s="500">
        <f t="shared" si="49"/>
        <v>15.855923984457597</v>
      </c>
      <c r="W53" s="489">
        <f t="shared" si="50"/>
        <v>0.18221853786505696</v>
      </c>
      <c r="X53" s="493">
        <f t="shared" si="51"/>
        <v>37.9060089869281</v>
      </c>
      <c r="Y53" s="763">
        <f t="shared" si="52"/>
        <v>6.9071775338977472</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1785.8465556762442</v>
      </c>
      <c r="I54" s="487">
        <f>ITECountywide!$B$9*E54</f>
        <v>7.4497059568919601</v>
      </c>
      <c r="J54" s="495">
        <f t="shared" si="40"/>
        <v>1.67</v>
      </c>
      <c r="K54" s="372">
        <f t="shared" si="41"/>
        <v>0.8872439567052266</v>
      </c>
      <c r="L54" s="488">
        <f>Passby_Length_Adj!H49</f>
        <v>0.76624514210263772</v>
      </c>
      <c r="M54" s="488">
        <f>Passby_Length_Adj!J49</f>
        <v>0.53561452513966479</v>
      </c>
      <c r="N54" s="372">
        <v>0.5</v>
      </c>
      <c r="O54" s="481">
        <f t="shared" si="42"/>
        <v>0.20520601396393964</v>
      </c>
      <c r="P54" s="489">
        <f t="shared" si="43"/>
        <v>11.136686249420588</v>
      </c>
      <c r="Q54" s="490">
        <f t="shared" si="44"/>
        <v>6.6686744008506516</v>
      </c>
      <c r="R54" s="491">
        <f t="shared" si="45"/>
        <v>261.71052631578948</v>
      </c>
      <c r="S54" s="500">
        <f t="shared" si="46"/>
        <v>1745.2622872752561</v>
      </c>
      <c r="T54" s="489">
        <f t="shared" si="47"/>
        <v>0.18296818409489635</v>
      </c>
      <c r="U54" s="493">
        <f t="shared" si="48"/>
        <v>154.50490219883392</v>
      </c>
      <c r="V54" s="500">
        <f t="shared" si="49"/>
        <v>28.269481389080198</v>
      </c>
      <c r="W54" s="489">
        <f t="shared" si="50"/>
        <v>0.32487690846468492</v>
      </c>
      <c r="X54" s="493">
        <f t="shared" si="51"/>
        <v>37.9060089869281</v>
      </c>
      <c r="Y54" s="763">
        <f t="shared" si="52"/>
        <v>12.314787011907764</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1077.5911090211885</v>
      </c>
      <c r="I55" s="487">
        <f>ITECountywide!$B$9*E55</f>
        <v>4.4951997014822531</v>
      </c>
      <c r="J55" s="495">
        <f t="shared" si="40"/>
        <v>1.67</v>
      </c>
      <c r="K55" s="372">
        <f t="shared" si="41"/>
        <v>0.8872439567052266</v>
      </c>
      <c r="L55" s="488">
        <f>Passby_Length_Adj!H50</f>
        <v>0.76624514210263772</v>
      </c>
      <c r="M55" s="488">
        <f>Passby_Length_Adj!J50</f>
        <v>0.53561452513966479</v>
      </c>
      <c r="N55" s="372">
        <v>0.5</v>
      </c>
      <c r="O55" s="481">
        <f t="shared" si="42"/>
        <v>0.20520601396393964</v>
      </c>
      <c r="P55" s="489">
        <f t="shared" si="43"/>
        <v>6.7199469339569475</v>
      </c>
      <c r="Q55" s="490">
        <f t="shared" si="44"/>
        <v>4.0239203197346995</v>
      </c>
      <c r="R55" s="491">
        <f t="shared" si="45"/>
        <v>261.71052631578948</v>
      </c>
      <c r="S55" s="500">
        <f t="shared" si="46"/>
        <v>1053.102304730568</v>
      </c>
      <c r="T55" s="489">
        <f t="shared" si="47"/>
        <v>0.11040415974582553</v>
      </c>
      <c r="U55" s="493">
        <f t="shared" si="48"/>
        <v>154.50490219883392</v>
      </c>
      <c r="V55" s="500">
        <f t="shared" si="49"/>
        <v>17.057983903873211</v>
      </c>
      <c r="W55" s="489">
        <f t="shared" si="50"/>
        <v>0.19603278174998018</v>
      </c>
      <c r="X55" s="493">
        <f t="shared" si="51"/>
        <v>37.9060089869281</v>
      </c>
      <c r="Y55" s="763">
        <f t="shared" si="52"/>
        <v>7.4308203867472633</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1958.6370564839981</v>
      </c>
      <c r="I56" s="487">
        <f>ITECountywide!$B$9*E56</f>
        <v>3.3532739708637775</v>
      </c>
      <c r="J56" s="495">
        <f t="shared" si="40"/>
        <v>1.67</v>
      </c>
      <c r="K56" s="372">
        <f t="shared" si="41"/>
        <v>0.8872439567052266</v>
      </c>
      <c r="L56" s="488">
        <f>Passby_Length_Adj!H51</f>
        <v>1</v>
      </c>
      <c r="M56" s="488">
        <f>Passby_Length_Adj!J51</f>
        <v>1</v>
      </c>
      <c r="N56" s="372">
        <v>0.5</v>
      </c>
      <c r="O56" s="481">
        <f t="shared" si="42"/>
        <v>0.5</v>
      </c>
      <c r="P56" s="489">
        <f t="shared" si="43"/>
        <v>12.214222047924583</v>
      </c>
      <c r="Q56" s="490">
        <f t="shared" si="44"/>
        <v>7.313905417918912</v>
      </c>
      <c r="R56" s="491">
        <f t="shared" si="45"/>
        <v>261.71052631578948</v>
      </c>
      <c r="S56" s="500">
        <f t="shared" si="46"/>
        <v>1914.1260363474628</v>
      </c>
      <c r="T56" s="489">
        <f t="shared" si="47"/>
        <v>0.20067136472995981</v>
      </c>
      <c r="U56" s="493">
        <f t="shared" si="48"/>
        <v>154.50490219883392</v>
      </c>
      <c r="V56" s="500">
        <f t="shared" si="49"/>
        <v>31.004709581708969</v>
      </c>
      <c r="W56" s="489">
        <f t="shared" si="50"/>
        <v>0.35631054061861361</v>
      </c>
      <c r="X56" s="493">
        <f t="shared" si="51"/>
        <v>37.9060089869281</v>
      </c>
      <c r="Y56" s="763">
        <f t="shared" si="52"/>
        <v>13.506310554826378</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499.6894255541801</v>
      </c>
      <c r="I57" s="487">
        <f>ITECountywide!$B$9*E57</f>
        <v>2.0844676035099154</v>
      </c>
      <c r="J57" s="495">
        <f t="shared" si="40"/>
        <v>1.67</v>
      </c>
      <c r="K57" s="372">
        <f t="shared" si="41"/>
        <v>0.8872439567052266</v>
      </c>
      <c r="L57" s="488">
        <f>Passby_Length_Adj!H52</f>
        <v>0.76624514210263772</v>
      </c>
      <c r="M57" s="488">
        <f>Passby_Length_Adj!J52</f>
        <v>0.53561452513966479</v>
      </c>
      <c r="N57" s="372">
        <v>0.5</v>
      </c>
      <c r="O57" s="481">
        <f t="shared" si="42"/>
        <v>0.20520601396393964</v>
      </c>
      <c r="P57" s="489">
        <f t="shared" si="43"/>
        <v>3.1161044250203584</v>
      </c>
      <c r="Q57" s="490">
        <f t="shared" si="44"/>
        <v>1.8659307934253644</v>
      </c>
      <c r="R57" s="491">
        <f t="shared" si="45"/>
        <v>261.71052631578948</v>
      </c>
      <c r="S57" s="500">
        <f t="shared" si="46"/>
        <v>488.33373001619077</v>
      </c>
      <c r="T57" s="489">
        <f t="shared" si="47"/>
        <v>5.1195477301491668E-2</v>
      </c>
      <c r="U57" s="493">
        <f t="shared" si="48"/>
        <v>154.50490219883392</v>
      </c>
      <c r="V57" s="500">
        <f t="shared" si="49"/>
        <v>7.9099522134895919</v>
      </c>
      <c r="W57" s="489">
        <f t="shared" si="50"/>
        <v>9.0902297988902092E-2</v>
      </c>
      <c r="X57" s="493">
        <f t="shared" si="51"/>
        <v>37.9060089869281</v>
      </c>
      <c r="Y57" s="763">
        <f t="shared" si="52"/>
        <v>3.4457433244997389</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677.83956857784426</v>
      </c>
      <c r="I58" s="487">
        <f>ITECountywide!$B$9*E58</f>
        <v>2.8276256186743205</v>
      </c>
      <c r="J58" s="495">
        <f t="shared" si="40"/>
        <v>1.67</v>
      </c>
      <c r="K58" s="372">
        <f t="shared" si="41"/>
        <v>0.8872439567052266</v>
      </c>
      <c r="L58" s="488">
        <f>Passby_Length_Adj!H53</f>
        <v>0.76624514210263772</v>
      </c>
      <c r="M58" s="488">
        <f>Passby_Length_Adj!J53</f>
        <v>0.53561452513966479</v>
      </c>
      <c r="N58" s="372">
        <v>0.5</v>
      </c>
      <c r="O58" s="481">
        <f t="shared" si="42"/>
        <v>0.20520601396393964</v>
      </c>
      <c r="P58" s="489">
        <f t="shared" si="43"/>
        <v>4.2270633939406599</v>
      </c>
      <c r="Q58" s="490">
        <f t="shared" si="44"/>
        <v>2.5311756849944071</v>
      </c>
      <c r="R58" s="491">
        <f t="shared" si="45"/>
        <v>261.71052631578948</v>
      </c>
      <c r="S58" s="500">
        <f t="shared" si="46"/>
        <v>662.43532071761524</v>
      </c>
      <c r="T58" s="489">
        <f t="shared" si="47"/>
        <v>6.9447777904632177E-2</v>
      </c>
      <c r="U58" s="493">
        <f t="shared" si="48"/>
        <v>154.50490219883392</v>
      </c>
      <c r="V58" s="500">
        <f t="shared" si="49"/>
        <v>10.730022133081533</v>
      </c>
      <c r="W58" s="489">
        <f t="shared" si="50"/>
        <v>0.12331094335885849</v>
      </c>
      <c r="X58" s="493">
        <f t="shared" si="51"/>
        <v>37.9060089869281</v>
      </c>
      <c r="Y58" s="763">
        <f t="shared" si="52"/>
        <v>4.6742257271474719</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6629.6959164335267</v>
      </c>
      <c r="I59" s="487">
        <f>ITECountywide!$B$9*E59</f>
        <v>12.597434647299055</v>
      </c>
      <c r="J59" s="495">
        <f t="shared" si="40"/>
        <v>1.67</v>
      </c>
      <c r="K59" s="372">
        <f t="shared" si="41"/>
        <v>0.8872439567052266</v>
      </c>
      <c r="L59" s="488">
        <f>Passby_Length_Adj!H54</f>
        <v>0.90100368260427022</v>
      </c>
      <c r="M59" s="488">
        <f>Passby_Length_Adj!J54</f>
        <v>1</v>
      </c>
      <c r="N59" s="372">
        <v>0.5</v>
      </c>
      <c r="O59" s="481">
        <f t="shared" si="42"/>
        <v>0.45050184130213511</v>
      </c>
      <c r="P59" s="489">
        <f t="shared" si="43"/>
        <v>41.343329927036706</v>
      </c>
      <c r="Q59" s="490">
        <f t="shared" si="44"/>
        <v>24.756484986249525</v>
      </c>
      <c r="R59" s="491">
        <f t="shared" si="45"/>
        <v>261.71052631578948</v>
      </c>
      <c r="S59" s="500">
        <f t="shared" si="46"/>
        <v>6479.0327154803035</v>
      </c>
      <c r="T59" s="489">
        <f t="shared" si="47"/>
        <v>0.67924280452631514</v>
      </c>
      <c r="U59" s="493">
        <f t="shared" si="48"/>
        <v>154.50490219883392</v>
      </c>
      <c r="V59" s="500">
        <f t="shared" si="49"/>
        <v>104.94634308259998</v>
      </c>
      <c r="W59" s="489">
        <f t="shared" si="50"/>
        <v>1.2060583293374165</v>
      </c>
      <c r="X59" s="493">
        <f t="shared" si="51"/>
        <v>37.9060089869281</v>
      </c>
      <c r="Y59" s="763">
        <f t="shared" si="52"/>
        <v>45.716857870623599</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11316.724910587896</v>
      </c>
      <c r="I60" s="487">
        <f>ITECountywide!$B$9*E60</f>
        <v>86.315084590558413</v>
      </c>
      <c r="J60" s="495">
        <f t="shared" si="40"/>
        <v>1.67</v>
      </c>
      <c r="K60" s="372">
        <f t="shared" si="41"/>
        <v>0.8872439567052266</v>
      </c>
      <c r="L60" s="488">
        <f>Passby_Length_Adj!H55</f>
        <v>0.30664652567975825</v>
      </c>
      <c r="M60" s="488">
        <f>Passby_Length_Adj!J55</f>
        <v>0.73199999999999998</v>
      </c>
      <c r="N60" s="372">
        <v>0.5</v>
      </c>
      <c r="O60" s="481">
        <f t="shared" si="42"/>
        <v>0.11223262839879151</v>
      </c>
      <c r="P60" s="489">
        <f t="shared" si="43"/>
        <v>70.572028878760946</v>
      </c>
      <c r="Q60" s="490">
        <f t="shared" si="44"/>
        <v>42.258699927401764</v>
      </c>
      <c r="R60" s="491">
        <f t="shared" si="45"/>
        <v>261.71052631578948</v>
      </c>
      <c r="S60" s="500">
        <f t="shared" si="46"/>
        <v>11059.54659942133</v>
      </c>
      <c r="T60" s="489">
        <f t="shared" si="47"/>
        <v>1.1594504579413174</v>
      </c>
      <c r="U60" s="493">
        <f t="shared" si="48"/>
        <v>154.50490219883392</v>
      </c>
      <c r="V60" s="500">
        <f t="shared" si="49"/>
        <v>179.14077960861644</v>
      </c>
      <c r="W60" s="489">
        <f t="shared" si="50"/>
        <v>2.0587113664448582</v>
      </c>
      <c r="X60" s="493">
        <f t="shared" si="51"/>
        <v>37.9060089869281</v>
      </c>
      <c r="Y60" s="763">
        <f t="shared" si="52"/>
        <v>78.037531557949819</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11349.507700274838</v>
      </c>
      <c r="I62" s="487">
        <f>ITECountywide!$B$9*E62</f>
        <v>19.430863225761996</v>
      </c>
      <c r="J62" s="495">
        <f>IF(F62="Prod",$M$3,$M$4)</f>
        <v>1.67</v>
      </c>
      <c r="K62" s="372">
        <f>IF(F62="Prod",$F$4,$F$5)</f>
        <v>0.8872439567052266</v>
      </c>
      <c r="L62" s="488">
        <f>Passby_Length_Adj!H57</f>
        <v>1</v>
      </c>
      <c r="M62" s="488">
        <f>Passby_Length_Adj!J57</f>
        <v>1</v>
      </c>
      <c r="N62" s="372">
        <v>0.5</v>
      </c>
      <c r="O62" s="481">
        <f>L62*M62*N62</f>
        <v>0.5</v>
      </c>
      <c r="P62" s="489">
        <f>IF($F62="Prod",$I62*$O62*$F$4*$F$6,$I62*O62*$F$5*$F$7)</f>
        <v>70.776465056081889</v>
      </c>
      <c r="Q62" s="490">
        <f>+P62/J62</f>
        <v>42.381116800049035</v>
      </c>
      <c r="R62" s="491">
        <f>+$Q$4</f>
        <v>261.71052631578948</v>
      </c>
      <c r="S62" s="500">
        <f>+Q62*R62</f>
        <v>11091.58438359178</v>
      </c>
      <c r="T62" s="489">
        <f>IF($F62="Prod",$I62*$O62*$G$4*$G$6,$I62*$O62*$G$5*$G$7)</f>
        <v>1.1628092053541452</v>
      </c>
      <c r="U62" s="493">
        <f>+$R$4</f>
        <v>154.50490219883392</v>
      </c>
      <c r="V62" s="500">
        <f>+T62*U62</f>
        <v>179.65972254914598</v>
      </c>
      <c r="W62" s="489">
        <f>IF($F62="Prod",$I62*$O62*$J$4*$J$6,$I62*$O62*$J$5*$J$7)</f>
        <v>2.0646751326656965</v>
      </c>
      <c r="X62" s="493">
        <f>$S$4</f>
        <v>37.9060089869281</v>
      </c>
      <c r="Y62" s="763">
        <f>+W62*X62</f>
        <v>78.263594133912861</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1128.068432549838</v>
      </c>
      <c r="I63" s="487">
        <f>ITECountywide!$B$9*E63</f>
        <v>5.5464964058611672</v>
      </c>
      <c r="J63" s="495">
        <f>IF(F63="Prod",$M$3,$M$4)</f>
        <v>1.67</v>
      </c>
      <c r="K63" s="372">
        <f>IF(F63="Prod",$F$4,$F$5)</f>
        <v>0.8872439567052266</v>
      </c>
      <c r="L63" s="488">
        <f>Passby_Length_Adj!H58</f>
        <v>0.39123867069486401</v>
      </c>
      <c r="M63" s="488">
        <f>Passby_Length_Adj!J58</f>
        <v>0.89</v>
      </c>
      <c r="N63" s="372">
        <v>0.5</v>
      </c>
      <c r="O63" s="481">
        <f>L63*M63*N63</f>
        <v>0.17410120845921448</v>
      </c>
      <c r="P63" s="489">
        <f>IF($F63="Prod",$I63*$O63*$F$4*$F$6,$I63*O63*$F$5*$F$7)</f>
        <v>7.0347276820913773</v>
      </c>
      <c r="Q63" s="490">
        <f>+P63/J63</f>
        <v>4.21241178568346</v>
      </c>
      <c r="R63" s="491">
        <f>+$Q$4</f>
        <v>261.71052631578948</v>
      </c>
      <c r="S63" s="500">
        <f>+Q63*R63</f>
        <v>1102.432505490053</v>
      </c>
      <c r="T63" s="489">
        <f>IF($F63="Prod",$I63*$O63*$G$4*$G$6,$I63*$O63*$G$5*$G$7)</f>
        <v>0.11557579344226605</v>
      </c>
      <c r="U63" s="493">
        <f>+$R$4</f>
        <v>154.50490219883392</v>
      </c>
      <c r="V63" s="500">
        <f>+T63*U63</f>
        <v>17.857026662349949</v>
      </c>
      <c r="W63" s="489">
        <f>IF($F63="Prod",$I63*$O63*$J$4*$J$6,$I63*$O63*$J$5*$J$7)</f>
        <v>0.20521549499229988</v>
      </c>
      <c r="X63" s="493">
        <f>$S$4</f>
        <v>37.9060089869281</v>
      </c>
      <c r="Y63" s="763">
        <f>+W63*X63</f>
        <v>7.7789003974350175</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28945.812176676845</v>
      </c>
      <c r="I64" s="487">
        <f>ITECountywide!$B$9*E64</f>
        <v>69.168072826033367</v>
      </c>
      <c r="J64" s="495">
        <f>IF(F64="Prod",$M$3,$M$4)</f>
        <v>1.67</v>
      </c>
      <c r="K64" s="372">
        <f>IF(F64="Prod",$F$4,$F$5)</f>
        <v>0.8872439567052266</v>
      </c>
      <c r="L64" s="488">
        <f>Passby_Length_Adj!H59</f>
        <v>0.7703927492447129</v>
      </c>
      <c r="M64" s="488">
        <f>Passby_Length_Adj!J59</f>
        <v>0.93</v>
      </c>
      <c r="N64" s="372">
        <v>0.5</v>
      </c>
      <c r="O64" s="481">
        <f>L64*M64*N64</f>
        <v>0.3582326283987915</v>
      </c>
      <c r="P64" s="489">
        <f>IF($F64="Prod",$I64*$O64*$F$4*$F$6,$I64*O64*$F$5*$F$7)</f>
        <v>180.50846945483525</v>
      </c>
      <c r="Q64" s="490">
        <f>+P64/J64</f>
        <v>108.08890386517081</v>
      </c>
      <c r="R64" s="491">
        <f>+$Q$4</f>
        <v>261.71052631578948</v>
      </c>
      <c r="S64" s="500">
        <f>+Q64*R64</f>
        <v>28288.003919450624</v>
      </c>
      <c r="T64" s="489">
        <f>IF($F64="Prod",$I64*$O64*$G$4*$G$6,$I64*$O64*$G$5*$G$7)</f>
        <v>2.9656314392100782</v>
      </c>
      <c r="U64" s="493">
        <f>+$R$4</f>
        <v>154.50490219883392</v>
      </c>
      <c r="V64" s="500">
        <f>+T64*U64</f>
        <v>458.20459547294018</v>
      </c>
      <c r="W64" s="489">
        <f>IF($F64="Prod",$I64*$O64*$J$4*$J$6,$I64*$O64*$J$5*$J$7)</f>
        <v>5.2657525043618723</v>
      </c>
      <c r="X64" s="493">
        <f>$S$4</f>
        <v>37.9060089869281</v>
      </c>
      <c r="Y64" s="763">
        <f>+W64*X64</f>
        <v>199.60366175328028</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13941.390606038511</v>
      </c>
      <c r="I65" s="487">
        <f>ITECountywide!$B$9*E65</f>
        <v>38.970481283011466</v>
      </c>
      <c r="J65" s="495">
        <f>IF(F65="Prod",$M$3,$M$4)</f>
        <v>1.67</v>
      </c>
      <c r="K65" s="372">
        <f>IF(F65="Prod",$F$4,$F$5)</f>
        <v>0.8872439567052266</v>
      </c>
      <c r="L65" s="488">
        <f>Passby_Length_Adj!H60</f>
        <v>0.61247081225203326</v>
      </c>
      <c r="M65" s="488">
        <f>Passby_Length_Adj!J60</f>
        <v>1</v>
      </c>
      <c r="N65" s="372">
        <v>0.5</v>
      </c>
      <c r="O65" s="481">
        <f>L65*M65*N65</f>
        <v>0.30623540612601663</v>
      </c>
      <c r="P65" s="489">
        <f>IF($F65="Prod",$I65*$O65*$F$4*$F$6,$I65*O65*$F$5*$F$7)</f>
        <v>86.939660390518824</v>
      </c>
      <c r="Q65" s="490">
        <f>+P65/J65</f>
        <v>52.059676880550199</v>
      </c>
      <c r="R65" s="491">
        <f>+$Q$4</f>
        <v>261.71052631578948</v>
      </c>
      <c r="S65" s="500">
        <f>+Q65*R65</f>
        <v>13624.56543623873</v>
      </c>
      <c r="T65" s="489">
        <f>IF($F65="Prod",$I65*$O65*$G$4*$G$6,$I65*$O65*$G$5*$G$7)</f>
        <v>1.4283595165759315</v>
      </c>
      <c r="U65" s="493">
        <f>+$R$4</f>
        <v>154.50490219883392</v>
      </c>
      <c r="V65" s="500">
        <f>+T65*U65</f>
        <v>220.688547413338</v>
      </c>
      <c r="W65" s="489">
        <f>IF($F65="Prod",$I65*$O65*$J$4*$J$6,$I65*$O65*$J$5*$J$7)</f>
        <v>2.5361842345258556</v>
      </c>
      <c r="X65" s="493">
        <f>$S$4</f>
        <v>37.9060089869281</v>
      </c>
      <c r="Y65" s="763">
        <f>+W65*X65</f>
        <v>96.136622386442454</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16172.01310300467</v>
      </c>
      <c r="I66" s="487">
        <f>ITECountywide!$B$9*E66</f>
        <v>45.205758288293303</v>
      </c>
      <c r="J66" s="495">
        <f>IF(F66="Prod",$M$3,$M$4)</f>
        <v>1.67</v>
      </c>
      <c r="K66" s="372">
        <f>IF(F66="Prod",$F$4,$F$5)</f>
        <v>0.8872439567052266</v>
      </c>
      <c r="L66" s="488">
        <f>Passby_Length_Adj!H61</f>
        <v>0.61247081225203326</v>
      </c>
      <c r="M66" s="488">
        <f>Passby_Length_Adj!J61</f>
        <v>1</v>
      </c>
      <c r="N66" s="372">
        <v>0.5</v>
      </c>
      <c r="O66" s="481">
        <f>L66*M66*N66</f>
        <v>0.30623540612601663</v>
      </c>
      <c r="P66" s="489">
        <f>IF($F66="Prod",$I66*$O66*$F$4*$F$6,$I66*O66*$F$5*$F$7)</f>
        <v>100.85000605300183</v>
      </c>
      <c r="Q66" s="490">
        <f>+P66/J66</f>
        <v>60.389225181438228</v>
      </c>
      <c r="R66" s="491">
        <f>+$Q$4</f>
        <v>261.71052631578948</v>
      </c>
      <c r="S66" s="500">
        <f>+Q66*R66</f>
        <v>15804.495906036926</v>
      </c>
      <c r="T66" s="489">
        <f>IF($F66="Prod",$I66*$O66*$G$4*$G$6,$I66*$O66*$G$5*$G$7)</f>
        <v>1.6568970392280806</v>
      </c>
      <c r="U66" s="493">
        <f>+$R$4</f>
        <v>154.50490219883392</v>
      </c>
      <c r="V66" s="500">
        <f>+T66*U66</f>
        <v>255.99871499947207</v>
      </c>
      <c r="W66" s="489">
        <f>IF($F66="Prod",$I66*$O66*$J$4*$J$6,$I66*$O66*$J$5*$J$7)</f>
        <v>2.9419737120499923</v>
      </c>
      <c r="X66" s="493">
        <f>$S$4</f>
        <v>37.9060089869281</v>
      </c>
      <c r="Y66" s="763">
        <f>+W66*X66</f>
        <v>111.51848196827324</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14527.586189517488</v>
      </c>
      <c r="I68" s="487">
        <f>ITECountywide!$B$9*E68</f>
        <v>20.049119939245994</v>
      </c>
      <c r="J68" s="495">
        <f t="shared" ref="J68:J87" si="53">IF(F68="Prod",$M$3,$M$4)</f>
        <v>1.67</v>
      </c>
      <c r="K68" s="372">
        <f t="shared" ref="K68:K87" si="54">IF(F68="Prod",$F$4,$F$5)</f>
        <v>0.8872439567052266</v>
      </c>
      <c r="L68" s="488">
        <f>Passby_Length_Adj!H63</f>
        <v>1.2405469854222484</v>
      </c>
      <c r="M68" s="488">
        <f>Passby_Length_Adj!J63</f>
        <v>1</v>
      </c>
      <c r="N68" s="372">
        <v>0.5</v>
      </c>
      <c r="O68" s="481">
        <f t="shared" ref="O68:O87" si="55">L68*M68*N68</f>
        <v>0.6202734927111242</v>
      </c>
      <c r="P68" s="489">
        <f t="shared" ref="P68:P87" si="56">IF($F68="Prod",$I68*$O68*$F$4*$F$6,$I68*O68*$F$5*$F$7)</f>
        <v>90.595224343228836</v>
      </c>
      <c r="Q68" s="490">
        <f t="shared" ref="Q68:Q87" si="57">+P68/J68</f>
        <v>54.248637331274757</v>
      </c>
      <c r="R68" s="491">
        <f t="shared" ref="R68:R87" si="58">+$Q$4</f>
        <v>261.71052631578948</v>
      </c>
      <c r="S68" s="500">
        <f t="shared" ref="S68:S87" si="59">+Q68*R68</f>
        <v>14197.439427882302</v>
      </c>
      <c r="T68" s="489">
        <f t="shared" ref="T68:T87" si="60">IF($F68="Prod",$I68*$O68*$G$4*$G$6,$I68*$O68*$G$5*$G$7)</f>
        <v>1.4884179471800001</v>
      </c>
      <c r="U68" s="493">
        <f t="shared" ref="U68:U87" si="61">+$R$4</f>
        <v>154.50490219883392</v>
      </c>
      <c r="V68" s="500">
        <f t="shared" ref="V68:V87" si="62">+T68*U68</f>
        <v>229.96786936003505</v>
      </c>
      <c r="W68" s="489">
        <f t="shared" ref="W68:W87" si="63">IF($F68="Prod",$I68*$O68*$J$4*$J$6,$I68*$O68*$J$5*$J$7)</f>
        <v>2.6428235246210723</v>
      </c>
      <c r="X68" s="493">
        <f t="shared" ref="X68:X87" si="64">$S$4</f>
        <v>37.9060089869281</v>
      </c>
      <c r="Y68" s="763">
        <f t="shared" ref="Y68:Y87" si="65">+W68*X68</f>
        <v>100.17889227515137</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14056.584998398916</v>
      </c>
      <c r="I69" s="487">
        <f>ITECountywide!$B$9*E69</f>
        <v>19.399104220937762</v>
      </c>
      <c r="J69" s="495">
        <f t="shared" si="53"/>
        <v>1.67</v>
      </c>
      <c r="K69" s="372">
        <f t="shared" si="54"/>
        <v>0.8872439567052266</v>
      </c>
      <c r="L69" s="488">
        <f>Passby_Length_Adj!H64</f>
        <v>1.2405469854222484</v>
      </c>
      <c r="M69" s="488">
        <f>Passby_Length_Adj!J64</f>
        <v>1</v>
      </c>
      <c r="N69" s="372">
        <v>0.5</v>
      </c>
      <c r="O69" s="481">
        <f t="shared" si="55"/>
        <v>0.6202734927111242</v>
      </c>
      <c r="P69" s="489">
        <f t="shared" si="56"/>
        <v>87.658022111649274</v>
      </c>
      <c r="Q69" s="490">
        <f t="shared" si="57"/>
        <v>52.489833599789989</v>
      </c>
      <c r="R69" s="491">
        <f t="shared" si="58"/>
        <v>261.71052631578948</v>
      </c>
      <c r="S69" s="500">
        <f t="shared" si="59"/>
        <v>13737.14197762925</v>
      </c>
      <c r="T69" s="489">
        <f t="shared" si="60"/>
        <v>1.4401617112947926</v>
      </c>
      <c r="U69" s="493">
        <f t="shared" si="61"/>
        <v>154.50490219883392</v>
      </c>
      <c r="V69" s="500">
        <f t="shared" si="62"/>
        <v>222.51204435410722</v>
      </c>
      <c r="W69" s="489">
        <f t="shared" si="63"/>
        <v>2.5571401212136373</v>
      </c>
      <c r="X69" s="493">
        <f t="shared" si="64"/>
        <v>37.9060089869281</v>
      </c>
      <c r="Y69" s="763">
        <f t="shared" si="65"/>
        <v>96.930976415558547</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13842.813269206175</v>
      </c>
      <c r="I70" s="487">
        <f>ITECountywide!$B$9*E70</f>
        <v>19.10408376934355</v>
      </c>
      <c r="J70" s="495">
        <f t="shared" si="53"/>
        <v>1.67</v>
      </c>
      <c r="K70" s="372">
        <f t="shared" si="54"/>
        <v>0.8872439567052266</v>
      </c>
      <c r="L70" s="488">
        <f>Passby_Length_Adj!H65</f>
        <v>1.2405469854222484</v>
      </c>
      <c r="M70" s="488">
        <f>Passby_Length_Adj!J65</f>
        <v>1</v>
      </c>
      <c r="N70" s="372">
        <v>0.5</v>
      </c>
      <c r="O70" s="481">
        <f t="shared" si="55"/>
        <v>0.6202734927111242</v>
      </c>
      <c r="P70" s="489">
        <f t="shared" si="56"/>
        <v>86.324923996669213</v>
      </c>
      <c r="Q70" s="490">
        <f t="shared" si="57"/>
        <v>51.691571255490551</v>
      </c>
      <c r="R70" s="491">
        <f t="shared" si="58"/>
        <v>261.71052631578948</v>
      </c>
      <c r="S70" s="500">
        <f t="shared" si="59"/>
        <v>13528.228319364567</v>
      </c>
      <c r="T70" s="489">
        <f t="shared" si="60"/>
        <v>1.4182598155373429</v>
      </c>
      <c r="U70" s="493">
        <f t="shared" si="61"/>
        <v>154.50490219883392</v>
      </c>
      <c r="V70" s="500">
        <f t="shared" si="62"/>
        <v>219.12809409213341</v>
      </c>
      <c r="W70" s="489">
        <f t="shared" si="63"/>
        <v>2.5182512825972707</v>
      </c>
      <c r="X70" s="493">
        <f t="shared" si="64"/>
        <v>37.9060089869281</v>
      </c>
      <c r="Y70" s="763">
        <f t="shared" si="65"/>
        <v>95.456855749475352</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13703.784469413866</v>
      </c>
      <c r="I71" s="487">
        <f>ITECountywide!$B$9*E71</f>
        <v>18.912213967596532</v>
      </c>
      <c r="J71" s="495">
        <f t="shared" si="53"/>
        <v>1.67</v>
      </c>
      <c r="K71" s="372">
        <f t="shared" si="54"/>
        <v>0.8872439567052266</v>
      </c>
      <c r="L71" s="488">
        <f>Passby_Length_Adj!H66</f>
        <v>1.2405469854222484</v>
      </c>
      <c r="M71" s="488">
        <f>Passby_Length_Adj!J66</f>
        <v>1</v>
      </c>
      <c r="N71" s="372">
        <v>0.5</v>
      </c>
      <c r="O71" s="481">
        <f t="shared" si="55"/>
        <v>0.6202734927111242</v>
      </c>
      <c r="P71" s="489">
        <f t="shared" si="56"/>
        <v>85.457928947178999</v>
      </c>
      <c r="Q71" s="490">
        <f t="shared" si="57"/>
        <v>51.172412543220958</v>
      </c>
      <c r="R71" s="491">
        <f t="shared" si="58"/>
        <v>261.71052631578948</v>
      </c>
      <c r="S71" s="500">
        <f t="shared" si="59"/>
        <v>13392.359019535064</v>
      </c>
      <c r="T71" s="489">
        <f t="shared" si="60"/>
        <v>1.4040156762779881</v>
      </c>
      <c r="U71" s="493">
        <f t="shared" si="61"/>
        <v>154.50490219883392</v>
      </c>
      <c r="V71" s="500">
        <f t="shared" si="62"/>
        <v>216.92730474896021</v>
      </c>
      <c r="W71" s="489">
        <f t="shared" si="63"/>
        <v>2.4929594978576928</v>
      </c>
      <c r="X71" s="493">
        <f t="shared" si="64"/>
        <v>37.9060089869281</v>
      </c>
      <c r="Y71" s="763">
        <f t="shared" si="65"/>
        <v>94.498145129841461</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13557.93229156616</v>
      </c>
      <c r="I72" s="487">
        <f>ITECountywide!$B$9*E72</f>
        <v>18.710927410496026</v>
      </c>
      <c r="J72" s="495">
        <f t="shared" si="53"/>
        <v>1.67</v>
      </c>
      <c r="K72" s="372">
        <f t="shared" si="54"/>
        <v>0.8872439567052266</v>
      </c>
      <c r="L72" s="488">
        <f>Passby_Length_Adj!H67</f>
        <v>1.2405469854222484</v>
      </c>
      <c r="M72" s="488">
        <f>Passby_Length_Adj!J67</f>
        <v>1</v>
      </c>
      <c r="N72" s="372">
        <v>0.5</v>
      </c>
      <c r="O72" s="481">
        <f t="shared" si="55"/>
        <v>0.6202734927111242</v>
      </c>
      <c r="P72" s="489">
        <f t="shared" si="56"/>
        <v>84.54838274998653</v>
      </c>
      <c r="Q72" s="490">
        <f t="shared" si="57"/>
        <v>50.62777410178834</v>
      </c>
      <c r="R72" s="491">
        <f t="shared" si="58"/>
        <v>261.71052631578948</v>
      </c>
      <c r="S72" s="500">
        <f t="shared" si="59"/>
        <v>13249.821406375922</v>
      </c>
      <c r="T72" s="489">
        <f t="shared" si="60"/>
        <v>1.3890724505891634</v>
      </c>
      <c r="U72" s="493">
        <f t="shared" si="61"/>
        <v>154.50490219883392</v>
      </c>
      <c r="V72" s="500">
        <f t="shared" si="62"/>
        <v>214.61850312537325</v>
      </c>
      <c r="W72" s="489">
        <f t="shared" si="63"/>
        <v>2.4664264206000772</v>
      </c>
      <c r="X72" s="493">
        <f t="shared" si="64"/>
        <v>37.9060089869281</v>
      </c>
      <c r="Y72" s="763">
        <f t="shared" si="65"/>
        <v>93.492382064863435</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13421.764663100421</v>
      </c>
      <c r="I73" s="487">
        <f>ITECountywide!$B$9*E73</f>
        <v>18.523006232171017</v>
      </c>
      <c r="J73" s="495">
        <f t="shared" si="53"/>
        <v>1.67</v>
      </c>
      <c r="K73" s="372">
        <f t="shared" si="54"/>
        <v>0.8872439567052266</v>
      </c>
      <c r="L73" s="488">
        <f>Passby_Length_Adj!H68</f>
        <v>1.2405469854222484</v>
      </c>
      <c r="M73" s="488">
        <f>Passby_Length_Adj!J68</f>
        <v>1</v>
      </c>
      <c r="N73" s="372">
        <v>0.5</v>
      </c>
      <c r="O73" s="481">
        <f t="shared" si="55"/>
        <v>0.6202734927111242</v>
      </c>
      <c r="P73" s="489">
        <f t="shared" si="56"/>
        <v>83.699230200608426</v>
      </c>
      <c r="Q73" s="490">
        <f t="shared" si="57"/>
        <v>50.119299521322411</v>
      </c>
      <c r="R73" s="491">
        <f t="shared" si="58"/>
        <v>261.71052631578948</v>
      </c>
      <c r="S73" s="500">
        <f t="shared" si="59"/>
        <v>13116.748256303983</v>
      </c>
      <c r="T73" s="489">
        <f t="shared" si="60"/>
        <v>1.3751214514768964</v>
      </c>
      <c r="U73" s="493">
        <f t="shared" si="61"/>
        <v>154.50490219883392</v>
      </c>
      <c r="V73" s="500">
        <f t="shared" si="62"/>
        <v>212.4630053719564</v>
      </c>
      <c r="W73" s="489">
        <f t="shared" si="63"/>
        <v>2.4416551332639349</v>
      </c>
      <c r="X73" s="493">
        <f t="shared" si="64"/>
        <v>37.9060089869281</v>
      </c>
      <c r="Y73" s="763">
        <f t="shared" si="65"/>
        <v>92.553401424481848</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13320.952679842529</v>
      </c>
      <c r="I74" s="487">
        <f>ITECountywide!$B$9*E74</f>
        <v>18.383878402035741</v>
      </c>
      <c r="J74" s="495">
        <f t="shared" si="53"/>
        <v>1.67</v>
      </c>
      <c r="K74" s="372">
        <f t="shared" si="54"/>
        <v>0.8872439567052266</v>
      </c>
      <c r="L74" s="488">
        <f>Passby_Length_Adj!H69</f>
        <v>1.2405469854222484</v>
      </c>
      <c r="M74" s="488">
        <f>Passby_Length_Adj!J69</f>
        <v>1</v>
      </c>
      <c r="N74" s="372">
        <v>0.5</v>
      </c>
      <c r="O74" s="481">
        <f t="shared" si="55"/>
        <v>0.6202734927111242</v>
      </c>
      <c r="P74" s="489">
        <f t="shared" si="56"/>
        <v>83.070558367546113</v>
      </c>
      <c r="Q74" s="490">
        <f t="shared" si="57"/>
        <v>49.742849321883902</v>
      </c>
      <c r="R74" s="491">
        <f t="shared" si="58"/>
        <v>261.71052631578948</v>
      </c>
      <c r="S74" s="500">
        <f t="shared" si="59"/>
        <v>13018.227276477248</v>
      </c>
      <c r="T74" s="489">
        <f t="shared" si="60"/>
        <v>1.3647928006456846</v>
      </c>
      <c r="U74" s="493">
        <f t="shared" si="61"/>
        <v>154.50490219883392</v>
      </c>
      <c r="V74" s="500">
        <f t="shared" si="62"/>
        <v>210.86717818543414</v>
      </c>
      <c r="W74" s="489">
        <f t="shared" si="63"/>
        <v>2.4233156598344183</v>
      </c>
      <c r="X74" s="493">
        <f t="shared" si="64"/>
        <v>37.9060089869281</v>
      </c>
      <c r="Y74" s="763">
        <f t="shared" si="65"/>
        <v>91.858225179847054</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13240.999839040393</v>
      </c>
      <c r="I75" s="487">
        <f>ITECountywide!$B$9*E75</f>
        <v>18.273537697543336</v>
      </c>
      <c r="J75" s="495">
        <f t="shared" si="53"/>
        <v>1.67</v>
      </c>
      <c r="K75" s="372">
        <f t="shared" si="54"/>
        <v>0.8872439567052266</v>
      </c>
      <c r="L75" s="488">
        <f>Passby_Length_Adj!H70</f>
        <v>1.2405469854222484</v>
      </c>
      <c r="M75" s="488">
        <f>Passby_Length_Adj!J70</f>
        <v>1</v>
      </c>
      <c r="N75" s="372">
        <v>0.5</v>
      </c>
      <c r="O75" s="481">
        <f t="shared" si="55"/>
        <v>0.6202734927111242</v>
      </c>
      <c r="P75" s="489">
        <f t="shared" si="56"/>
        <v>82.571965865333013</v>
      </c>
      <c r="Q75" s="490">
        <f t="shared" si="57"/>
        <v>49.444290937325157</v>
      </c>
      <c r="R75" s="491">
        <f t="shared" si="58"/>
        <v>261.71052631578948</v>
      </c>
      <c r="S75" s="500">
        <f t="shared" si="59"/>
        <v>12940.091404518387</v>
      </c>
      <c r="T75" s="489">
        <f t="shared" si="60"/>
        <v>1.3566012647893153</v>
      </c>
      <c r="U75" s="493">
        <f t="shared" si="61"/>
        <v>154.50490219883392</v>
      </c>
      <c r="V75" s="500">
        <f t="shared" si="62"/>
        <v>209.60154573908756</v>
      </c>
      <c r="W75" s="489">
        <f t="shared" si="63"/>
        <v>2.4087708314110539</v>
      </c>
      <c r="X75" s="493">
        <f t="shared" si="64"/>
        <v>37.9060089869281</v>
      </c>
      <c r="Y75" s="763">
        <f t="shared" si="65"/>
        <v>91.306888782917682</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13174.806951224236</v>
      </c>
      <c r="I76" s="487">
        <f>ITECountywide!$B$9*E76</f>
        <v>18.182186723634896</v>
      </c>
      <c r="J76" s="495">
        <f t="shared" si="53"/>
        <v>1.67</v>
      </c>
      <c r="K76" s="372">
        <f t="shared" si="54"/>
        <v>0.8872439567052266</v>
      </c>
      <c r="L76" s="488">
        <f>Passby_Length_Adj!H71</f>
        <v>1.2405469854222484</v>
      </c>
      <c r="M76" s="488">
        <f>Passby_Length_Adj!J71</f>
        <v>1</v>
      </c>
      <c r="N76" s="372">
        <v>0.5</v>
      </c>
      <c r="O76" s="481">
        <f t="shared" si="55"/>
        <v>0.6202734927111242</v>
      </c>
      <c r="P76" s="489">
        <f t="shared" si="56"/>
        <v>82.159181563563877</v>
      </c>
      <c r="Q76" s="490">
        <f t="shared" si="57"/>
        <v>49.197114708720889</v>
      </c>
      <c r="R76" s="491">
        <f t="shared" si="58"/>
        <v>261.71052631578948</v>
      </c>
      <c r="S76" s="500">
        <f t="shared" si="59"/>
        <v>12875.402783637612</v>
      </c>
      <c r="T76" s="489">
        <f t="shared" si="60"/>
        <v>1.3498194993317936</v>
      </c>
      <c r="U76" s="493">
        <f t="shared" si="61"/>
        <v>154.50490219883392</v>
      </c>
      <c r="V76" s="500">
        <f t="shared" si="62"/>
        <v>208.55372973033772</v>
      </c>
      <c r="W76" s="489">
        <f t="shared" si="63"/>
        <v>2.3967291805269331</v>
      </c>
      <c r="X76" s="493">
        <f t="shared" si="64"/>
        <v>37.9060089869281</v>
      </c>
      <c r="Y76" s="763">
        <f t="shared" si="65"/>
        <v>90.850437856286746</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6">+S77+V77+Y77</f>
        <v>13092.993773921344</v>
      </c>
      <c r="I77" s="487">
        <f>ITECountywide!$B$9*E77</f>
        <v>18.069278620185472</v>
      </c>
      <c r="J77" s="495">
        <f t="shared" si="53"/>
        <v>1.67</v>
      </c>
      <c r="K77" s="372">
        <f t="shared" si="54"/>
        <v>0.8872439567052266</v>
      </c>
      <c r="L77" s="488">
        <f>Passby_Length_Adj!H72</f>
        <v>1.2405469854222484</v>
      </c>
      <c r="M77" s="488">
        <f>Passby_Length_Adj!J72</f>
        <v>1</v>
      </c>
      <c r="N77" s="372">
        <v>0.5</v>
      </c>
      <c r="O77" s="481">
        <f t="shared" si="55"/>
        <v>0.6202734927111242</v>
      </c>
      <c r="P77" s="489">
        <f t="shared" si="56"/>
        <v>81.648987849666938</v>
      </c>
      <c r="Q77" s="490">
        <f t="shared" si="57"/>
        <v>48.891609490818524</v>
      </c>
      <c r="R77" s="491">
        <f t="shared" si="58"/>
        <v>261.71052631578948</v>
      </c>
      <c r="S77" s="500">
        <f t="shared" si="59"/>
        <v>12795.448852268164</v>
      </c>
      <c r="T77" s="489">
        <f t="shared" si="60"/>
        <v>1.3414373634542376</v>
      </c>
      <c r="U77" s="493">
        <f t="shared" si="61"/>
        <v>154.50490219883392</v>
      </c>
      <c r="V77" s="500">
        <f t="shared" si="62"/>
        <v>207.25864864635861</v>
      </c>
      <c r="W77" s="489">
        <f t="shared" si="63"/>
        <v>2.3818459241635259</v>
      </c>
      <c r="X77" s="493">
        <f t="shared" si="64"/>
        <v>37.9060089869281</v>
      </c>
      <c r="Y77" s="763">
        <f t="shared" si="65"/>
        <v>90.286273006820679</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6"/>
        <v>21263.869827866165</v>
      </c>
      <c r="I78" s="487">
        <f>ITECountywide!$B$9*E78</f>
        <v>29.345678696370033</v>
      </c>
      <c r="J78" s="495">
        <f t="shared" si="53"/>
        <v>1.67</v>
      </c>
      <c r="K78" s="372">
        <f t="shared" si="54"/>
        <v>0.8872439567052266</v>
      </c>
      <c r="L78" s="488">
        <f>Passby_Length_Adj!H73</f>
        <v>1.2405469854222484</v>
      </c>
      <c r="M78" s="488">
        <f>Passby_Length_Adj!J73</f>
        <v>1</v>
      </c>
      <c r="N78" s="372">
        <v>0.5</v>
      </c>
      <c r="O78" s="481">
        <f t="shared" si="55"/>
        <v>0.6202734927111242</v>
      </c>
      <c r="P78" s="489">
        <f t="shared" si="56"/>
        <v>132.60324408543281</v>
      </c>
      <c r="Q78" s="490">
        <f t="shared" si="57"/>
        <v>79.403140170917851</v>
      </c>
      <c r="R78" s="491">
        <f t="shared" si="58"/>
        <v>261.71052631578948</v>
      </c>
      <c r="S78" s="500">
        <f t="shared" si="59"/>
        <v>20780.637605257318</v>
      </c>
      <c r="T78" s="489">
        <f t="shared" si="60"/>
        <v>2.178581153497634</v>
      </c>
      <c r="U78" s="493">
        <f t="shared" si="61"/>
        <v>154.50490219883392</v>
      </c>
      <c r="V78" s="500">
        <f t="shared" si="62"/>
        <v>336.60146805337473</v>
      </c>
      <c r="W78" s="489">
        <f t="shared" si="63"/>
        <v>3.8682720358674691</v>
      </c>
      <c r="X78" s="493">
        <f t="shared" si="64"/>
        <v>37.9060089869281</v>
      </c>
      <c r="Y78" s="763">
        <f t="shared" si="65"/>
        <v>146.63075455547494</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6"/>
        <v>10441.492596141818</v>
      </c>
      <c r="I79" s="487">
        <f>ITECountywide!$B$9*E79</f>
        <v>14.410015172090286</v>
      </c>
      <c r="J79" s="495">
        <f t="shared" si="53"/>
        <v>1.67</v>
      </c>
      <c r="K79" s="372">
        <f t="shared" si="54"/>
        <v>0.8872439567052266</v>
      </c>
      <c r="L79" s="488">
        <f>Passby_Length_Adj!H74</f>
        <v>1.2405469854222484</v>
      </c>
      <c r="M79" s="488">
        <f>Passby_Length_Adj!J74</f>
        <v>1</v>
      </c>
      <c r="N79" s="372">
        <v>0.5</v>
      </c>
      <c r="O79" s="481">
        <f t="shared" si="55"/>
        <v>0.6202734927111242</v>
      </c>
      <c r="P79" s="489">
        <f t="shared" si="56"/>
        <v>65.114008059245876</v>
      </c>
      <c r="Q79" s="490">
        <f t="shared" si="57"/>
        <v>38.990423987572385</v>
      </c>
      <c r="R79" s="491">
        <f t="shared" si="58"/>
        <v>261.71052631578948</v>
      </c>
      <c r="S79" s="500">
        <f t="shared" si="59"/>
        <v>10204.204383063352</v>
      </c>
      <c r="T79" s="489">
        <f t="shared" si="60"/>
        <v>1.0697788863685109</v>
      </c>
      <c r="U79" s="493">
        <f t="shared" si="61"/>
        <v>154.50490219883392</v>
      </c>
      <c r="V79" s="500">
        <f t="shared" si="62"/>
        <v>165.28608221274425</v>
      </c>
      <c r="W79" s="489">
        <f t="shared" si="63"/>
        <v>1.8994912097063852</v>
      </c>
      <c r="X79" s="493">
        <f t="shared" si="64"/>
        <v>37.9060089869281</v>
      </c>
      <c r="Y79" s="763">
        <f t="shared" si="65"/>
        <v>72.00213086572117</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6"/>
        <v>14775.697070012004</v>
      </c>
      <c r="I80" s="487">
        <f>ITECountywide!$B$9*E80</f>
        <v>20.391530903901348</v>
      </c>
      <c r="J80" s="495">
        <f t="shared" si="53"/>
        <v>1.67</v>
      </c>
      <c r="K80" s="372">
        <f t="shared" si="54"/>
        <v>0.8872439567052266</v>
      </c>
      <c r="L80" s="488">
        <f>Passby_Length_Adj!H75</f>
        <v>1.2405469854222484</v>
      </c>
      <c r="M80" s="488">
        <f>Passby_Length_Adj!J75</f>
        <v>1</v>
      </c>
      <c r="N80" s="372">
        <v>0.5</v>
      </c>
      <c r="O80" s="481">
        <f t="shared" si="55"/>
        <v>0.6202734927111242</v>
      </c>
      <c r="P80" s="489">
        <f t="shared" si="56"/>
        <v>92.142464234781897</v>
      </c>
      <c r="Q80" s="490">
        <f t="shared" si="57"/>
        <v>55.175128284300541</v>
      </c>
      <c r="R80" s="491">
        <f t="shared" si="58"/>
        <v>261.71052631578948</v>
      </c>
      <c r="S80" s="500">
        <f t="shared" si="59"/>
        <v>14439.911862825496</v>
      </c>
      <c r="T80" s="489">
        <f t="shared" si="60"/>
        <v>1.5138380467478925</v>
      </c>
      <c r="U80" s="493">
        <f t="shared" si="61"/>
        <v>154.50490219883392</v>
      </c>
      <c r="V80" s="500">
        <f t="shared" si="62"/>
        <v>233.89539935765688</v>
      </c>
      <c r="W80" s="489">
        <f t="shared" si="63"/>
        <v>2.6879592590184695</v>
      </c>
      <c r="X80" s="493">
        <f t="shared" si="64"/>
        <v>37.9060089869281</v>
      </c>
      <c r="Y80" s="763">
        <f t="shared" si="65"/>
        <v>101.88980782885071</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6"/>
        <v>30194.904132444593</v>
      </c>
      <c r="I81" s="487">
        <f>ITECountywide!$B$9*E81</f>
        <v>63.077802262734835</v>
      </c>
      <c r="J81" s="495">
        <f t="shared" si="53"/>
        <v>1.67</v>
      </c>
      <c r="K81" s="372">
        <f t="shared" si="54"/>
        <v>0.8872439567052266</v>
      </c>
      <c r="L81" s="488">
        <f>Passby_Length_Adj!H76</f>
        <v>0.892749244712991</v>
      </c>
      <c r="M81" s="488">
        <f>Passby_Length_Adj!J76</f>
        <v>0.91800000000000004</v>
      </c>
      <c r="N81" s="372">
        <v>0.5</v>
      </c>
      <c r="O81" s="481">
        <f t="shared" si="55"/>
        <v>0.40977190332326291</v>
      </c>
      <c r="P81" s="489">
        <f t="shared" si="56"/>
        <v>188.29790979832151</v>
      </c>
      <c r="Q81" s="490">
        <f t="shared" si="57"/>
        <v>112.75323940019253</v>
      </c>
      <c r="R81" s="491">
        <f t="shared" si="58"/>
        <v>261.71052631578948</v>
      </c>
      <c r="S81" s="500">
        <f t="shared" si="59"/>
        <v>29508.709627234599</v>
      </c>
      <c r="T81" s="489">
        <f t="shared" si="60"/>
        <v>3.0936066486075204</v>
      </c>
      <c r="U81" s="493">
        <f t="shared" si="61"/>
        <v>154.50490219883392</v>
      </c>
      <c r="V81" s="500">
        <f t="shared" si="62"/>
        <v>477.97739268476732</v>
      </c>
      <c r="W81" s="489">
        <f t="shared" si="63"/>
        <v>5.4929843075020193</v>
      </c>
      <c r="X81" s="493">
        <f t="shared" si="64"/>
        <v>37.9060089869281</v>
      </c>
      <c r="Y81" s="763">
        <f t="shared" si="65"/>
        <v>208.21711252522658</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6"/>
        <v>29669.599716584104</v>
      </c>
      <c r="I82" s="487">
        <f>ITECountywide!$B$9*E82</f>
        <v>40.946194055033907</v>
      </c>
      <c r="J82" s="495">
        <f t="shared" si="53"/>
        <v>1.67</v>
      </c>
      <c r="K82" s="372">
        <f t="shared" si="54"/>
        <v>0.8872439567052266</v>
      </c>
      <c r="L82" s="488">
        <f>Passby_Length_Adj!H77</f>
        <v>1.2405469854222484</v>
      </c>
      <c r="M82" s="488">
        <f>Passby_Length_Adj!J77</f>
        <v>1</v>
      </c>
      <c r="N82" s="372">
        <v>0.5</v>
      </c>
      <c r="O82" s="481">
        <f t="shared" si="55"/>
        <v>0.6202734927111242</v>
      </c>
      <c r="P82" s="489">
        <f t="shared" si="56"/>
        <v>185.02206818344203</v>
      </c>
      <c r="Q82" s="490">
        <f t="shared" si="57"/>
        <v>110.79165759487547</v>
      </c>
      <c r="R82" s="491">
        <f t="shared" si="58"/>
        <v>261.71052631578948</v>
      </c>
      <c r="S82" s="500">
        <f t="shared" si="59"/>
        <v>28995.343020553595</v>
      </c>
      <c r="T82" s="489">
        <f t="shared" si="60"/>
        <v>3.0397867978697684</v>
      </c>
      <c r="U82" s="493">
        <f t="shared" si="61"/>
        <v>154.50490219883392</v>
      </c>
      <c r="V82" s="500">
        <f t="shared" si="62"/>
        <v>469.66196191017508</v>
      </c>
      <c r="W82" s="489">
        <f t="shared" si="63"/>
        <v>5.3974221921090866</v>
      </c>
      <c r="X82" s="493">
        <f t="shared" si="64"/>
        <v>37.9060089869281</v>
      </c>
      <c r="Y82" s="763">
        <f t="shared" si="65"/>
        <v>204.59473412033219</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6"/>
        <v>7268.9762183112416</v>
      </c>
      <c r="I83" s="487">
        <f>ITECountywide!$B$9*E83</f>
        <v>20.319027682909702</v>
      </c>
      <c r="J83" s="495">
        <f t="shared" si="53"/>
        <v>1.67</v>
      </c>
      <c r="K83" s="372">
        <f t="shared" si="54"/>
        <v>0.8872439567052266</v>
      </c>
      <c r="L83" s="488">
        <f>Passby_Length_Adj!H78</f>
        <v>0.61247081225203326</v>
      </c>
      <c r="M83" s="488">
        <f>Passby_Length_Adj!J78</f>
        <v>1</v>
      </c>
      <c r="N83" s="372">
        <v>0.5</v>
      </c>
      <c r="O83" s="481">
        <f t="shared" si="55"/>
        <v>0.30623540612601663</v>
      </c>
      <c r="P83" s="489">
        <f t="shared" si="56"/>
        <v>45.329934557103073</v>
      </c>
      <c r="Q83" s="490">
        <f t="shared" si="57"/>
        <v>27.143673387486871</v>
      </c>
      <c r="R83" s="491">
        <f t="shared" si="58"/>
        <v>261.71052631578948</v>
      </c>
      <c r="S83" s="500">
        <f t="shared" si="59"/>
        <v>7103.7850483830771</v>
      </c>
      <c r="T83" s="489">
        <f t="shared" si="60"/>
        <v>0.7447400084100555</v>
      </c>
      <c r="U83" s="493">
        <f t="shared" si="61"/>
        <v>154.50490219883392</v>
      </c>
      <c r="V83" s="500">
        <f t="shared" si="62"/>
        <v>115.06598216295437</v>
      </c>
      <c r="W83" s="489">
        <f t="shared" si="63"/>
        <v>1.3223546636760393</v>
      </c>
      <c r="X83" s="493">
        <f t="shared" si="64"/>
        <v>37.9060089869281</v>
      </c>
      <c r="Y83" s="763">
        <f t="shared" si="65"/>
        <v>50.125187765210228</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6"/>
        <v>44629.172127911814</v>
      </c>
      <c r="I84" s="487">
        <f>ITECountywide!$B$9*E84</f>
        <v>61.591486232406027</v>
      </c>
      <c r="J84" s="495">
        <f t="shared" si="53"/>
        <v>1.67</v>
      </c>
      <c r="K84" s="372">
        <f t="shared" si="54"/>
        <v>0.8872439567052266</v>
      </c>
      <c r="L84" s="488">
        <f>Passby_Length_Adj!H79</f>
        <v>1.2405469854222484</v>
      </c>
      <c r="M84" s="488">
        <f>Passby_Length_Adj!J79</f>
        <v>1</v>
      </c>
      <c r="N84" s="372">
        <v>0.5</v>
      </c>
      <c r="O84" s="481">
        <f t="shared" si="55"/>
        <v>0.6202734927111242</v>
      </c>
      <c r="P84" s="489">
        <f t="shared" si="56"/>
        <v>278.31119419536788</v>
      </c>
      <c r="Q84" s="490">
        <f t="shared" si="57"/>
        <v>166.65340969782508</v>
      </c>
      <c r="R84" s="491">
        <f t="shared" si="58"/>
        <v>261.71052631578948</v>
      </c>
      <c r="S84" s="500">
        <f t="shared" si="59"/>
        <v>43614.951564338699</v>
      </c>
      <c r="T84" s="489">
        <f t="shared" si="60"/>
        <v>4.5724637180883008</v>
      </c>
      <c r="U84" s="493">
        <f t="shared" si="61"/>
        <v>154.50490219883392</v>
      </c>
      <c r="V84" s="500">
        <f t="shared" si="62"/>
        <v>706.46805957094944</v>
      </c>
      <c r="W84" s="489">
        <f t="shared" si="63"/>
        <v>8.1188316107953415</v>
      </c>
      <c r="X84" s="493">
        <f t="shared" si="64"/>
        <v>37.9060089869281</v>
      </c>
      <c r="Y84" s="763">
        <f t="shared" si="65"/>
        <v>307.75250400216419</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6"/>
        <v>14539.285916891811</v>
      </c>
      <c r="I85" s="487">
        <f>ITECountywide!$B$9*E85</f>
        <v>20.065266409438927</v>
      </c>
      <c r="J85" s="495">
        <f t="shared" si="53"/>
        <v>1.67</v>
      </c>
      <c r="K85" s="372">
        <f t="shared" si="54"/>
        <v>0.8872439567052266</v>
      </c>
      <c r="L85" s="488">
        <f>Passby_Length_Adj!H80</f>
        <v>1.2405469854222484</v>
      </c>
      <c r="M85" s="488">
        <f>Passby_Length_Adj!J80</f>
        <v>1</v>
      </c>
      <c r="N85" s="372">
        <v>0.5</v>
      </c>
      <c r="O85" s="481">
        <f t="shared" si="55"/>
        <v>0.6202734927111242</v>
      </c>
      <c r="P85" s="489">
        <f t="shared" si="56"/>
        <v>90.668184807025384</v>
      </c>
      <c r="Q85" s="490">
        <f t="shared" si="57"/>
        <v>54.29232623175173</v>
      </c>
      <c r="R85" s="491">
        <f t="shared" si="58"/>
        <v>261.71052631578948</v>
      </c>
      <c r="S85" s="500">
        <f t="shared" si="59"/>
        <v>14208.873273020288</v>
      </c>
      <c r="T85" s="489">
        <f t="shared" si="60"/>
        <v>1.4896166379999261</v>
      </c>
      <c r="U85" s="493">
        <f t="shared" si="61"/>
        <v>154.50490219883392</v>
      </c>
      <c r="V85" s="500">
        <f t="shared" si="62"/>
        <v>230.15307296793435</v>
      </c>
      <c r="W85" s="489">
        <f t="shared" si="63"/>
        <v>2.6449519108741737</v>
      </c>
      <c r="X85" s="493">
        <f t="shared" si="64"/>
        <v>37.9060089869281</v>
      </c>
      <c r="Y85" s="763">
        <f t="shared" si="65"/>
        <v>100.25957090358908</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6"/>
        <v>14788.831022963124</v>
      </c>
      <c r="I86" s="487">
        <f>ITECountywide!$B$9*E86</f>
        <v>20.40965670914926</v>
      </c>
      <c r="J86" s="495">
        <f t="shared" si="53"/>
        <v>1.67</v>
      </c>
      <c r="K86" s="372">
        <f t="shared" si="54"/>
        <v>0.8872439567052266</v>
      </c>
      <c r="L86" s="488">
        <f>Passby_Length_Adj!H81</f>
        <v>1.2405469854222484</v>
      </c>
      <c r="M86" s="488">
        <f>Passby_Length_Adj!J81</f>
        <v>1</v>
      </c>
      <c r="N86" s="372">
        <v>0.5</v>
      </c>
      <c r="O86" s="481">
        <f t="shared" si="55"/>
        <v>0.6202734927111242</v>
      </c>
      <c r="P86" s="489">
        <f t="shared" si="56"/>
        <v>92.224368647435028</v>
      </c>
      <c r="Q86" s="490">
        <f t="shared" si="57"/>
        <v>55.224172842775467</v>
      </c>
      <c r="R86" s="491">
        <f t="shared" si="58"/>
        <v>261.71052631578948</v>
      </c>
      <c r="S86" s="500">
        <f t="shared" si="59"/>
        <v>14452.747340036896</v>
      </c>
      <c r="T86" s="489">
        <f t="shared" si="60"/>
        <v>1.5151836805672239</v>
      </c>
      <c r="U86" s="493">
        <f t="shared" si="61"/>
        <v>154.50490219883392</v>
      </c>
      <c r="V86" s="500">
        <f t="shared" si="62"/>
        <v>234.10330637930812</v>
      </c>
      <c r="W86" s="489">
        <f t="shared" si="63"/>
        <v>2.6903485561375966</v>
      </c>
      <c r="X86" s="493">
        <f t="shared" si="64"/>
        <v>37.9060089869281</v>
      </c>
      <c r="Y86" s="763">
        <f t="shared" si="65"/>
        <v>101.98037654692078</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6"/>
        <v>16338.637471195492</v>
      </c>
      <c r="I87" s="487">
        <f>ITECountywide!$B$9*E87</f>
        <v>22.548501728402911</v>
      </c>
      <c r="J87" s="495">
        <f t="shared" si="53"/>
        <v>1.67</v>
      </c>
      <c r="K87" s="372">
        <f t="shared" si="54"/>
        <v>0.8872439567052266</v>
      </c>
      <c r="L87" s="488">
        <f>Passby_Length_Adj!H82</f>
        <v>1.2405469854222484</v>
      </c>
      <c r="M87" s="488">
        <f>Passby_Length_Adj!J82</f>
        <v>1</v>
      </c>
      <c r="N87" s="372">
        <v>0.5</v>
      </c>
      <c r="O87" s="481">
        <f t="shared" si="55"/>
        <v>0.6202734927111242</v>
      </c>
      <c r="P87" s="489">
        <f t="shared" si="56"/>
        <v>101.88908934050548</v>
      </c>
      <c r="Q87" s="490">
        <f t="shared" si="57"/>
        <v>61.011430742817652</v>
      </c>
      <c r="R87" s="491">
        <f t="shared" si="58"/>
        <v>261.71052631578948</v>
      </c>
      <c r="S87" s="500">
        <f t="shared" si="59"/>
        <v>15967.333650982146</v>
      </c>
      <c r="T87" s="489">
        <f t="shared" si="60"/>
        <v>1.673968471248336</v>
      </c>
      <c r="U87" s="493">
        <f t="shared" si="61"/>
        <v>154.50490219883392</v>
      </c>
      <c r="V87" s="500">
        <f t="shared" si="62"/>
        <v>258.63633493415568</v>
      </c>
      <c r="W87" s="489">
        <f t="shared" si="63"/>
        <v>2.9722856161946449</v>
      </c>
      <c r="X87" s="493">
        <f t="shared" si="64"/>
        <v>37.9060089869281</v>
      </c>
      <c r="Y87" s="763">
        <f t="shared" si="65"/>
        <v>112.66748527919134</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6"/>
        <v>16722.767598730668</v>
      </c>
      <c r="I89" s="487">
        <f>ITECountywide!$B$9*E89</f>
        <v>32.717078472481724</v>
      </c>
      <c r="J89" s="495">
        <f t="shared" ref="J89:J126" si="67">IF(F89="Prod",$M$3,$M$4)</f>
        <v>1.67</v>
      </c>
      <c r="K89" s="372">
        <f t="shared" ref="K89:K126" si="68">IF(F89="Prod",$F$4,$F$5)</f>
        <v>0.8872439567052266</v>
      </c>
      <c r="L89" s="488">
        <f>Passby_Length_Adj!H84</f>
        <v>0.87508191706880245</v>
      </c>
      <c r="M89" s="488">
        <f>Passby_Length_Adj!J84</f>
        <v>1</v>
      </c>
      <c r="N89" s="372">
        <v>0.5</v>
      </c>
      <c r="O89" s="481">
        <f t="shared" ref="O89:O126" si="69">L89*M89*N89</f>
        <v>0.43754095853440123</v>
      </c>
      <c r="P89" s="489">
        <f t="shared" ref="P89:P126" si="70">IF($F89="Prod",$I89*$O89*$F$4*$F$6,$I89*O89*$F$5*$F$7)</f>
        <v>104.28455646264534</v>
      </c>
      <c r="Q89" s="490">
        <f t="shared" ref="Q89:Q126" si="71">+P89/J89</f>
        <v>62.445842193200804</v>
      </c>
      <c r="R89" s="491">
        <f t="shared" ref="R89:R126" si="72">+$Q$4</f>
        <v>261.71052631578948</v>
      </c>
      <c r="S89" s="500">
        <f t="shared" ref="S89:S126" si="73">+Q89*R89</f>
        <v>16342.734226615315</v>
      </c>
      <c r="T89" s="489">
        <f t="shared" ref="T89:T126" si="74">IF($F89="Prod",$I89*$O89*$G$4*$G$6,$I89*$O89*$G$5*$G$7)</f>
        <v>1.713324367569808</v>
      </c>
      <c r="U89" s="493">
        <f t="shared" ref="U89:U126" si="75">+$R$4</f>
        <v>154.50490219883392</v>
      </c>
      <c r="V89" s="500">
        <f t="shared" ref="V89:V126" si="76">+T89*U89</f>
        <v>264.71701384625214</v>
      </c>
      <c r="W89" s="489">
        <f t="shared" ref="W89:W126" si="77">IF($F89="Prod",$I89*$O89*$J$4*$J$6,$I89*$O89*$J$5*$J$7)</f>
        <v>3.0421656447363565</v>
      </c>
      <c r="X89" s="493">
        <f t="shared" ref="X89:X126" si="78">$S$4</f>
        <v>37.9060089869281</v>
      </c>
      <c r="Y89" s="763">
        <f t="shared" ref="Y89:Y126" si="79">+W89*X89</f>
        <v>115.31635826910025</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6"/>
        <v>46133.82705555515</v>
      </c>
      <c r="I90" s="487">
        <f>ITECountywide!$B$9*E90</f>
        <v>91.897832606915415</v>
      </c>
      <c r="J90" s="495">
        <f t="shared" si="67"/>
        <v>1.67</v>
      </c>
      <c r="K90" s="372">
        <f t="shared" si="68"/>
        <v>0.8872439567052266</v>
      </c>
      <c r="L90" s="488">
        <f>Passby_Length_Adj!H85</f>
        <v>0.8594671567024027</v>
      </c>
      <c r="M90" s="488">
        <f>Passby_Length_Adj!J85</f>
        <v>1</v>
      </c>
      <c r="N90" s="372">
        <v>0.5</v>
      </c>
      <c r="O90" s="481">
        <f t="shared" si="69"/>
        <v>0.42973357835120135</v>
      </c>
      <c r="P90" s="489">
        <f t="shared" si="70"/>
        <v>287.69434628620536</v>
      </c>
      <c r="Q90" s="490">
        <f t="shared" si="71"/>
        <v>172.27206364443435</v>
      </c>
      <c r="R90" s="491">
        <f t="shared" si="72"/>
        <v>261.71052631578948</v>
      </c>
      <c r="S90" s="500">
        <f t="shared" si="73"/>
        <v>45085.4124458921</v>
      </c>
      <c r="T90" s="489">
        <f t="shared" si="74"/>
        <v>4.7266225280517311</v>
      </c>
      <c r="U90" s="493">
        <f t="shared" si="75"/>
        <v>154.50490219883392</v>
      </c>
      <c r="V90" s="500">
        <f t="shared" si="76"/>
        <v>730.28635142743781</v>
      </c>
      <c r="W90" s="489">
        <f t="shared" si="77"/>
        <v>8.3925548148663758</v>
      </c>
      <c r="X90" s="493">
        <f t="shared" si="78"/>
        <v>37.9060089869281</v>
      </c>
      <c r="Y90" s="763">
        <f t="shared" si="79"/>
        <v>318.12825823561155</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6"/>
        <v>8316.8279938416981</v>
      </c>
      <c r="I91" s="487">
        <f>ITECountywide!$B$9*E91</f>
        <v>16.566985996591853</v>
      </c>
      <c r="J91" s="495">
        <f t="shared" si="67"/>
        <v>1.67</v>
      </c>
      <c r="K91" s="372">
        <f t="shared" si="68"/>
        <v>0.8872439567052266</v>
      </c>
      <c r="L91" s="488">
        <f>Passby_Length_Adj!H86</f>
        <v>0.8594671567024027</v>
      </c>
      <c r="M91" s="488">
        <f>Passby_Length_Adj!J86</f>
        <v>1</v>
      </c>
      <c r="N91" s="372">
        <v>0.5</v>
      </c>
      <c r="O91" s="481">
        <f t="shared" si="69"/>
        <v>0.42973357835120135</v>
      </c>
      <c r="P91" s="489">
        <f t="shared" si="70"/>
        <v>51.864424557315928</v>
      </c>
      <c r="Q91" s="490">
        <f t="shared" si="71"/>
        <v>31.056541651087382</v>
      </c>
      <c r="R91" s="491">
        <f t="shared" si="72"/>
        <v>261.71052631578948</v>
      </c>
      <c r="S91" s="500">
        <f t="shared" si="73"/>
        <v>8127.8238610543167</v>
      </c>
      <c r="T91" s="489">
        <f t="shared" si="74"/>
        <v>0.85209723681248173</v>
      </c>
      <c r="U91" s="493">
        <f t="shared" si="75"/>
        <v>154.50490219883392</v>
      </c>
      <c r="V91" s="500">
        <f t="shared" si="76"/>
        <v>131.65320023760913</v>
      </c>
      <c r="W91" s="489">
        <f t="shared" si="77"/>
        <v>1.5129773374335047</v>
      </c>
      <c r="X91" s="493">
        <f t="shared" si="78"/>
        <v>37.9060089869281</v>
      </c>
      <c r="Y91" s="763">
        <f t="shared" si="79"/>
        <v>57.350932549772978</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6"/>
        <v>61966.738116041532</v>
      </c>
      <c r="I92" s="710">
        <f>ITECountywide!$B$9*E92</f>
        <v>123.43673373828283</v>
      </c>
      <c r="J92" s="711">
        <f t="shared" si="67"/>
        <v>1.67</v>
      </c>
      <c r="K92" s="712">
        <f t="shared" si="68"/>
        <v>0.8872439567052266</v>
      </c>
      <c r="L92" s="713">
        <f>Passby_Length_Adj!H87</f>
        <v>0.8594671567024027</v>
      </c>
      <c r="M92" s="713">
        <f>Passby_Length_Adj!J87</f>
        <v>1</v>
      </c>
      <c r="N92" s="712">
        <v>0.5</v>
      </c>
      <c r="O92" s="714">
        <f t="shared" si="69"/>
        <v>0.42973357835120135</v>
      </c>
      <c r="P92" s="715">
        <f t="shared" si="70"/>
        <v>386.42968406490309</v>
      </c>
      <c r="Q92" s="716">
        <f t="shared" si="71"/>
        <v>231.39502039814556</v>
      </c>
      <c r="R92" s="717">
        <f t="shared" si="72"/>
        <v>261.71052631578948</v>
      </c>
      <c r="S92" s="721">
        <f t="shared" si="73"/>
        <v>60558.512575251516</v>
      </c>
      <c r="T92" s="715">
        <f t="shared" si="74"/>
        <v>6.3487770051345738</v>
      </c>
      <c r="U92" s="719">
        <f t="shared" si="75"/>
        <v>154.50490219883392</v>
      </c>
      <c r="V92" s="721">
        <f t="shared" si="76"/>
        <v>980.91717026052299</v>
      </c>
      <c r="W92" s="715">
        <f t="shared" si="77"/>
        <v>11.272839899258386</v>
      </c>
      <c r="X92" s="719">
        <f t="shared" si="78"/>
        <v>37.9060089869281</v>
      </c>
      <c r="Y92" s="764">
        <f t="shared" si="79"/>
        <v>427.30837052949005</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6"/>
        <v>20061.532184001884</v>
      </c>
      <c r="I94" s="693">
        <f>ITECountywide!$B$9*E94</f>
        <v>284.21511603055654</v>
      </c>
      <c r="J94" s="694">
        <f t="shared" si="67"/>
        <v>1.67</v>
      </c>
      <c r="K94" s="695">
        <f t="shared" si="68"/>
        <v>0.8872439567052266</v>
      </c>
      <c r="L94" s="696">
        <f>Passby_Length_Adj!H89</f>
        <v>0.30211480362537763</v>
      </c>
      <c r="M94" s="696">
        <f>Passby_Length_Adj!J89</f>
        <v>0.4</v>
      </c>
      <c r="N94" s="695">
        <v>0.5</v>
      </c>
      <c r="O94" s="697">
        <f t="shared" si="69"/>
        <v>6.0422960725075525E-2</v>
      </c>
      <c r="P94" s="698">
        <f t="shared" si="70"/>
        <v>125.10536748286339</v>
      </c>
      <c r="Q94" s="699">
        <f t="shared" si="71"/>
        <v>74.913393702313414</v>
      </c>
      <c r="R94" s="700">
        <f t="shared" si="72"/>
        <v>261.71052631578948</v>
      </c>
      <c r="S94" s="704">
        <f t="shared" si="73"/>
        <v>19605.623693934391</v>
      </c>
      <c r="T94" s="698">
        <f t="shared" si="74"/>
        <v>2.0553961381515196</v>
      </c>
      <c r="U94" s="702">
        <f t="shared" si="75"/>
        <v>154.50490219883392</v>
      </c>
      <c r="V94" s="704">
        <f t="shared" si="76"/>
        <v>317.56877930496148</v>
      </c>
      <c r="W94" s="698">
        <f t="shared" si="77"/>
        <v>3.6495456646527655</v>
      </c>
      <c r="X94" s="702">
        <f t="shared" si="78"/>
        <v>37.9060089869281</v>
      </c>
      <c r="Y94" s="765">
        <f t="shared" si="79"/>
        <v>138.33971076253221</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6"/>
        <v>16254.123382668758</v>
      </c>
      <c r="I95" s="487">
        <f>ITECountywide!$B$9*E95</f>
        <v>160.19124330117839</v>
      </c>
      <c r="J95" s="495">
        <f t="shared" si="67"/>
        <v>1.67</v>
      </c>
      <c r="K95" s="372">
        <f t="shared" si="68"/>
        <v>0.8872439567052266</v>
      </c>
      <c r="L95" s="488">
        <f>Passby_Length_Adj!H90</f>
        <v>0.34743202416918428</v>
      </c>
      <c r="M95" s="488">
        <f>Passby_Length_Adj!J90</f>
        <v>0.5</v>
      </c>
      <c r="N95" s="372">
        <v>0.5</v>
      </c>
      <c r="O95" s="481">
        <f t="shared" si="69"/>
        <v>8.6858006042296071E-2</v>
      </c>
      <c r="P95" s="489">
        <f t="shared" si="70"/>
        <v>101.36205252170018</v>
      </c>
      <c r="Q95" s="490">
        <f t="shared" si="71"/>
        <v>60.695839833353403</v>
      </c>
      <c r="R95" s="491">
        <f t="shared" si="72"/>
        <v>261.71052631578948</v>
      </c>
      <c r="S95" s="500">
        <f t="shared" si="73"/>
        <v>15884.740187965779</v>
      </c>
      <c r="T95" s="489">
        <f t="shared" si="74"/>
        <v>1.6653096146074773</v>
      </c>
      <c r="U95" s="493">
        <f t="shared" si="75"/>
        <v>154.50490219883392</v>
      </c>
      <c r="V95" s="500">
        <f t="shared" si="76"/>
        <v>257.29849913570609</v>
      </c>
      <c r="W95" s="489">
        <f t="shared" si="77"/>
        <v>2.9569110165600869</v>
      </c>
      <c r="X95" s="493">
        <f t="shared" si="78"/>
        <v>37.9060089869281</v>
      </c>
      <c r="Y95" s="763">
        <f t="shared" si="79"/>
        <v>112.08469556727336</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572">
        <f t="shared" si="66"/>
        <v>15180.546311599277</v>
      </c>
      <c r="I96" s="487">
        <f>ITECountywide!$B$9*E96</f>
        <v>119.48075804939616</v>
      </c>
      <c r="J96" s="495">
        <f t="shared" si="67"/>
        <v>1.67</v>
      </c>
      <c r="K96" s="372">
        <f t="shared" si="68"/>
        <v>0.8872439567052266</v>
      </c>
      <c r="L96" s="488">
        <f>Passby_Length_Adj!H91</f>
        <v>0.36253776435045315</v>
      </c>
      <c r="M96" s="488">
        <f>Passby_Length_Adj!J91</f>
        <v>0.6</v>
      </c>
      <c r="N96" s="372">
        <v>0.5</v>
      </c>
      <c r="O96" s="481">
        <f>L96*M96*N96</f>
        <v>0.10876132930513595</v>
      </c>
      <c r="P96" s="489">
        <f t="shared" si="70"/>
        <v>94.667137459109426</v>
      </c>
      <c r="Q96" s="490">
        <f t="shared" si="71"/>
        <v>56.686908658149356</v>
      </c>
      <c r="R96" s="491">
        <f t="shared" si="72"/>
        <v>261.71052631578948</v>
      </c>
      <c r="S96" s="500">
        <f t="shared" si="73"/>
        <v>14835.560700139351</v>
      </c>
      <c r="T96" s="489">
        <f t="shared" si="74"/>
        <v>1.5553167114909392</v>
      </c>
      <c r="U96" s="493">
        <f t="shared" si="75"/>
        <v>154.50490219883392</v>
      </c>
      <c r="V96" s="500">
        <f t="shared" si="76"/>
        <v>240.30405639711955</v>
      </c>
      <c r="W96" s="489">
        <f t="shared" si="77"/>
        <v>2.7616084589360632</v>
      </c>
      <c r="X96" s="493">
        <f t="shared" si="78"/>
        <v>37.9060089869281</v>
      </c>
      <c r="Y96" s="763">
        <f t="shared" si="79"/>
        <v>104.68155506280708</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6"/>
        <v>14028.980476235893</v>
      </c>
      <c r="I97" s="487">
        <f>ITECountywide!$B$9*E97</f>
        <v>93.94431278308474</v>
      </c>
      <c r="J97" s="495">
        <f t="shared" si="67"/>
        <v>1.67</v>
      </c>
      <c r="K97" s="372">
        <f t="shared" si="68"/>
        <v>0.8872439567052266</v>
      </c>
      <c r="L97" s="488">
        <f>Passby_Length_Adj!H92</f>
        <v>0.37764350453172207</v>
      </c>
      <c r="M97" s="488">
        <f>Passby_Length_Adj!J92</f>
        <v>0.67700000000000005</v>
      </c>
      <c r="N97" s="372">
        <v>0.5</v>
      </c>
      <c r="O97" s="481">
        <f t="shared" si="69"/>
        <v>0.12783232628398794</v>
      </c>
      <c r="P97" s="489">
        <f t="shared" si="70"/>
        <v>87.485878037222719</v>
      </c>
      <c r="Q97" s="490">
        <f t="shared" si="71"/>
        <v>52.386753315702229</v>
      </c>
      <c r="R97" s="491">
        <f t="shared" si="72"/>
        <v>261.71052631578948</v>
      </c>
      <c r="S97" s="500">
        <f t="shared" si="73"/>
        <v>13710.164782227859</v>
      </c>
      <c r="T97" s="489">
        <f t="shared" si="74"/>
        <v>1.4373335011795834</v>
      </c>
      <c r="U97" s="493">
        <f t="shared" si="75"/>
        <v>154.50490219883392</v>
      </c>
      <c r="V97" s="500">
        <f t="shared" si="76"/>
        <v>222.07507202685906</v>
      </c>
      <c r="W97" s="489">
        <f t="shared" si="77"/>
        <v>2.5521183729612682</v>
      </c>
      <c r="X97" s="493">
        <f t="shared" si="78"/>
        <v>37.9060089869281</v>
      </c>
      <c r="Y97" s="763">
        <f t="shared" si="79"/>
        <v>96.740621981174158</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6"/>
        <v>13051.940895610114</v>
      </c>
      <c r="I98" s="487">
        <f>ITECountywide!$B$9*E98</f>
        <v>81.278704137667205</v>
      </c>
      <c r="J98" s="495">
        <f t="shared" si="67"/>
        <v>1.67</v>
      </c>
      <c r="K98" s="372">
        <f t="shared" si="68"/>
        <v>0.8872439567052266</v>
      </c>
      <c r="L98" s="488">
        <f>Passby_Length_Adj!H93</f>
        <v>0.39274924471299094</v>
      </c>
      <c r="M98" s="488">
        <f>Passby_Length_Adj!J93</f>
        <v>0.7</v>
      </c>
      <c r="N98" s="372">
        <v>0.5</v>
      </c>
      <c r="O98" s="481">
        <f t="shared" si="69"/>
        <v>0.13746223564954682</v>
      </c>
      <c r="P98" s="489">
        <f t="shared" si="70"/>
        <v>81.392978718347877</v>
      </c>
      <c r="Q98" s="490">
        <f t="shared" si="71"/>
        <v>48.738310609789153</v>
      </c>
      <c r="R98" s="491">
        <f t="shared" si="72"/>
        <v>261.71052631578948</v>
      </c>
      <c r="S98" s="500">
        <f t="shared" si="73"/>
        <v>12755.328921430346</v>
      </c>
      <c r="T98" s="489">
        <f t="shared" si="74"/>
        <v>1.3372313074677362</v>
      </c>
      <c r="U98" s="493">
        <f t="shared" si="75"/>
        <v>154.50490219883392</v>
      </c>
      <c r="V98" s="500">
        <f t="shared" si="76"/>
        <v>206.60879237752138</v>
      </c>
      <c r="W98" s="489">
        <f t="shared" si="77"/>
        <v>2.3743776833189041</v>
      </c>
      <c r="X98" s="493">
        <f t="shared" si="78"/>
        <v>37.9060089869281</v>
      </c>
      <c r="Y98" s="763">
        <f t="shared" si="79"/>
        <v>90.003181802247894</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6"/>
        <v>12518.116806892358</v>
      </c>
      <c r="I99" s="487">
        <f>ITECountywide!$B$9*E99</f>
        <v>72.982006524219813</v>
      </c>
      <c r="J99" s="495">
        <f t="shared" si="67"/>
        <v>1.67</v>
      </c>
      <c r="K99" s="372">
        <f t="shared" si="68"/>
        <v>0.8872439567052266</v>
      </c>
      <c r="L99" s="488">
        <f>Passby_Length_Adj!H94</f>
        <v>0.40785498489425986</v>
      </c>
      <c r="M99" s="488">
        <f>Passby_Length_Adj!J94</f>
        <v>0.72</v>
      </c>
      <c r="N99" s="372">
        <v>0.5</v>
      </c>
      <c r="O99" s="481">
        <f t="shared" si="69"/>
        <v>0.14682779456193354</v>
      </c>
      <c r="P99" s="489">
        <f t="shared" si="70"/>
        <v>78.064007721631242</v>
      </c>
      <c r="Q99" s="490">
        <f t="shared" si="71"/>
        <v>46.744914803372005</v>
      </c>
      <c r="R99" s="491">
        <f t="shared" si="72"/>
        <v>261.71052631578948</v>
      </c>
      <c r="S99" s="500">
        <f t="shared" si="73"/>
        <v>12233.636255777226</v>
      </c>
      <c r="T99" s="489">
        <f t="shared" si="74"/>
        <v>1.2825385771050122</v>
      </c>
      <c r="U99" s="493">
        <f t="shared" si="75"/>
        <v>154.50490219883392</v>
      </c>
      <c r="V99" s="500">
        <f t="shared" si="76"/>
        <v>198.15849742184153</v>
      </c>
      <c r="W99" s="489">
        <f t="shared" si="77"/>
        <v>2.277265689539052</v>
      </c>
      <c r="X99" s="493">
        <f t="shared" si="78"/>
        <v>37.9060089869281</v>
      </c>
      <c r="Y99" s="763">
        <f t="shared" si="79"/>
        <v>86.322053693290314</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6"/>
        <v>12311.366494287782</v>
      </c>
      <c r="I100" s="487">
        <f>ITECountywide!$B$9*E100</f>
        <v>67.342551831206222</v>
      </c>
      <c r="J100" s="495">
        <f t="shared" si="67"/>
        <v>1.67</v>
      </c>
      <c r="K100" s="372">
        <f t="shared" si="68"/>
        <v>0.8872439567052266</v>
      </c>
      <c r="L100" s="488">
        <f>Passby_Length_Adj!H95</f>
        <v>0.42296072507552868</v>
      </c>
      <c r="M100" s="488">
        <f>Passby_Length_Adj!J95</f>
        <v>0.74</v>
      </c>
      <c r="N100" s="372">
        <v>0.5</v>
      </c>
      <c r="O100" s="481">
        <f t="shared" si="69"/>
        <v>0.15649546827794561</v>
      </c>
      <c r="P100" s="489">
        <f t="shared" si="70"/>
        <v>76.774695738959295</v>
      </c>
      <c r="Q100" s="490">
        <f t="shared" si="71"/>
        <v>45.972871699975627</v>
      </c>
      <c r="R100" s="491">
        <f t="shared" si="72"/>
        <v>261.71052631578948</v>
      </c>
      <c r="S100" s="500">
        <f t="shared" si="73"/>
        <v>12031.584448848886</v>
      </c>
      <c r="T100" s="489">
        <f t="shared" si="74"/>
        <v>1.2613560577345351</v>
      </c>
      <c r="U100" s="493">
        <f t="shared" si="75"/>
        <v>154.50490219883392</v>
      </c>
      <c r="V100" s="500">
        <f t="shared" si="76"/>
        <v>194.88569433818105</v>
      </c>
      <c r="W100" s="489">
        <f t="shared" si="77"/>
        <v>2.2396541701341004</v>
      </c>
      <c r="X100" s="493">
        <f t="shared" si="78"/>
        <v>37.9060089869281</v>
      </c>
      <c r="Y100" s="763">
        <f t="shared" si="79"/>
        <v>84.896351100714199</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6"/>
        <v>12281.178476156885</v>
      </c>
      <c r="I101" s="487">
        <f>ITECountywide!$B$9*E101</f>
        <v>63.154094551514092</v>
      </c>
      <c r="J101" s="495">
        <f t="shared" si="67"/>
        <v>1.67</v>
      </c>
      <c r="K101" s="372">
        <f t="shared" si="68"/>
        <v>0.8872439567052266</v>
      </c>
      <c r="L101" s="488">
        <f>Passby_Length_Adj!H96</f>
        <v>0.43806646525679754</v>
      </c>
      <c r="M101" s="488">
        <f>Passby_Length_Adj!J96</f>
        <v>0.76</v>
      </c>
      <c r="N101" s="372">
        <v>0.5</v>
      </c>
      <c r="O101" s="481">
        <f t="shared" si="69"/>
        <v>0.16646525679758306</v>
      </c>
      <c r="P101" s="489">
        <f t="shared" si="70"/>
        <v>76.586440770833946</v>
      </c>
      <c r="Q101" s="490">
        <f t="shared" si="71"/>
        <v>45.860144174152062</v>
      </c>
      <c r="R101" s="491">
        <f t="shared" si="72"/>
        <v>261.71052631578948</v>
      </c>
      <c r="S101" s="500">
        <f t="shared" si="73"/>
        <v>12002.082468735323</v>
      </c>
      <c r="T101" s="489">
        <f t="shared" si="74"/>
        <v>1.2582631565884217</v>
      </c>
      <c r="U101" s="493">
        <f t="shared" si="75"/>
        <v>154.50490219883392</v>
      </c>
      <c r="V101" s="500">
        <f t="shared" si="76"/>
        <v>194.40782594909015</v>
      </c>
      <c r="W101" s="489">
        <f t="shared" si="77"/>
        <v>2.234162438511432</v>
      </c>
      <c r="X101" s="493">
        <f t="shared" si="78"/>
        <v>37.9060089869281</v>
      </c>
      <c r="Y101" s="763">
        <f t="shared" si="79"/>
        <v>84.688181472471541</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6"/>
        <v>12070.603877402607</v>
      </c>
      <c r="I102" s="487">
        <f>ITECountywide!$B$9*E102</f>
        <v>58.463687032601783</v>
      </c>
      <c r="J102" s="495">
        <f t="shared" si="67"/>
        <v>1.67</v>
      </c>
      <c r="K102" s="372">
        <f t="shared" si="68"/>
        <v>0.8872439567052266</v>
      </c>
      <c r="L102" s="488">
        <f>Passby_Length_Adj!H97</f>
        <v>0.45317220543806647</v>
      </c>
      <c r="M102" s="488">
        <f>Passby_Length_Adj!J97</f>
        <v>0.78</v>
      </c>
      <c r="N102" s="372">
        <v>0.5</v>
      </c>
      <c r="O102" s="481">
        <f t="shared" si="69"/>
        <v>0.17673716012084592</v>
      </c>
      <c r="P102" s="489">
        <f t="shared" si="70"/>
        <v>75.273280224665953</v>
      </c>
      <c r="Q102" s="490">
        <f t="shared" si="71"/>
        <v>45.073820493811951</v>
      </c>
      <c r="R102" s="491">
        <f t="shared" si="72"/>
        <v>261.71052631578948</v>
      </c>
      <c r="S102" s="500">
        <f t="shared" si="73"/>
        <v>11796.293284498945</v>
      </c>
      <c r="T102" s="489">
        <f t="shared" si="74"/>
        <v>1.2366888215325229</v>
      </c>
      <c r="U102" s="493">
        <f t="shared" si="75"/>
        <v>154.50490219883392</v>
      </c>
      <c r="V102" s="500">
        <f t="shared" si="76"/>
        <v>191.07448542127364</v>
      </c>
      <c r="W102" s="489">
        <f t="shared" si="77"/>
        <v>2.1958552141717815</v>
      </c>
      <c r="X102" s="493">
        <f t="shared" si="78"/>
        <v>37.9060089869281</v>
      </c>
      <c r="Y102" s="763">
        <f t="shared" si="79"/>
        <v>83.236107482388476</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6"/>
        <v>12565.820079838728</v>
      </c>
      <c r="I103" s="487">
        <f>ITECountywide!$B$9*E103</f>
        <v>53.946089751997178</v>
      </c>
      <c r="J103" s="495">
        <f t="shared" si="67"/>
        <v>1.67</v>
      </c>
      <c r="K103" s="372">
        <f t="shared" si="68"/>
        <v>0.8872439567052266</v>
      </c>
      <c r="L103" s="488">
        <f>Passby_Length_Adj!H98</f>
        <v>0.49848942598187307</v>
      </c>
      <c r="M103" s="488">
        <f>Passby_Length_Adj!J98</f>
        <v>0.8</v>
      </c>
      <c r="N103" s="372">
        <v>0.5</v>
      </c>
      <c r="O103" s="481">
        <f t="shared" si="69"/>
        <v>0.19939577039274925</v>
      </c>
      <c r="P103" s="489">
        <f t="shared" si="70"/>
        <v>78.361489261792471</v>
      </c>
      <c r="Q103" s="490">
        <f t="shared" si="71"/>
        <v>46.923047462151182</v>
      </c>
      <c r="R103" s="491">
        <f t="shared" si="72"/>
        <v>261.71052631578948</v>
      </c>
      <c r="S103" s="500">
        <f t="shared" si="73"/>
        <v>12280.255447660356</v>
      </c>
      <c r="T103" s="489">
        <f t="shared" si="74"/>
        <v>1.2874259965748642</v>
      </c>
      <c r="U103" s="493">
        <f t="shared" si="75"/>
        <v>154.50490219883392</v>
      </c>
      <c r="V103" s="500">
        <f t="shared" si="76"/>
        <v>198.91362768903568</v>
      </c>
      <c r="W103" s="489">
        <f t="shared" si="77"/>
        <v>2.2859437541741148</v>
      </c>
      <c r="X103" s="493">
        <f t="shared" si="78"/>
        <v>37.9060089869281</v>
      </c>
      <c r="Y103" s="763">
        <f t="shared" si="79"/>
        <v>86.65100448933616</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6"/>
        <v>12293.138933561833</v>
      </c>
      <c r="I104" s="487">
        <f>ITECountywide!$B$9*E104</f>
        <v>50.590842791664826</v>
      </c>
      <c r="J104" s="495">
        <f t="shared" si="67"/>
        <v>1.67</v>
      </c>
      <c r="K104" s="372">
        <f t="shared" si="68"/>
        <v>0.8872439567052266</v>
      </c>
      <c r="L104" s="488">
        <f>Passby_Length_Adj!H99</f>
        <v>0.51359516616314194</v>
      </c>
      <c r="M104" s="488">
        <f>Passby_Length_Adj!J99</f>
        <v>0.81</v>
      </c>
      <c r="N104" s="372">
        <v>0.5</v>
      </c>
      <c r="O104" s="481">
        <f t="shared" si="69"/>
        <v>0.2080060422960725</v>
      </c>
      <c r="P104" s="489">
        <f t="shared" si="70"/>
        <v>76.661027168581896</v>
      </c>
      <c r="Q104" s="490">
        <f t="shared" si="71"/>
        <v>45.904806687773593</v>
      </c>
      <c r="R104" s="491">
        <f t="shared" si="72"/>
        <v>261.71052631578948</v>
      </c>
      <c r="S104" s="500">
        <f t="shared" si="73"/>
        <v>12013.7711186818</v>
      </c>
      <c r="T104" s="489">
        <f t="shared" si="74"/>
        <v>1.2594885603978208</v>
      </c>
      <c r="U104" s="493">
        <f t="shared" si="75"/>
        <v>154.50490219883392</v>
      </c>
      <c r="V104" s="500">
        <f t="shared" si="76"/>
        <v>194.59715684481543</v>
      </c>
      <c r="W104" s="489">
        <f t="shared" si="77"/>
        <v>2.2363382561443594</v>
      </c>
      <c r="X104" s="493">
        <f t="shared" si="78"/>
        <v>37.9060089869281</v>
      </c>
      <c r="Y104" s="763">
        <f t="shared" si="79"/>
        <v>84.770658035219199</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6"/>
        <v>12144.077699799829</v>
      </c>
      <c r="I105" s="487">
        <f>ITECountywide!$B$9*E105</f>
        <v>47.957407840094127</v>
      </c>
      <c r="J105" s="495">
        <f t="shared" si="67"/>
        <v>1.67</v>
      </c>
      <c r="K105" s="372">
        <f t="shared" si="68"/>
        <v>0.8872439567052266</v>
      </c>
      <c r="L105" s="488">
        <f>Passby_Length_Adj!H100</f>
        <v>0.52870090634441091</v>
      </c>
      <c r="M105" s="488">
        <f>Passby_Length_Adj!J100</f>
        <v>0.82</v>
      </c>
      <c r="N105" s="372">
        <v>0.5</v>
      </c>
      <c r="O105" s="481">
        <f t="shared" si="69"/>
        <v>0.21676737160120846</v>
      </c>
      <c r="P105" s="489">
        <f t="shared" si="70"/>
        <v>75.731469034327532</v>
      </c>
      <c r="Q105" s="490">
        <f t="shared" si="71"/>
        <v>45.34818505049553</v>
      </c>
      <c r="R105" s="491">
        <f t="shared" si="72"/>
        <v>261.71052631578948</v>
      </c>
      <c r="S105" s="500">
        <f t="shared" si="73"/>
        <v>11868.097377031001</v>
      </c>
      <c r="T105" s="489">
        <f t="shared" si="74"/>
        <v>1.2442165521876578</v>
      </c>
      <c r="U105" s="493">
        <f t="shared" si="75"/>
        <v>154.50490219883392</v>
      </c>
      <c r="V105" s="500">
        <f t="shared" si="76"/>
        <v>192.23755670992441</v>
      </c>
      <c r="W105" s="489">
        <f t="shared" si="77"/>
        <v>2.2092213951561579</v>
      </c>
      <c r="X105" s="493">
        <f t="shared" si="78"/>
        <v>37.9060089869281</v>
      </c>
      <c r="Y105" s="763">
        <f t="shared" si="79"/>
        <v>83.742766058903158</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6"/>
        <v>28151.437476707841</v>
      </c>
      <c r="I106" s="487">
        <f>ITECountywide!$B$9*E106</f>
        <v>48.196516154198832</v>
      </c>
      <c r="J106" s="495">
        <f t="shared" si="67"/>
        <v>1.67</v>
      </c>
      <c r="K106" s="372">
        <f t="shared" si="68"/>
        <v>0.8872439567052266</v>
      </c>
      <c r="L106" s="488">
        <f>Passby_Length_Adj!H101</f>
        <v>1</v>
      </c>
      <c r="M106" s="488">
        <f>Passby_Length_Adj!J101</f>
        <v>1</v>
      </c>
      <c r="N106" s="372">
        <v>0.5</v>
      </c>
      <c r="O106" s="481">
        <f t="shared" si="69"/>
        <v>0.5</v>
      </c>
      <c r="P106" s="489">
        <f t="shared" si="70"/>
        <v>175.5546833807106</v>
      </c>
      <c r="Q106" s="490">
        <f t="shared" si="71"/>
        <v>105.12256489862911</v>
      </c>
      <c r="R106" s="491">
        <f t="shared" si="72"/>
        <v>261.71052631578948</v>
      </c>
      <c r="S106" s="500">
        <f t="shared" si="73"/>
        <v>27511.681787285961</v>
      </c>
      <c r="T106" s="489">
        <f t="shared" si="74"/>
        <v>2.8842441017133136</v>
      </c>
      <c r="U106" s="493">
        <f t="shared" si="75"/>
        <v>154.50490219883392</v>
      </c>
      <c r="V106" s="500">
        <f t="shared" si="76"/>
        <v>445.62985285277909</v>
      </c>
      <c r="W106" s="489">
        <f t="shared" si="77"/>
        <v>5.1212417702967228</v>
      </c>
      <c r="X106" s="493">
        <f t="shared" si="78"/>
        <v>37.9060089869281</v>
      </c>
      <c r="Y106" s="763">
        <f t="shared" si="79"/>
        <v>194.12583656909914</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6"/>
        <v>16077.590704762784</v>
      </c>
      <c r="I107" s="487">
        <f>ITECountywide!$B$9*E107</f>
        <v>50.462241810187869</v>
      </c>
      <c r="J107" s="495">
        <f t="shared" si="67"/>
        <v>1.67</v>
      </c>
      <c r="K107" s="372">
        <f t="shared" si="68"/>
        <v>0.8872439567052266</v>
      </c>
      <c r="L107" s="488">
        <f>Passby_Length_Adj!H102</f>
        <v>0.69486404833836857</v>
      </c>
      <c r="M107" s="488">
        <f>Passby_Length_Adj!J102</f>
        <v>0.78500000000000003</v>
      </c>
      <c r="N107" s="372">
        <v>0.5</v>
      </c>
      <c r="O107" s="481">
        <f t="shared" si="69"/>
        <v>0.27273413897280968</v>
      </c>
      <c r="P107" s="489">
        <f t="shared" si="70"/>
        <v>100.26118019850979</v>
      </c>
      <c r="Q107" s="490">
        <f t="shared" si="71"/>
        <v>60.036634849407065</v>
      </c>
      <c r="R107" s="491">
        <f t="shared" si="72"/>
        <v>261.71052631578948</v>
      </c>
      <c r="S107" s="500">
        <f t="shared" si="73"/>
        <v>15712.219304667191</v>
      </c>
      <c r="T107" s="489">
        <f t="shared" si="74"/>
        <v>1.6472230307365388</v>
      </c>
      <c r="U107" s="493">
        <f t="shared" si="75"/>
        <v>154.50490219883392</v>
      </c>
      <c r="V107" s="500">
        <f t="shared" si="76"/>
        <v>254.50403326361572</v>
      </c>
      <c r="W107" s="489">
        <f t="shared" si="77"/>
        <v>2.9247966165525416</v>
      </c>
      <c r="X107" s="493">
        <f t="shared" si="78"/>
        <v>37.9060089869281</v>
      </c>
      <c r="Y107" s="763">
        <f t="shared" si="79"/>
        <v>110.86736683197755</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6"/>
        <v>31958.831523044999</v>
      </c>
      <c r="I108" s="487">
        <f>ITECountywide!$B$9*E108</f>
        <v>100.30820624194673</v>
      </c>
      <c r="J108" s="495">
        <f t="shared" si="67"/>
        <v>1.67</v>
      </c>
      <c r="K108" s="372">
        <f t="shared" si="68"/>
        <v>0.8872439567052266</v>
      </c>
      <c r="L108" s="488">
        <f>Passby_Length_Adj!H103</f>
        <v>0.69486404833836857</v>
      </c>
      <c r="M108" s="488">
        <f>Passby_Length_Adj!J103</f>
        <v>0.78500000000000003</v>
      </c>
      <c r="N108" s="372">
        <v>0.5</v>
      </c>
      <c r="O108" s="481">
        <f t="shared" si="69"/>
        <v>0.27273413897280968</v>
      </c>
      <c r="P108" s="489">
        <f t="shared" si="70"/>
        <v>199.29790632850336</v>
      </c>
      <c r="Q108" s="490">
        <f t="shared" si="71"/>
        <v>119.3400636697625</v>
      </c>
      <c r="R108" s="491">
        <f t="shared" si="72"/>
        <v>261.71052631578948</v>
      </c>
      <c r="S108" s="500">
        <f t="shared" si="73"/>
        <v>31232.550873573371</v>
      </c>
      <c r="T108" s="489">
        <f t="shared" si="74"/>
        <v>3.2743291135402322</v>
      </c>
      <c r="U108" s="493">
        <f t="shared" si="75"/>
        <v>154.50490219883392</v>
      </c>
      <c r="V108" s="500">
        <f t="shared" si="76"/>
        <v>505.89989945432814</v>
      </c>
      <c r="W108" s="489">
        <f t="shared" si="77"/>
        <v>5.8138737341960374</v>
      </c>
      <c r="X108" s="493">
        <f t="shared" si="78"/>
        <v>37.9060089869281</v>
      </c>
      <c r="Y108" s="763">
        <f t="shared" si="79"/>
        <v>220.38075001730022</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6"/>
        <v>25951.415140521356</v>
      </c>
      <c r="I109" s="487">
        <f>ITECountywide!$B$9*E109</f>
        <v>51.694796567045906</v>
      </c>
      <c r="J109" s="495">
        <f t="shared" si="67"/>
        <v>1.67</v>
      </c>
      <c r="K109" s="372">
        <f t="shared" si="68"/>
        <v>0.8872439567052266</v>
      </c>
      <c r="L109" s="488">
        <f>Passby_Length_Adj!H104</f>
        <v>0.8594671567024027</v>
      </c>
      <c r="M109" s="488">
        <f>Passby_Length_Adj!J104</f>
        <v>1</v>
      </c>
      <c r="N109" s="372">
        <v>0.5</v>
      </c>
      <c r="O109" s="481">
        <f t="shared" si="69"/>
        <v>0.42973357835120135</v>
      </c>
      <c r="P109" s="489">
        <f t="shared" si="70"/>
        <v>161.83516284186544</v>
      </c>
      <c r="Q109" s="490">
        <f t="shared" si="71"/>
        <v>96.907283138841578</v>
      </c>
      <c r="R109" s="491">
        <f t="shared" si="72"/>
        <v>261.71052631578948</v>
      </c>
      <c r="S109" s="500">
        <f t="shared" si="73"/>
        <v>25361.656074099461</v>
      </c>
      <c r="T109" s="489">
        <f t="shared" si="74"/>
        <v>2.6588417061150955</v>
      </c>
      <c r="U109" s="493">
        <f t="shared" si="75"/>
        <v>154.50490219883392</v>
      </c>
      <c r="V109" s="500">
        <f t="shared" si="76"/>
        <v>410.80407776549356</v>
      </c>
      <c r="W109" s="489">
        <f t="shared" si="77"/>
        <v>4.7210190003942616</v>
      </c>
      <c r="X109" s="493">
        <f t="shared" si="78"/>
        <v>37.9060089869281</v>
      </c>
      <c r="Y109" s="763">
        <f t="shared" si="79"/>
        <v>178.9549886564032</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6"/>
        <v>19891.408095489314</v>
      </c>
      <c r="I110" s="487">
        <f>ITECountywide!$B$9*E110</f>
        <v>193.54734843720766</v>
      </c>
      <c r="J110" s="495">
        <f t="shared" si="67"/>
        <v>1.67</v>
      </c>
      <c r="K110" s="372">
        <f t="shared" si="68"/>
        <v>0.8872439567052266</v>
      </c>
      <c r="L110" s="488">
        <f>Passby_Length_Adj!H105</f>
        <v>0.31419939577039274</v>
      </c>
      <c r="M110" s="488">
        <f>Passby_Length_Adj!J105</f>
        <v>0.56000000000000005</v>
      </c>
      <c r="N110" s="372">
        <v>0.5</v>
      </c>
      <c r="O110" s="481">
        <f t="shared" si="69"/>
        <v>8.7975830815709977E-2</v>
      </c>
      <c r="P110" s="489">
        <f t="shared" si="70"/>
        <v>124.04445965110641</v>
      </c>
      <c r="Q110" s="490">
        <f t="shared" si="71"/>
        <v>74.278119551560721</v>
      </c>
      <c r="R110" s="491">
        <f t="shared" si="72"/>
        <v>261.71052631578948</v>
      </c>
      <c r="S110" s="500">
        <f t="shared" si="73"/>
        <v>19439.36576158609</v>
      </c>
      <c r="T110" s="489">
        <f t="shared" si="74"/>
        <v>2.0379661437060239</v>
      </c>
      <c r="U110" s="493">
        <f t="shared" si="75"/>
        <v>154.50490219883392</v>
      </c>
      <c r="V110" s="500">
        <f t="shared" si="76"/>
        <v>314.87575971783394</v>
      </c>
      <c r="W110" s="489">
        <f t="shared" si="77"/>
        <v>3.6185970998078947</v>
      </c>
      <c r="X110" s="493">
        <f t="shared" si="78"/>
        <v>37.9060089869281</v>
      </c>
      <c r="Y110" s="763">
        <f t="shared" si="79"/>
        <v>137.16657418539</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6"/>
        <v>179921.86187761705</v>
      </c>
      <c r="I111" s="487">
        <f>ITECountywide!$B$9*E111</f>
        <v>1381.6938824378594</v>
      </c>
      <c r="J111" s="495">
        <f t="shared" si="67"/>
        <v>1.67</v>
      </c>
      <c r="K111" s="372">
        <f t="shared" si="68"/>
        <v>0.8872439567052266</v>
      </c>
      <c r="L111" s="488">
        <f>Passby_Length_Adj!H106</f>
        <v>0.32930513595166166</v>
      </c>
      <c r="M111" s="488">
        <f>Passby_Length_Adj!J106</f>
        <v>0.67700000000000005</v>
      </c>
      <c r="N111" s="372">
        <v>0.5</v>
      </c>
      <c r="O111" s="481">
        <f t="shared" si="69"/>
        <v>0.11146978851963749</v>
      </c>
      <c r="P111" s="489">
        <f t="shared" si="70"/>
        <v>1122.0075536578545</v>
      </c>
      <c r="Q111" s="490">
        <f t="shared" si="71"/>
        <v>671.86081057356557</v>
      </c>
      <c r="R111" s="491">
        <f t="shared" si="72"/>
        <v>261.71052631578948</v>
      </c>
      <c r="S111" s="500">
        <f t="shared" si="73"/>
        <v>175833.04634616079</v>
      </c>
      <c r="T111" s="489">
        <f t="shared" si="74"/>
        <v>18.433821339288908</v>
      </c>
      <c r="U111" s="493">
        <f t="shared" si="75"/>
        <v>154.50490219883392</v>
      </c>
      <c r="V111" s="500">
        <f t="shared" si="76"/>
        <v>2848.1157631776105</v>
      </c>
      <c r="W111" s="489">
        <f t="shared" si="77"/>
        <v>32.730952200916363</v>
      </c>
      <c r="X111" s="493">
        <f t="shared" si="78"/>
        <v>37.9060089869281</v>
      </c>
      <c r="Y111" s="763">
        <f t="shared" si="79"/>
        <v>1240.6997682786498</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6"/>
        <v>147330.67400956151</v>
      </c>
      <c r="I112" s="487">
        <f>ITECountywide!$B$9*E112</f>
        <v>1131.4127635746866</v>
      </c>
      <c r="J112" s="495">
        <f t="shared" si="67"/>
        <v>1.67</v>
      </c>
      <c r="K112" s="372">
        <f t="shared" si="68"/>
        <v>0.8872439567052266</v>
      </c>
      <c r="L112" s="488">
        <f>Passby_Length_Adj!H107</f>
        <v>0.32930513595166166</v>
      </c>
      <c r="M112" s="488">
        <f>Passby_Length_Adj!J107</f>
        <v>0.67700000000000005</v>
      </c>
      <c r="N112" s="372">
        <v>0.5</v>
      </c>
      <c r="O112" s="481">
        <f t="shared" si="69"/>
        <v>0.11146978851963749</v>
      </c>
      <c r="P112" s="489">
        <f t="shared" si="70"/>
        <v>918.76622106474372</v>
      </c>
      <c r="Q112" s="490">
        <f t="shared" si="71"/>
        <v>550.15941381122377</v>
      </c>
      <c r="R112" s="491">
        <f t="shared" si="72"/>
        <v>261.71052631578948</v>
      </c>
      <c r="S112" s="500">
        <f t="shared" si="73"/>
        <v>143982.50974612159</v>
      </c>
      <c r="T112" s="489">
        <f t="shared" si="74"/>
        <v>15.094704413055752</v>
      </c>
      <c r="U112" s="493">
        <f t="shared" si="75"/>
        <v>154.50490219883392</v>
      </c>
      <c r="V112" s="500">
        <f t="shared" si="76"/>
        <v>2332.2058290594855</v>
      </c>
      <c r="W112" s="489">
        <f t="shared" si="77"/>
        <v>26.802041721955188</v>
      </c>
      <c r="X112" s="493">
        <f t="shared" si="78"/>
        <v>37.9060089869281</v>
      </c>
      <c r="Y112" s="763">
        <f t="shared" si="79"/>
        <v>1015.9584343804553</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6"/>
        <v>38035.384041858088</v>
      </c>
      <c r="I113" s="487">
        <f>ITECountywide!$B$9*E113</f>
        <v>75.765865936273457</v>
      </c>
      <c r="J113" s="495">
        <f t="shared" si="67"/>
        <v>1.67</v>
      </c>
      <c r="K113" s="372">
        <f t="shared" si="68"/>
        <v>0.8872439567052266</v>
      </c>
      <c r="L113" s="488">
        <f>Passby_Length_Adj!H108</f>
        <v>0.8594671567024027</v>
      </c>
      <c r="M113" s="488">
        <f>Passby_Length_Adj!J108</f>
        <v>1</v>
      </c>
      <c r="N113" s="372">
        <v>0.5</v>
      </c>
      <c r="O113" s="481">
        <f t="shared" si="69"/>
        <v>0.42973357835120135</v>
      </c>
      <c r="P113" s="489">
        <f t="shared" si="70"/>
        <v>237.19178845687151</v>
      </c>
      <c r="Q113" s="490">
        <f t="shared" si="71"/>
        <v>142.03101105201887</v>
      </c>
      <c r="R113" s="491">
        <f t="shared" si="72"/>
        <v>261.71052631578948</v>
      </c>
      <c r="S113" s="500">
        <f t="shared" si="73"/>
        <v>37171.010655587568</v>
      </c>
      <c r="T113" s="489">
        <f t="shared" si="74"/>
        <v>3.8968998357507365</v>
      </c>
      <c r="U113" s="493">
        <f t="shared" si="75"/>
        <v>154.50490219883392</v>
      </c>
      <c r="V113" s="500">
        <f t="shared" si="76"/>
        <v>602.0901280013195</v>
      </c>
      <c r="W113" s="489">
        <f t="shared" si="77"/>
        <v>6.9193055475624154</v>
      </c>
      <c r="X113" s="493">
        <f t="shared" si="78"/>
        <v>37.9060089869281</v>
      </c>
      <c r="Y113" s="763">
        <f t="shared" si="79"/>
        <v>262.28325826920241</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6"/>
        <v>26160.700746493305</v>
      </c>
      <c r="I114" s="487">
        <f>ITECountywide!$B$9*E114</f>
        <v>52.111690087747888</v>
      </c>
      <c r="J114" s="495">
        <f t="shared" si="67"/>
        <v>1.67</v>
      </c>
      <c r="K114" s="372">
        <f t="shared" si="68"/>
        <v>0.8872439567052266</v>
      </c>
      <c r="L114" s="488">
        <f>Passby_Length_Adj!H109</f>
        <v>0.8594671567024027</v>
      </c>
      <c r="M114" s="488">
        <f>Passby_Length_Adj!J109</f>
        <v>1</v>
      </c>
      <c r="N114" s="372">
        <v>0.5</v>
      </c>
      <c r="O114" s="481">
        <f t="shared" si="69"/>
        <v>0.42973357835120135</v>
      </c>
      <c r="P114" s="489">
        <f t="shared" si="70"/>
        <v>163.14028512284821</v>
      </c>
      <c r="Q114" s="490">
        <f t="shared" si="71"/>
        <v>97.688793486735463</v>
      </c>
      <c r="R114" s="491">
        <f t="shared" si="72"/>
        <v>261.71052631578948</v>
      </c>
      <c r="S114" s="500">
        <f t="shared" si="73"/>
        <v>25566.185558568006</v>
      </c>
      <c r="T114" s="489">
        <f t="shared" si="74"/>
        <v>2.6802839779386045</v>
      </c>
      <c r="U114" s="493">
        <f t="shared" si="75"/>
        <v>154.50490219883392</v>
      </c>
      <c r="V114" s="500">
        <f t="shared" si="76"/>
        <v>414.11701387650561</v>
      </c>
      <c r="W114" s="489">
        <f t="shared" si="77"/>
        <v>4.7590917342684076</v>
      </c>
      <c r="X114" s="493">
        <f t="shared" si="78"/>
        <v>37.9060089869281</v>
      </c>
      <c r="Y114" s="763">
        <f t="shared" si="79"/>
        <v>180.39817404879349</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6"/>
        <v>27971.476206859272</v>
      </c>
      <c r="I115" s="487">
        <f>ITECountywide!$B$9*E115</f>
        <v>55.718725332082435</v>
      </c>
      <c r="J115" s="495">
        <f t="shared" si="67"/>
        <v>1.67</v>
      </c>
      <c r="K115" s="372">
        <f t="shared" si="68"/>
        <v>0.8872439567052266</v>
      </c>
      <c r="L115" s="488">
        <f>Passby_Length_Adj!H110</f>
        <v>0.8594671567024027</v>
      </c>
      <c r="M115" s="488">
        <f>Passby_Length_Adj!J110</f>
        <v>1</v>
      </c>
      <c r="N115" s="372">
        <v>0.5</v>
      </c>
      <c r="O115" s="481">
        <f t="shared" si="69"/>
        <v>0.42973357835120135</v>
      </c>
      <c r="P115" s="489">
        <f t="shared" si="70"/>
        <v>174.43243007569927</v>
      </c>
      <c r="Q115" s="490">
        <f t="shared" si="71"/>
        <v>104.45055693155645</v>
      </c>
      <c r="R115" s="491">
        <f t="shared" si="72"/>
        <v>261.71052631578948</v>
      </c>
      <c r="S115" s="500">
        <f t="shared" si="73"/>
        <v>27335.810228534971</v>
      </c>
      <c r="T115" s="489">
        <f t="shared" si="74"/>
        <v>2.8658062428463551</v>
      </c>
      <c r="U115" s="493">
        <f t="shared" si="75"/>
        <v>154.50490219883392</v>
      </c>
      <c r="V115" s="500">
        <f t="shared" si="76"/>
        <v>442.78111327178379</v>
      </c>
      <c r="W115" s="489">
        <f t="shared" si="77"/>
        <v>5.0885036490925524</v>
      </c>
      <c r="X115" s="493">
        <f t="shared" si="78"/>
        <v>37.9060089869281</v>
      </c>
      <c r="Y115" s="763">
        <f t="shared" si="79"/>
        <v>192.88486505251873</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6"/>
        <v>37352.930978906094</v>
      </c>
      <c r="I116" s="487">
        <f>ITECountywide!$B$9*E116</f>
        <v>74.406430542680027</v>
      </c>
      <c r="J116" s="495">
        <f t="shared" si="67"/>
        <v>1.67</v>
      </c>
      <c r="K116" s="372">
        <f t="shared" si="68"/>
        <v>0.8872439567052266</v>
      </c>
      <c r="L116" s="488">
        <f>Passby_Length_Adj!H111</f>
        <v>0.8594671567024027</v>
      </c>
      <c r="M116" s="488">
        <f>Passby_Length_Adj!J111</f>
        <v>1</v>
      </c>
      <c r="N116" s="372">
        <v>0.5</v>
      </c>
      <c r="O116" s="481">
        <f t="shared" si="69"/>
        <v>0.42973357835120135</v>
      </c>
      <c r="P116" s="489">
        <f t="shared" si="70"/>
        <v>232.93595493192763</v>
      </c>
      <c r="Q116" s="490">
        <f t="shared" si="71"/>
        <v>139.48260774366923</v>
      </c>
      <c r="R116" s="491">
        <f t="shared" si="72"/>
        <v>261.71052631578948</v>
      </c>
      <c r="S116" s="500">
        <f t="shared" si="73"/>
        <v>36504.066684494486</v>
      </c>
      <c r="T116" s="489">
        <f t="shared" si="74"/>
        <v>3.8269793841523381</v>
      </c>
      <c r="U116" s="493">
        <f t="shared" si="75"/>
        <v>154.50490219883392</v>
      </c>
      <c r="V116" s="500">
        <f t="shared" si="76"/>
        <v>591.28707546541068</v>
      </c>
      <c r="W116" s="489">
        <f t="shared" si="77"/>
        <v>6.7951553284075885</v>
      </c>
      <c r="X116" s="493">
        <f t="shared" si="78"/>
        <v>37.9060089869281</v>
      </c>
      <c r="Y116" s="763">
        <f t="shared" si="79"/>
        <v>257.57721894619044</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6"/>
        <v>130667.01311987611</v>
      </c>
      <c r="I117" s="487">
        <f>ITECountywide!$B$9*E117</f>
        <v>260.28656336002075</v>
      </c>
      <c r="J117" s="495">
        <f t="shared" si="67"/>
        <v>1.67</v>
      </c>
      <c r="K117" s="372">
        <f t="shared" si="68"/>
        <v>0.8872439567052266</v>
      </c>
      <c r="L117" s="488">
        <f>Passby_Length_Adj!H112</f>
        <v>0.8594671567024027</v>
      </c>
      <c r="M117" s="488">
        <f>Passby_Length_Adj!J112</f>
        <v>1</v>
      </c>
      <c r="N117" s="372">
        <v>0.5</v>
      </c>
      <c r="O117" s="481">
        <f t="shared" si="69"/>
        <v>0.42973357835120135</v>
      </c>
      <c r="P117" s="489">
        <f t="shared" si="70"/>
        <v>814.85025890925226</v>
      </c>
      <c r="Q117" s="490">
        <f t="shared" si="71"/>
        <v>487.93428677200734</v>
      </c>
      <c r="R117" s="491">
        <f t="shared" si="72"/>
        <v>261.71052631578948</v>
      </c>
      <c r="S117" s="500">
        <f t="shared" si="73"/>
        <v>127697.5389986214</v>
      </c>
      <c r="T117" s="489">
        <f t="shared" si="74"/>
        <v>13.387435799373343</v>
      </c>
      <c r="U117" s="493">
        <f t="shared" si="75"/>
        <v>154.50490219883392</v>
      </c>
      <c r="V117" s="500">
        <f t="shared" si="76"/>
        <v>2068.4244588753463</v>
      </c>
      <c r="W117" s="489">
        <f t="shared" si="77"/>
        <v>23.770628627511076</v>
      </c>
      <c r="X117" s="493">
        <f t="shared" si="78"/>
        <v>37.9060089869281</v>
      </c>
      <c r="Y117" s="763">
        <f t="shared" si="79"/>
        <v>901.04966237936526</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6"/>
        <v>18198.748345386652</v>
      </c>
      <c r="I118" s="487">
        <f>ITECountywide!$B$9*E118</f>
        <v>36.251610495824622</v>
      </c>
      <c r="J118" s="495">
        <f t="shared" si="67"/>
        <v>1.67</v>
      </c>
      <c r="K118" s="372">
        <f t="shared" si="68"/>
        <v>0.8872439567052266</v>
      </c>
      <c r="L118" s="488">
        <f>Passby_Length_Adj!H113</f>
        <v>0.8594671567024027</v>
      </c>
      <c r="M118" s="488">
        <f>Passby_Length_Adj!J113</f>
        <v>1</v>
      </c>
      <c r="N118" s="372">
        <v>0.5</v>
      </c>
      <c r="O118" s="481">
        <f t="shared" si="69"/>
        <v>0.42973357835120135</v>
      </c>
      <c r="P118" s="489">
        <f t="shared" si="70"/>
        <v>113.48889399850312</v>
      </c>
      <c r="Q118" s="490">
        <f t="shared" si="71"/>
        <v>67.957421555989896</v>
      </c>
      <c r="R118" s="491">
        <f t="shared" si="72"/>
        <v>261.71052631578948</v>
      </c>
      <c r="S118" s="500">
        <f t="shared" si="73"/>
        <v>17785.172562482094</v>
      </c>
      <c r="T118" s="489">
        <f t="shared" si="74"/>
        <v>1.8645453759572903</v>
      </c>
      <c r="U118" s="493">
        <f t="shared" si="75"/>
        <v>154.50490219883392</v>
      </c>
      <c r="V118" s="500">
        <f t="shared" si="76"/>
        <v>288.08140095756914</v>
      </c>
      <c r="W118" s="489">
        <f t="shared" si="77"/>
        <v>3.3106725107954147</v>
      </c>
      <c r="X118" s="493">
        <f t="shared" si="78"/>
        <v>37.9060089869281</v>
      </c>
      <c r="Y118" s="763">
        <f t="shared" si="79"/>
        <v>125.49438194698681</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6"/>
        <v>20819.368107122325</v>
      </c>
      <c r="I119" s="487">
        <f>ITECountywide!$B$9*E119</f>
        <v>41.471842407223363</v>
      </c>
      <c r="J119" s="495">
        <f t="shared" si="67"/>
        <v>1.67</v>
      </c>
      <c r="K119" s="372">
        <f t="shared" si="68"/>
        <v>0.8872439567052266</v>
      </c>
      <c r="L119" s="488">
        <f>Passby_Length_Adj!H114</f>
        <v>0.8594671567024027</v>
      </c>
      <c r="M119" s="488">
        <f>Passby_Length_Adj!J114</f>
        <v>1</v>
      </c>
      <c r="N119" s="372">
        <v>0.5</v>
      </c>
      <c r="O119" s="481">
        <f t="shared" si="69"/>
        <v>0.42973357835120135</v>
      </c>
      <c r="P119" s="489">
        <f t="shared" si="70"/>
        <v>129.83129473428755</v>
      </c>
      <c r="Q119" s="490">
        <f t="shared" si="71"/>
        <v>77.743290260052433</v>
      </c>
      <c r="R119" s="491">
        <f t="shared" si="72"/>
        <v>261.71052631578948</v>
      </c>
      <c r="S119" s="500">
        <f t="shared" si="73"/>
        <v>20346.237411479513</v>
      </c>
      <c r="T119" s="489">
        <f t="shared" si="74"/>
        <v>2.1330399100951398</v>
      </c>
      <c r="U119" s="493">
        <f t="shared" si="75"/>
        <v>154.50490219883392</v>
      </c>
      <c r="V119" s="500">
        <f t="shared" si="76"/>
        <v>329.56512269545908</v>
      </c>
      <c r="W119" s="489">
        <f t="shared" si="77"/>
        <v>3.7874093523499544</v>
      </c>
      <c r="X119" s="493">
        <f t="shared" si="78"/>
        <v>37.9060089869281</v>
      </c>
      <c r="Y119" s="763">
        <f t="shared" si="79"/>
        <v>143.5655729473529</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6"/>
        <v>60419.844506683672</v>
      </c>
      <c r="I120" s="487">
        <f>ITECountywide!$B$9*E120</f>
        <v>120.35534684613775</v>
      </c>
      <c r="J120" s="495">
        <f t="shared" si="67"/>
        <v>1.67</v>
      </c>
      <c r="K120" s="372">
        <f t="shared" si="68"/>
        <v>0.8872439567052266</v>
      </c>
      <c r="L120" s="488">
        <f>Passby_Length_Adj!H115</f>
        <v>0.8594671567024027</v>
      </c>
      <c r="M120" s="488">
        <f>Passby_Length_Adj!J115</f>
        <v>1</v>
      </c>
      <c r="N120" s="372">
        <v>0.5</v>
      </c>
      <c r="O120" s="481">
        <f t="shared" si="69"/>
        <v>0.42973357835120135</v>
      </c>
      <c r="P120" s="489">
        <f t="shared" si="70"/>
        <v>376.78312807503033</v>
      </c>
      <c r="Q120" s="490">
        <f t="shared" si="71"/>
        <v>225.61863956588644</v>
      </c>
      <c r="R120" s="491">
        <f t="shared" si="72"/>
        <v>261.71052631578948</v>
      </c>
      <c r="S120" s="500">
        <f t="shared" si="73"/>
        <v>59046.772907440543</v>
      </c>
      <c r="T120" s="489">
        <f t="shared" si="74"/>
        <v>6.1902906481782036</v>
      </c>
      <c r="U120" s="493">
        <f t="shared" si="75"/>
        <v>154.50490219883392</v>
      </c>
      <c r="V120" s="500">
        <f t="shared" si="76"/>
        <v>956.43025117912953</v>
      </c>
      <c r="W120" s="489">
        <f t="shared" si="77"/>
        <v>10.991432735840778</v>
      </c>
      <c r="X120" s="493">
        <f t="shared" si="78"/>
        <v>37.9060089869281</v>
      </c>
      <c r="Y120" s="763">
        <f t="shared" si="79"/>
        <v>416.64134806399625</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6"/>
        <v>51456.960946580744</v>
      </c>
      <c r="I121" s="487">
        <f>ITECountywide!$B$9*E121</f>
        <v>102.5014286769441</v>
      </c>
      <c r="J121" s="495">
        <f t="shared" si="67"/>
        <v>1.67</v>
      </c>
      <c r="K121" s="372">
        <f t="shared" si="68"/>
        <v>0.8872439567052266</v>
      </c>
      <c r="L121" s="488">
        <f>Passby_Length_Adj!H116</f>
        <v>0.8594671567024027</v>
      </c>
      <c r="M121" s="488">
        <f>Passby_Length_Adj!J116</f>
        <v>1</v>
      </c>
      <c r="N121" s="372">
        <v>0.5</v>
      </c>
      <c r="O121" s="481">
        <f t="shared" si="69"/>
        <v>0.42973357835120135</v>
      </c>
      <c r="P121" s="489">
        <f t="shared" si="70"/>
        <v>320.88984778076752</v>
      </c>
      <c r="Q121" s="490">
        <f t="shared" si="71"/>
        <v>192.14960944956141</v>
      </c>
      <c r="R121" s="491">
        <f t="shared" si="72"/>
        <v>261.71052631578948</v>
      </c>
      <c r="S121" s="500">
        <f t="shared" si="73"/>
        <v>50287.575420418114</v>
      </c>
      <c r="T121" s="489">
        <f t="shared" si="74"/>
        <v>5.2720020505192373</v>
      </c>
      <c r="U121" s="493">
        <f t="shared" si="75"/>
        <v>154.50490219883392</v>
      </c>
      <c r="V121" s="500">
        <f t="shared" si="76"/>
        <v>814.55016120752668</v>
      </c>
      <c r="W121" s="489">
        <f t="shared" si="77"/>
        <v>9.3609265242740349</v>
      </c>
      <c r="X121" s="493">
        <f t="shared" si="78"/>
        <v>37.9060089869281</v>
      </c>
      <c r="Y121" s="763">
        <f t="shared" si="79"/>
        <v>354.83536495510521</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6"/>
        <v>9708.697545057652</v>
      </c>
      <c r="I122" s="487">
        <f>ITECountywide!$B$9*E122</f>
        <v>163.27725367319408</v>
      </c>
      <c r="J122" s="495">
        <f t="shared" si="67"/>
        <v>1.67</v>
      </c>
      <c r="K122" s="372">
        <f t="shared" si="68"/>
        <v>0.8872439567052266</v>
      </c>
      <c r="L122" s="488">
        <f>Passby_Length_Adj!H117</f>
        <v>0.31419939577039274</v>
      </c>
      <c r="M122" s="488">
        <f>Passby_Length_Adj!J117</f>
        <v>0.32400000000000001</v>
      </c>
      <c r="N122" s="372">
        <v>0.5</v>
      </c>
      <c r="O122" s="481">
        <f t="shared" si="69"/>
        <v>5.0900302114803626E-2</v>
      </c>
      <c r="P122" s="489">
        <f t="shared" si="70"/>
        <v>60.544237748849753</v>
      </c>
      <c r="Q122" s="490">
        <f t="shared" si="71"/>
        <v>36.254034580149558</v>
      </c>
      <c r="R122" s="491">
        <f t="shared" si="72"/>
        <v>261.71052631578948</v>
      </c>
      <c r="S122" s="500">
        <f t="shared" si="73"/>
        <v>9488.0624710417724</v>
      </c>
      <c r="T122" s="489">
        <f t="shared" si="74"/>
        <v>0.99470066680679414</v>
      </c>
      <c r="U122" s="493">
        <f t="shared" si="75"/>
        <v>154.50490219883392</v>
      </c>
      <c r="V122" s="500">
        <f t="shared" si="76"/>
        <v>153.68612924209862</v>
      </c>
      <c r="W122" s="489">
        <f t="shared" si="77"/>
        <v>1.766182897198934</v>
      </c>
      <c r="X122" s="493">
        <f t="shared" si="78"/>
        <v>37.9060089869281</v>
      </c>
      <c r="Y122" s="763">
        <f t="shared" si="79"/>
        <v>66.948944773781506</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6"/>
        <v>11765.113499317198</v>
      </c>
      <c r="I123" s="487">
        <f>ITECountywide!$B$9*E123</f>
        <v>197.86129008621077</v>
      </c>
      <c r="J123" s="495">
        <f t="shared" si="67"/>
        <v>1.67</v>
      </c>
      <c r="K123" s="372">
        <f t="shared" si="68"/>
        <v>0.8872439567052266</v>
      </c>
      <c r="L123" s="488">
        <f>Passby_Length_Adj!H118</f>
        <v>0.31419939577039274</v>
      </c>
      <c r="M123" s="488">
        <f>Passby_Length_Adj!J118</f>
        <v>0.32400000000000001</v>
      </c>
      <c r="N123" s="372">
        <v>0.5</v>
      </c>
      <c r="O123" s="481">
        <f t="shared" si="69"/>
        <v>5.0900302114803626E-2</v>
      </c>
      <c r="P123" s="489">
        <f t="shared" si="70"/>
        <v>73.368217058885875</v>
      </c>
      <c r="Q123" s="490">
        <f t="shared" si="71"/>
        <v>43.933064107117289</v>
      </c>
      <c r="R123" s="491">
        <f t="shared" si="72"/>
        <v>261.71052631578948</v>
      </c>
      <c r="S123" s="500">
        <f t="shared" si="73"/>
        <v>11497.745330138985</v>
      </c>
      <c r="T123" s="489">
        <f t="shared" si="74"/>
        <v>1.2053899288258179</v>
      </c>
      <c r="U123" s="493">
        <f t="shared" si="75"/>
        <v>154.50490219883392</v>
      </c>
      <c r="V123" s="500">
        <f t="shared" si="76"/>
        <v>186.23865306469236</v>
      </c>
      <c r="W123" s="489">
        <f t="shared" si="77"/>
        <v>2.1402811396340544</v>
      </c>
      <c r="X123" s="493">
        <f t="shared" si="78"/>
        <v>37.9060089869281</v>
      </c>
      <c r="Y123" s="763">
        <f t="shared" si="79"/>
        <v>81.129516113521177</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6"/>
        <v>229941.1853439603</v>
      </c>
      <c r="I124" s="487">
        <f>ITECountywide!$B$9*E124</f>
        <v>458.03909861474403</v>
      </c>
      <c r="J124" s="495">
        <f t="shared" si="67"/>
        <v>1.67</v>
      </c>
      <c r="K124" s="372">
        <f t="shared" si="68"/>
        <v>0.8872439567052266</v>
      </c>
      <c r="L124" s="488">
        <f>Passby_Length_Adj!H119</f>
        <v>0.8594671567024027</v>
      </c>
      <c r="M124" s="488">
        <f>Passby_Length_Adj!J119</f>
        <v>1</v>
      </c>
      <c r="N124" s="372">
        <v>0.5</v>
      </c>
      <c r="O124" s="481">
        <f t="shared" si="69"/>
        <v>0.42973357835120135</v>
      </c>
      <c r="P124" s="489">
        <f t="shared" si="70"/>
        <v>1433.9321756710867</v>
      </c>
      <c r="Q124" s="490">
        <f t="shared" si="71"/>
        <v>858.64202135993219</v>
      </c>
      <c r="R124" s="491">
        <f t="shared" si="72"/>
        <v>261.71052631578948</v>
      </c>
      <c r="S124" s="500">
        <f t="shared" si="73"/>
        <v>224715.65532696122</v>
      </c>
      <c r="T124" s="489">
        <f t="shared" si="74"/>
        <v>23.558530825220359</v>
      </c>
      <c r="U124" s="493">
        <f t="shared" si="75"/>
        <v>154.50490219883392</v>
      </c>
      <c r="V124" s="500">
        <f t="shared" si="76"/>
        <v>3639.9085010988856</v>
      </c>
      <c r="W124" s="489">
        <f t="shared" si="77"/>
        <v>41.830347173900059</v>
      </c>
      <c r="X124" s="493">
        <f t="shared" si="78"/>
        <v>37.9060089869281</v>
      </c>
      <c r="Y124" s="763">
        <f t="shared" si="79"/>
        <v>1585.6215159001781</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6"/>
        <v>3325.6870373804099</v>
      </c>
      <c r="I125" s="487">
        <f>ITECountywide!$B$9*E125</f>
        <v>11.419257306184756</v>
      </c>
      <c r="J125" s="495">
        <f t="shared" si="67"/>
        <v>1.67</v>
      </c>
      <c r="K125" s="372">
        <f t="shared" si="68"/>
        <v>0.8872439567052266</v>
      </c>
      <c r="L125" s="488">
        <f>Passby_Length_Adj!H120</f>
        <v>0.91993957703927487</v>
      </c>
      <c r="M125" s="488">
        <f>Passby_Length_Adj!J120</f>
        <v>0.54200000000000004</v>
      </c>
      <c r="N125" s="372">
        <v>0.5</v>
      </c>
      <c r="O125" s="481">
        <f t="shared" si="69"/>
        <v>0.2493036253776435</v>
      </c>
      <c r="P125" s="489">
        <f t="shared" si="70"/>
        <v>20.739258354168005</v>
      </c>
      <c r="Q125" s="490">
        <f t="shared" si="71"/>
        <v>12.418717577346111</v>
      </c>
      <c r="R125" s="491">
        <f t="shared" si="72"/>
        <v>261.71052631578948</v>
      </c>
      <c r="S125" s="500">
        <f t="shared" si="73"/>
        <v>3250.1091133343971</v>
      </c>
      <c r="T125" s="489">
        <f t="shared" si="74"/>
        <v>0.34073191571994338</v>
      </c>
      <c r="U125" s="493">
        <f t="shared" si="75"/>
        <v>154.50490219883392</v>
      </c>
      <c r="V125" s="500">
        <f t="shared" si="76"/>
        <v>52.644751314331174</v>
      </c>
      <c r="W125" s="489">
        <f t="shared" si="77"/>
        <v>0.6050009838701379</v>
      </c>
      <c r="X125" s="493">
        <f t="shared" si="78"/>
        <v>37.9060089869281</v>
      </c>
      <c r="Y125" s="763">
        <f t="shared" si="79"/>
        <v>22.93317273168179</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6"/>
        <v>65809.84802822549</v>
      </c>
      <c r="I126" s="487">
        <f>ITECountywide!$B$9*E126</f>
        <v>183.95879746106203</v>
      </c>
      <c r="J126" s="495">
        <f t="shared" si="67"/>
        <v>1.67</v>
      </c>
      <c r="K126" s="372">
        <f t="shared" si="68"/>
        <v>0.8872439567052266</v>
      </c>
      <c r="L126" s="488">
        <f>Passby_Length_Adj!H121</f>
        <v>0.61247081225203326</v>
      </c>
      <c r="M126" s="488">
        <f>Passby_Length_Adj!J121</f>
        <v>1</v>
      </c>
      <c r="N126" s="372">
        <v>0.5</v>
      </c>
      <c r="O126" s="481">
        <f t="shared" si="69"/>
        <v>0.30623540612601663</v>
      </c>
      <c r="P126" s="489">
        <f t="shared" si="70"/>
        <v>410.39563409459322</v>
      </c>
      <c r="Q126" s="490">
        <f t="shared" si="71"/>
        <v>245.74588867939715</v>
      </c>
      <c r="R126" s="491">
        <f t="shared" si="72"/>
        <v>261.71052631578948</v>
      </c>
      <c r="S126" s="500">
        <f t="shared" si="73"/>
        <v>64314.285866226441</v>
      </c>
      <c r="T126" s="489">
        <f t="shared" si="74"/>
        <v>6.7425212715019205</v>
      </c>
      <c r="U126" s="493">
        <f t="shared" si="75"/>
        <v>154.50490219883392</v>
      </c>
      <c r="V126" s="500">
        <f t="shared" si="76"/>
        <v>1041.7525896269615</v>
      </c>
      <c r="W126" s="489">
        <f t="shared" si="77"/>
        <v>11.971969207536237</v>
      </c>
      <c r="X126" s="493">
        <f t="shared" si="78"/>
        <v>37.9060089869281</v>
      </c>
      <c r="Y126" s="763">
        <f t="shared" si="79"/>
        <v>453.80957237209509</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6"/>
        <v>28442.002427521769</v>
      </c>
      <c r="I128" s="487">
        <f>ITECountywide!$B$9*E128</f>
        <v>283.63260051933179</v>
      </c>
      <c r="J128" s="495">
        <f t="shared" ref="J128:J137" si="80">IF(F128="Prod",$M$3,$M$4)</f>
        <v>1.67</v>
      </c>
      <c r="K128" s="372">
        <f t="shared" ref="K128:K137" si="81">IF(F128="Prod",$F$4,$F$5)</f>
        <v>0.8872439567052266</v>
      </c>
      <c r="L128" s="488">
        <f>Passby_Length_Adj!H123</f>
        <v>0.37160120845921452</v>
      </c>
      <c r="M128" s="488">
        <f>Passby_Length_Adj!J123</f>
        <v>0.46200000000000002</v>
      </c>
      <c r="N128" s="372">
        <v>0.5</v>
      </c>
      <c r="O128" s="481">
        <f t="shared" ref="O128:O137" si="82">L128*M128*N128</f>
        <v>8.5839879154078563E-2</v>
      </c>
      <c r="P128" s="489">
        <f t="shared" ref="P128:P137" si="83">IF($F128="Prod",$I128*$O128*$F$4*$F$6,$I128*O128*$F$5*$F$7)</f>
        <v>177.36667035238392</v>
      </c>
      <c r="Q128" s="490">
        <f t="shared" ref="Q128:Q137" si="84">+P128/J128</f>
        <v>106.20758703735565</v>
      </c>
      <c r="R128" s="491">
        <f t="shared" ref="R128:R137" si="85">+$Q$4</f>
        <v>261.71052631578948</v>
      </c>
      <c r="S128" s="500">
        <f t="shared" ref="S128:S137" si="86">+Q128*R128</f>
        <v>27795.643502276369</v>
      </c>
      <c r="T128" s="489">
        <f t="shared" ref="T128:T137" si="87">IF($F128="Prod",$I128*$O128*$G$4*$G$6,$I128*$O128*$G$5*$G$7)</f>
        <v>2.9140138158262463</v>
      </c>
      <c r="U128" s="493">
        <f t="shared" ref="U128:U137" si="88">+$R$4</f>
        <v>154.50490219883392</v>
      </c>
      <c r="V128" s="500">
        <f t="shared" ref="V128:V137" si="89">+T128*U128</f>
        <v>450.229419620285</v>
      </c>
      <c r="W128" s="489">
        <f t="shared" ref="W128:W137" si="90">IF($F128="Prod",$I128*$O128*$J$4*$J$6,$I128*$O128*$J$5*$J$7)</f>
        <v>5.1741006470174478</v>
      </c>
      <c r="X128" s="493">
        <f t="shared" ref="X128:X137" si="91">$S$4</f>
        <v>37.9060089869281</v>
      </c>
      <c r="Y128" s="763">
        <f t="shared" ref="Y128:Y137" si="92">+W128*X128</f>
        <v>196.12950562511386</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6"/>
        <v>18181.579133595362</v>
      </c>
      <c r="I129" s="487">
        <f>ITECountywide!$B$9*E129</f>
        <v>181.31242989486685</v>
      </c>
      <c r="J129" s="495">
        <f t="shared" si="80"/>
        <v>1.67</v>
      </c>
      <c r="K129" s="372">
        <f t="shared" si="81"/>
        <v>0.8872439567052266</v>
      </c>
      <c r="L129" s="488">
        <f>Passby_Length_Adj!H124</f>
        <v>0.37160120845921452</v>
      </c>
      <c r="M129" s="488">
        <f>Passby_Length_Adj!J124</f>
        <v>0.46200000000000002</v>
      </c>
      <c r="N129" s="372">
        <v>0.5</v>
      </c>
      <c r="O129" s="481">
        <f t="shared" si="82"/>
        <v>8.5839879154078563E-2</v>
      </c>
      <c r="P129" s="489">
        <f t="shared" si="83"/>
        <v>113.38182537927509</v>
      </c>
      <c r="Q129" s="490">
        <f t="shared" si="84"/>
        <v>67.893308610344363</v>
      </c>
      <c r="R129" s="491">
        <f t="shared" si="85"/>
        <v>261.71052631578948</v>
      </c>
      <c r="S129" s="500">
        <f t="shared" si="86"/>
        <v>17768.393529733545</v>
      </c>
      <c r="T129" s="489">
        <f t="shared" si="87"/>
        <v>1.8627863113311571</v>
      </c>
      <c r="U129" s="493">
        <f t="shared" si="88"/>
        <v>154.50490219883392</v>
      </c>
      <c r="V129" s="500">
        <f t="shared" si="89"/>
        <v>287.80961684954701</v>
      </c>
      <c r="W129" s="489">
        <f t="shared" si="90"/>
        <v>3.3075491290973629</v>
      </c>
      <c r="X129" s="493">
        <f t="shared" si="91"/>
        <v>37.9060089869281</v>
      </c>
      <c r="Y129" s="763">
        <f t="shared" si="92"/>
        <v>125.37598701227084</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6"/>
        <v>32292.415417140433</v>
      </c>
      <c r="I130" s="487">
        <f>ITECountywide!$B$9*E130</f>
        <v>151.96675119849681</v>
      </c>
      <c r="J130" s="495">
        <f t="shared" si="80"/>
        <v>1.67</v>
      </c>
      <c r="K130" s="372">
        <f t="shared" si="81"/>
        <v>0.8872439567052266</v>
      </c>
      <c r="L130" s="488">
        <f>Passby_Length_Adj!H125</f>
        <v>0.47432024169184289</v>
      </c>
      <c r="M130" s="488">
        <f>Passby_Length_Adj!J125</f>
        <v>0.76700000000000002</v>
      </c>
      <c r="N130" s="372">
        <v>0.5</v>
      </c>
      <c r="O130" s="481">
        <f t="shared" si="82"/>
        <v>0.18190181268882175</v>
      </c>
      <c r="P130" s="489">
        <f t="shared" si="83"/>
        <v>201.37816297462606</v>
      </c>
      <c r="Q130" s="490">
        <f t="shared" si="84"/>
        <v>120.58572633211142</v>
      </c>
      <c r="R130" s="491">
        <f t="shared" si="85"/>
        <v>261.71052631578948</v>
      </c>
      <c r="S130" s="500">
        <f t="shared" si="86"/>
        <v>31558.553904548633</v>
      </c>
      <c r="T130" s="489">
        <f t="shared" si="87"/>
        <v>3.3085063160282897</v>
      </c>
      <c r="U130" s="493">
        <f t="shared" si="88"/>
        <v>154.50490219883392</v>
      </c>
      <c r="V130" s="500">
        <f t="shared" si="89"/>
        <v>511.18044478217519</v>
      </c>
      <c r="W130" s="489">
        <f t="shared" si="90"/>
        <v>5.874558513570209</v>
      </c>
      <c r="X130" s="493">
        <f t="shared" si="91"/>
        <v>37.9060089869281</v>
      </c>
      <c r="Y130" s="763">
        <f t="shared" si="92"/>
        <v>222.68106780962734</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6"/>
        <v>1001.4346384132293</v>
      </c>
      <c r="I131" s="487">
        <f>ITECountywide!$B$9*E131</f>
        <v>4.7127093644572007</v>
      </c>
      <c r="J131" s="495">
        <f t="shared" si="80"/>
        <v>1.67</v>
      </c>
      <c r="K131" s="372">
        <f t="shared" si="81"/>
        <v>0.8872439567052266</v>
      </c>
      <c r="L131" s="488">
        <f>Passby_Length_Adj!H126</f>
        <v>0.47432024169184289</v>
      </c>
      <c r="M131" s="488">
        <f>Passby_Length_Adj!J126</f>
        <v>0.76700000000000002</v>
      </c>
      <c r="N131" s="372">
        <v>0.5</v>
      </c>
      <c r="O131" s="481">
        <f t="shared" si="82"/>
        <v>0.18190181268882175</v>
      </c>
      <c r="P131" s="489">
        <f t="shared" si="83"/>
        <v>6.2450289090413627</v>
      </c>
      <c r="Q131" s="490">
        <f t="shared" si="84"/>
        <v>3.7395382688870438</v>
      </c>
      <c r="R131" s="491">
        <f t="shared" si="85"/>
        <v>261.71052631578948</v>
      </c>
      <c r="S131" s="500">
        <f t="shared" si="86"/>
        <v>978.67652852846447</v>
      </c>
      <c r="T131" s="489">
        <f t="shared" si="87"/>
        <v>0.10260157945698418</v>
      </c>
      <c r="U131" s="493">
        <f t="shared" si="88"/>
        <v>154.50490219883392</v>
      </c>
      <c r="V131" s="500">
        <f t="shared" si="89"/>
        <v>15.852446999447229</v>
      </c>
      <c r="W131" s="489">
        <f t="shared" si="90"/>
        <v>0.18217857985785479</v>
      </c>
      <c r="X131" s="493">
        <f t="shared" si="91"/>
        <v>37.9060089869281</v>
      </c>
      <c r="Y131" s="763">
        <f t="shared" si="92"/>
        <v>6.9056628853176427</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6"/>
        <v>40265.417324868446</v>
      </c>
      <c r="I132" s="487">
        <f>ITECountywide!$B$9*E132</f>
        <v>203.3352832710803</v>
      </c>
      <c r="J132" s="495">
        <f t="shared" si="80"/>
        <v>1.67</v>
      </c>
      <c r="K132" s="372">
        <f t="shared" si="81"/>
        <v>0.8872439567052266</v>
      </c>
      <c r="L132" s="488">
        <f>Passby_Length_Adj!H127</f>
        <v>0.47885196374622352</v>
      </c>
      <c r="M132" s="488">
        <f>Passby_Length_Adj!J127</f>
        <v>0.70799999999999996</v>
      </c>
      <c r="N132" s="372">
        <v>0.5</v>
      </c>
      <c r="O132" s="481">
        <f t="shared" si="82"/>
        <v>0.16951359516616313</v>
      </c>
      <c r="P132" s="489">
        <f t="shared" si="83"/>
        <v>251.09845973258328</v>
      </c>
      <c r="Q132" s="490">
        <f t="shared" si="84"/>
        <v>150.35835912130736</v>
      </c>
      <c r="R132" s="491">
        <f t="shared" si="85"/>
        <v>261.71052631578948</v>
      </c>
      <c r="S132" s="500">
        <f t="shared" si="86"/>
        <v>39350.365301615835</v>
      </c>
      <c r="T132" s="489">
        <f t="shared" si="87"/>
        <v>4.1253769907261688</v>
      </c>
      <c r="U132" s="493">
        <f t="shared" si="88"/>
        <v>154.50490219883392</v>
      </c>
      <c r="V132" s="500">
        <f t="shared" si="89"/>
        <v>637.39096848546649</v>
      </c>
      <c r="W132" s="489">
        <f t="shared" si="90"/>
        <v>7.3249878367014256</v>
      </c>
      <c r="X132" s="493">
        <f t="shared" si="91"/>
        <v>37.9060089869281</v>
      </c>
      <c r="Y132" s="763">
        <f t="shared" si="92"/>
        <v>277.66105476714324</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6"/>
        <v>1568.5494179860505</v>
      </c>
      <c r="I133" s="487">
        <f>ITECountywide!$B$9*E133</f>
        <v>7.9209768933376798</v>
      </c>
      <c r="J133" s="495">
        <f t="shared" si="80"/>
        <v>1.67</v>
      </c>
      <c r="K133" s="372">
        <f t="shared" si="81"/>
        <v>0.8872439567052266</v>
      </c>
      <c r="L133" s="488">
        <f>Passby_Length_Adj!H128</f>
        <v>0.47885196374622352</v>
      </c>
      <c r="M133" s="488">
        <f>Passby_Length_Adj!J128</f>
        <v>0.70799999999999996</v>
      </c>
      <c r="N133" s="372">
        <v>0.5</v>
      </c>
      <c r="O133" s="481">
        <f t="shared" si="82"/>
        <v>0.16951359516616313</v>
      </c>
      <c r="P133" s="489">
        <f t="shared" si="83"/>
        <v>9.7816033966071423</v>
      </c>
      <c r="Q133" s="490">
        <f t="shared" si="84"/>
        <v>5.8572475428785289</v>
      </c>
      <c r="R133" s="491">
        <f t="shared" si="85"/>
        <v>261.71052631578948</v>
      </c>
      <c r="S133" s="500">
        <f t="shared" si="86"/>
        <v>1532.9033372086044</v>
      </c>
      <c r="T133" s="489">
        <f t="shared" si="87"/>
        <v>0.16070509404058977</v>
      </c>
      <c r="U133" s="493">
        <f t="shared" si="88"/>
        <v>154.50490219883392</v>
      </c>
      <c r="V133" s="500">
        <f t="shared" si="89"/>
        <v>24.82972483759573</v>
      </c>
      <c r="W133" s="489">
        <f t="shared" si="90"/>
        <v>0.28534673601698374</v>
      </c>
      <c r="X133" s="493">
        <f t="shared" si="91"/>
        <v>37.9060089869281</v>
      </c>
      <c r="Y133" s="763">
        <f t="shared" si="92"/>
        <v>10.816355939850386</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6"/>
        <v>65723.603897238369</v>
      </c>
      <c r="I134" s="487">
        <f>ITECountywide!$B$9*E134</f>
        <v>627.56975509846791</v>
      </c>
      <c r="J134" s="495">
        <f t="shared" si="80"/>
        <v>1.67</v>
      </c>
      <c r="K134" s="372">
        <f t="shared" si="81"/>
        <v>0.8872439567052266</v>
      </c>
      <c r="L134" s="488">
        <f>Passby_Length_Adj!H129</f>
        <v>0.30966767371601206</v>
      </c>
      <c r="M134" s="488">
        <f>Passby_Length_Adj!J129</f>
        <v>0.57899999999999996</v>
      </c>
      <c r="N134" s="372">
        <v>0.5</v>
      </c>
      <c r="O134" s="481">
        <f t="shared" si="82"/>
        <v>8.9648791540785491E-2</v>
      </c>
      <c r="P134" s="489">
        <f t="shared" si="83"/>
        <v>409.85780858847414</v>
      </c>
      <c r="Q134" s="490">
        <f t="shared" si="84"/>
        <v>245.42383747812823</v>
      </c>
      <c r="R134" s="491">
        <f t="shared" si="85"/>
        <v>261.71052631578948</v>
      </c>
      <c r="S134" s="500">
        <f t="shared" si="86"/>
        <v>64230.001676841719</v>
      </c>
      <c r="T134" s="489">
        <f t="shared" si="87"/>
        <v>6.7336851640629005</v>
      </c>
      <c r="U134" s="493">
        <f t="shared" si="88"/>
        <v>154.50490219883392</v>
      </c>
      <c r="V134" s="500">
        <f t="shared" si="89"/>
        <v>1040.3873677112774</v>
      </c>
      <c r="W134" s="489">
        <f t="shared" si="90"/>
        <v>11.956279882739954</v>
      </c>
      <c r="X134" s="493">
        <f t="shared" si="91"/>
        <v>37.9060089869281</v>
      </c>
      <c r="Y134" s="763">
        <f t="shared" si="92"/>
        <v>453.21485268536838</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6"/>
        <v>89398.755900425764</v>
      </c>
      <c r="I135" s="487">
        <f>ITECountywide!$B$9*E135</f>
        <v>853.63479815043024</v>
      </c>
      <c r="J135" s="495">
        <f t="shared" si="80"/>
        <v>1.67</v>
      </c>
      <c r="K135" s="372">
        <f t="shared" si="81"/>
        <v>0.8872439567052266</v>
      </c>
      <c r="L135" s="488">
        <f>Passby_Length_Adj!H130</f>
        <v>0.30966767371601206</v>
      </c>
      <c r="M135" s="488">
        <f>Passby_Length_Adj!J130</f>
        <v>0.57899999999999996</v>
      </c>
      <c r="N135" s="372">
        <v>0.5</v>
      </c>
      <c r="O135" s="481">
        <f t="shared" si="82"/>
        <v>8.9648791540785491E-2</v>
      </c>
      <c r="P135" s="489">
        <f t="shared" si="83"/>
        <v>557.49800697438661</v>
      </c>
      <c r="Q135" s="490">
        <f t="shared" si="84"/>
        <v>333.83114190083035</v>
      </c>
      <c r="R135" s="491">
        <f t="shared" si="85"/>
        <v>261.71052631578948</v>
      </c>
      <c r="S135" s="500">
        <f t="shared" si="86"/>
        <v>87367.123847467315</v>
      </c>
      <c r="T135" s="489">
        <f t="shared" si="87"/>
        <v>9.1593132542397324</v>
      </c>
      <c r="U135" s="493">
        <f t="shared" si="88"/>
        <v>154.50490219883392</v>
      </c>
      <c r="V135" s="500">
        <f t="shared" si="89"/>
        <v>1415.1587985547931</v>
      </c>
      <c r="W135" s="489">
        <f t="shared" si="90"/>
        <v>16.263206570130784</v>
      </c>
      <c r="X135" s="493">
        <f t="shared" si="91"/>
        <v>37.9060089869281</v>
      </c>
      <c r="Y135" s="763">
        <f t="shared" si="92"/>
        <v>616.47325440364557</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6"/>
        <v>155729.80436477601</v>
      </c>
      <c r="I136" s="487">
        <f>ITECountywide!$B$9*E136</f>
        <v>1487.00481092823</v>
      </c>
      <c r="J136" s="495">
        <f t="shared" si="80"/>
        <v>1.67</v>
      </c>
      <c r="K136" s="372">
        <f t="shared" si="81"/>
        <v>0.8872439567052266</v>
      </c>
      <c r="L136" s="488">
        <f>Passby_Length_Adj!H131</f>
        <v>0.30966767371601206</v>
      </c>
      <c r="M136" s="488">
        <f>Passby_Length_Adj!J131</f>
        <v>0.57899999999999996</v>
      </c>
      <c r="N136" s="372">
        <v>0.5</v>
      </c>
      <c r="O136" s="481">
        <f t="shared" si="82"/>
        <v>8.9648791540785491E-2</v>
      </c>
      <c r="P136" s="489">
        <f t="shared" si="83"/>
        <v>971.14388992811814</v>
      </c>
      <c r="Q136" s="490">
        <f t="shared" si="84"/>
        <v>581.52328738210667</v>
      </c>
      <c r="R136" s="491">
        <f t="shared" si="85"/>
        <v>261.71052631578948</v>
      </c>
      <c r="S136" s="500">
        <f t="shared" si="86"/>
        <v>152190.76560565922</v>
      </c>
      <c r="T136" s="489">
        <f t="shared" si="87"/>
        <v>15.955233904901139</v>
      </c>
      <c r="U136" s="493">
        <f t="shared" si="88"/>
        <v>154.50490219883392</v>
      </c>
      <c r="V136" s="500">
        <f t="shared" si="89"/>
        <v>2465.1618540362692</v>
      </c>
      <c r="W136" s="489">
        <f t="shared" si="90"/>
        <v>28.329991306941057</v>
      </c>
      <c r="X136" s="493">
        <f t="shared" si="91"/>
        <v>37.9060089869281</v>
      </c>
      <c r="Y136" s="763">
        <f t="shared" si="92"/>
        <v>1073.8769050805026</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6"/>
        <v>40599.726428043388</v>
      </c>
      <c r="I137" s="751">
        <f>ITECountywide!$B$9*E137</f>
        <v>311.78197606933963</v>
      </c>
      <c r="J137" s="752">
        <f t="shared" si="80"/>
        <v>1.67</v>
      </c>
      <c r="K137" s="753">
        <f t="shared" si="81"/>
        <v>0.8872439567052266</v>
      </c>
      <c r="L137" s="754">
        <f>Passby_Length_Adj!H132</f>
        <v>0.32930513595166166</v>
      </c>
      <c r="M137" s="754">
        <f>Passby_Length_Adj!J132</f>
        <v>0.67700000000000005</v>
      </c>
      <c r="N137" s="753">
        <v>0.5</v>
      </c>
      <c r="O137" s="755">
        <f t="shared" si="82"/>
        <v>0.11146978851963749</v>
      </c>
      <c r="P137" s="756">
        <f t="shared" si="83"/>
        <v>253.18323884227257</v>
      </c>
      <c r="Q137" s="757">
        <f t="shared" si="84"/>
        <v>151.60672984567222</v>
      </c>
      <c r="R137" s="758">
        <f t="shared" si="85"/>
        <v>261.71052631578948</v>
      </c>
      <c r="S137" s="767">
        <f t="shared" si="86"/>
        <v>39677.077060926589</v>
      </c>
      <c r="T137" s="756">
        <f t="shared" si="87"/>
        <v>4.1596284942161486</v>
      </c>
      <c r="U137" s="760">
        <f t="shared" si="88"/>
        <v>154.50490219883392</v>
      </c>
      <c r="V137" s="767">
        <f t="shared" si="89"/>
        <v>642.68299368234887</v>
      </c>
      <c r="W137" s="756">
        <f t="shared" si="90"/>
        <v>7.3858045443664073</v>
      </c>
      <c r="X137" s="760">
        <f t="shared" si="91"/>
        <v>37.9060089869281</v>
      </c>
      <c r="Y137" s="768">
        <f t="shared" si="92"/>
        <v>279.96637343444746</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1.5703125" style="11" customWidth="1"/>
    <col min="10" max="10" width="9.5703125" style="60" customWidth="1"/>
    <col min="11" max="11" width="11.5703125" style="12" customWidth="1"/>
    <col min="12" max="12" width="10.85546875" style="12" customWidth="1"/>
    <col min="13" max="14" width="10.5703125" style="12" customWidth="1"/>
    <col min="15" max="15" width="8.5703125" style="368" customWidth="1"/>
    <col min="16" max="16" width="8.5703125" style="12" customWidth="1"/>
    <col min="17" max="17" width="8.5703125" style="11" customWidth="1"/>
    <col min="18" max="18" width="8.5703125" style="13" customWidth="1"/>
    <col min="19" max="19" width="8.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4</v>
      </c>
      <c r="E4" s="396" t="s">
        <v>69</v>
      </c>
      <c r="F4" s="461">
        <f>'2045_24hr_all_productions'!$Q$38</f>
        <v>0.85173719352368216</v>
      </c>
      <c r="G4" s="461">
        <f>'2045_24hr_all_productions'!$S$38</f>
        <v>5.4807080371492983E-2</v>
      </c>
      <c r="H4" s="462">
        <f>'2045_24hr_all_productions'!$T$38</f>
        <v>7.0350674706332855E-2</v>
      </c>
      <c r="I4" s="461">
        <f>'2045_24hr_all_productions'!$R$38</f>
        <v>2.3105051398492022E-2</v>
      </c>
      <c r="J4" s="463">
        <f>+H4+I4</f>
        <v>9.3455726104824874E-2</v>
      </c>
      <c r="K4" s="60"/>
      <c r="L4" s="395" t="s">
        <v>73</v>
      </c>
      <c r="M4" s="393">
        <f>ITECountywide!B4</f>
        <v>1.67</v>
      </c>
      <c r="O4" s="472" t="s">
        <v>388</v>
      </c>
      <c r="P4" s="603"/>
      <c r="Q4" s="604">
        <f>+RoadCapCost!L15</f>
        <v>261.71052631578948</v>
      </c>
      <c r="R4" s="604">
        <f>+TransitCapCost!AB13</f>
        <v>405.42115030277023</v>
      </c>
      <c r="S4" s="471">
        <f>+WalkBikeCapCost!$V$7</f>
        <v>37.9060089869281</v>
      </c>
      <c r="T4" s="11"/>
    </row>
    <row r="5" spans="1:36" ht="17.100000000000001" customHeight="1" thickBot="1" x14ac:dyDescent="0.3">
      <c r="B5" s="960"/>
      <c r="C5" s="958"/>
      <c r="E5" s="396" t="s">
        <v>72</v>
      </c>
      <c r="F5" s="461">
        <f>'2045_24hr_all_attractions'!$Q$38</f>
        <v>0.85182987994952053</v>
      </c>
      <c r="G5" s="461">
        <f>'2045_24hr_all_attractions'!$S$38</f>
        <v>5.4804715729525083E-2</v>
      </c>
      <c r="H5" s="462">
        <f>'2045_24hr_all_attractions'!$T$38</f>
        <v>7.0261349785893795E-2</v>
      </c>
      <c r="I5" s="461">
        <f>'2045_24hr_all_attractions'!$R$38</f>
        <v>2.3104054535060564E-2</v>
      </c>
      <c r="J5" s="463">
        <f>+H5+I5</f>
        <v>9.3365404320954359E-2</v>
      </c>
      <c r="K5" s="60"/>
      <c r="S5" s="380"/>
      <c r="T5" s="11"/>
    </row>
    <row r="6" spans="1:36" ht="17.100000000000001" customHeight="1" x14ac:dyDescent="0.25">
      <c r="B6" s="955" t="s">
        <v>56</v>
      </c>
      <c r="C6" s="957" t="s">
        <v>58</v>
      </c>
      <c r="E6" s="396" t="s">
        <v>74</v>
      </c>
      <c r="F6" s="385">
        <f>'2045_24hr_all_productions'!$M$38</f>
        <v>6.9881027582887967</v>
      </c>
      <c r="G6" s="385">
        <f>'2045_24hr_all_productions'!$O$38</f>
        <v>8.0354910450698682</v>
      </c>
      <c r="H6" s="386">
        <f>'2045_24hr_all_productions'!$P$38</f>
        <v>0.86804814474087699</v>
      </c>
      <c r="I6" s="385">
        <f>'2045_24hr_all_productions'!$N$38</f>
        <v>3.0142857142857142</v>
      </c>
      <c r="J6" s="398">
        <f>+((H4/J4)*H6)+(I4/J4*I6)</f>
        <v>1.3986622807017546</v>
      </c>
      <c r="K6" s="60"/>
      <c r="O6" s="60"/>
      <c r="P6" s="11"/>
      <c r="S6" s="380"/>
    </row>
    <row r="7" spans="1:36" ht="17.100000000000001" customHeight="1" thickBot="1" x14ac:dyDescent="0.3">
      <c r="B7" s="956"/>
      <c r="C7" s="958"/>
      <c r="E7" s="399" t="s">
        <v>75</v>
      </c>
      <c r="F7" s="400">
        <f>'2045_24hr_all_attractions'!$M$38</f>
        <v>7.049105275153849</v>
      </c>
      <c r="G7" s="400">
        <f>'2045_24hr_all_attractions'!$O$38</f>
        <v>8.3157606770320793</v>
      </c>
      <c r="H7" s="402">
        <f>'2045_24hr_all_attractions'!$P$38</f>
        <v>0.87356770033773412</v>
      </c>
      <c r="I7" s="400">
        <f>'2045_24hr_all_attractions'!$N$38</f>
        <v>3.0427777777777778</v>
      </c>
      <c r="J7" s="401">
        <f>+((H5/J5)*H7)+(I5/J5*I7)</f>
        <v>1.4103569778188538</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64</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10094.279247771145</v>
      </c>
      <c r="I12" s="487">
        <f>ITECountywide!$B$9*E12</f>
        <v>17.853918169193626</v>
      </c>
      <c r="J12" s="488">
        <f>IF(F12="Prod",$M$3,$M$4)</f>
        <v>1.67</v>
      </c>
      <c r="K12" s="372">
        <f>IF(F12="Prod",$F$4,$F$5)</f>
        <v>0.85182987994952053</v>
      </c>
      <c r="L12" s="488">
        <f>Passby_Length_Adj!H7</f>
        <v>1</v>
      </c>
      <c r="M12" s="488">
        <f>Passby_Length_Adj!J7</f>
        <v>1</v>
      </c>
      <c r="N12" s="372">
        <v>0.5</v>
      </c>
      <c r="O12" s="481">
        <f>L12*M12*N12</f>
        <v>0.5</v>
      </c>
      <c r="P12" s="489">
        <f>IF($F12="Prod",$I12*$O12*$F$4*$F$6,$I12*O12*$F$5*$F$7)</f>
        <v>53.603162209846417</v>
      </c>
      <c r="Q12" s="490">
        <f>+P12/J12</f>
        <v>32.097701922063727</v>
      </c>
      <c r="R12" s="491">
        <f>+$Q$4</f>
        <v>261.71052631578948</v>
      </c>
      <c r="S12" s="500">
        <f>+Q12*R12</f>
        <v>8400.3064635506253</v>
      </c>
      <c r="T12" s="489">
        <f>IF($F12="Prod",$I12*$O12*$G$4*$G$6,$I12*$O12*$G$5*$G$7)</f>
        <v>4.0683982212125489</v>
      </c>
      <c r="U12" s="493">
        <f>+$R$4</f>
        <v>405.42115030277023</v>
      </c>
      <c r="V12" s="500">
        <f>+T12*U12</f>
        <v>1649.4146867337358</v>
      </c>
      <c r="W12" s="489">
        <f>IF($F12="Prod",$I12*$O12*$J$4*$J$6,$I12*$O12*$J$5*$J$7)</f>
        <v>1.175489023446108</v>
      </c>
      <c r="X12" s="493">
        <f>$S$4</f>
        <v>37.9060089869281</v>
      </c>
      <c r="Y12" s="763">
        <f>+W12*X12</f>
        <v>44.558097486783502</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5083.0076212126769</v>
      </c>
      <c r="I14" s="487">
        <f>ITECountywide!$B$9*E14</f>
        <v>8.9903994029645062</v>
      </c>
      <c r="J14" s="488">
        <f t="shared" ref="J14:J20" si="1">IF(F14="Prod",$M$3,$M$4)</f>
        <v>1.67</v>
      </c>
      <c r="K14" s="372">
        <f t="shared" ref="K14:K20" si="2">IF(F14="Prod",$F$4,$F$5)</f>
        <v>0.85182987994952053</v>
      </c>
      <c r="L14" s="488">
        <f>Passby_Length_Adj!H9</f>
        <v>1</v>
      </c>
      <c r="M14" s="488">
        <f>Passby_Length_Adj!J9</f>
        <v>1</v>
      </c>
      <c r="N14" s="372">
        <v>0.5</v>
      </c>
      <c r="O14" s="481">
        <f t="shared" ref="O14:O20" si="3">L14*M14*N14</f>
        <v>0.5</v>
      </c>
      <c r="P14" s="489">
        <f t="shared" ref="P14:P20" si="4">IF($F14="Prod",$I14*$O14*$F$4*$F$6,$I14*O14*$F$5*$F$7)</f>
        <v>26.992049193993729</v>
      </c>
      <c r="Q14" s="490">
        <f t="shared" ref="Q14:Q20" si="5">+P14/J14</f>
        <v>16.162903708978281</v>
      </c>
      <c r="R14" s="491">
        <f t="shared" ref="R14:R20" si="6">+$Q$4</f>
        <v>261.71052631578948</v>
      </c>
      <c r="S14" s="500">
        <f t="shared" ref="S14:S20" si="7">+Q14*R14</f>
        <v>4230.0020364681313</v>
      </c>
      <c r="T14" s="489">
        <f t="shared" ref="T14:T20" si="8">IF($F14="Prod",$I14*$O14*$G$4*$G$6,$I14*$O14*$G$5*$G$7)</f>
        <v>2.0486553479405325</v>
      </c>
      <c r="U14" s="493">
        <f t="shared" ref="U14:U20" si="9">+$R$4</f>
        <v>405.42115030277023</v>
      </c>
      <c r="V14" s="500">
        <f t="shared" ref="V14:V20" si="10">+T14*U14</f>
        <v>830.56820773597269</v>
      </c>
      <c r="W14" s="489">
        <f t="shared" ref="W14:W20" si="11">IF($F14="Prod",$I14*$O14*$J$4*$J$6,$I14*$O14*$J$5*$J$7)</f>
        <v>0.59192137627337005</v>
      </c>
      <c r="X14" s="493">
        <f t="shared" ref="X14:X20" si="12">$S$4</f>
        <v>37.9060089869281</v>
      </c>
      <c r="Y14" s="763">
        <f t="shared" ref="Y14:Y20" si="13">+W14*X14</f>
        <v>22.437377008573215</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3453.5757426384525</v>
      </c>
      <c r="I15" s="487">
        <f>ITECountywide!$B$9*E15</f>
        <v>6.1083963685464484</v>
      </c>
      <c r="J15" s="488">
        <f t="shared" si="1"/>
        <v>1.67</v>
      </c>
      <c r="K15" s="372">
        <f t="shared" si="2"/>
        <v>0.85182987994952053</v>
      </c>
      <c r="L15" s="488">
        <f>Passby_Length_Adj!H10</f>
        <v>1</v>
      </c>
      <c r="M15" s="488">
        <f>Passby_Length_Adj!J10</f>
        <v>1</v>
      </c>
      <c r="N15" s="372">
        <v>0.5</v>
      </c>
      <c r="O15" s="481">
        <f t="shared" si="3"/>
        <v>0.5</v>
      </c>
      <c r="P15" s="489">
        <f t="shared" si="4"/>
        <v>18.339356004790094</v>
      </c>
      <c r="Q15" s="490">
        <f t="shared" si="5"/>
        <v>10.981650302269518</v>
      </c>
      <c r="R15" s="491">
        <f t="shared" si="6"/>
        <v>261.71052631578948</v>
      </c>
      <c r="S15" s="500">
        <f t="shared" si="7"/>
        <v>2874.0134804229042</v>
      </c>
      <c r="T15" s="489">
        <f t="shared" si="8"/>
        <v>1.3919291376128213</v>
      </c>
      <c r="U15" s="493">
        <f t="shared" si="9"/>
        <v>405.42115030277023</v>
      </c>
      <c r="V15" s="500">
        <f t="shared" si="10"/>
        <v>564.31751211093297</v>
      </c>
      <c r="W15" s="489">
        <f t="shared" si="11"/>
        <v>0.40217238670186634</v>
      </c>
      <c r="X15" s="493">
        <f t="shared" si="12"/>
        <v>37.9060089869281</v>
      </c>
      <c r="Y15" s="763">
        <f t="shared" si="13"/>
        <v>15.244750104615269</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4027.4636998721417</v>
      </c>
      <c r="I16" s="487">
        <f>ITECountywide!$B$9*E16</f>
        <v>7.1234414624295379</v>
      </c>
      <c r="J16" s="488">
        <f t="shared" si="1"/>
        <v>1.67</v>
      </c>
      <c r="K16" s="372">
        <f t="shared" si="2"/>
        <v>0.85182987994952053</v>
      </c>
      <c r="L16" s="488">
        <f>Passby_Length_Adj!H11</f>
        <v>1</v>
      </c>
      <c r="M16" s="488">
        <f>Passby_Length_Adj!J11</f>
        <v>1</v>
      </c>
      <c r="N16" s="372">
        <v>0.5</v>
      </c>
      <c r="O16" s="481">
        <f t="shared" si="3"/>
        <v>0.5</v>
      </c>
      <c r="P16" s="489">
        <f t="shared" si="4"/>
        <v>21.386845429918417</v>
      </c>
      <c r="Q16" s="490">
        <f t="shared" si="5"/>
        <v>12.806494269412227</v>
      </c>
      <c r="R16" s="491">
        <f t="shared" si="6"/>
        <v>261.71052631578948</v>
      </c>
      <c r="S16" s="500">
        <f t="shared" si="7"/>
        <v>3351.5943555080157</v>
      </c>
      <c r="T16" s="489">
        <f t="shared" si="8"/>
        <v>1.6232289349609459</v>
      </c>
      <c r="U16" s="493">
        <f t="shared" si="9"/>
        <v>405.42115030277023</v>
      </c>
      <c r="V16" s="500">
        <f t="shared" si="10"/>
        <v>658.09134201660731</v>
      </c>
      <c r="W16" s="489">
        <f t="shared" si="11"/>
        <v>0.46900221950692428</v>
      </c>
      <c r="X16" s="493">
        <f t="shared" si="12"/>
        <v>37.9060089869281</v>
      </c>
      <c r="Y16" s="763">
        <f t="shared" si="13"/>
        <v>17.778002347518697</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1783.1518671189633</v>
      </c>
      <c r="I17" s="487">
        <f>ITECountywide!$B$9*E17</f>
        <v>3.1538901131367418</v>
      </c>
      <c r="J17" s="488">
        <f t="shared" si="1"/>
        <v>1.67</v>
      </c>
      <c r="K17" s="372">
        <f t="shared" si="2"/>
        <v>0.85182987994952053</v>
      </c>
      <c r="L17" s="488">
        <f>Passby_Length_Adj!H12</f>
        <v>1</v>
      </c>
      <c r="M17" s="488">
        <f>Passby_Length_Adj!J12</f>
        <v>1</v>
      </c>
      <c r="N17" s="372">
        <v>0.5</v>
      </c>
      <c r="O17" s="481">
        <f t="shared" si="3"/>
        <v>0.5</v>
      </c>
      <c r="P17" s="489">
        <f t="shared" si="4"/>
        <v>9.4689849995058637</v>
      </c>
      <c r="Q17" s="490">
        <f t="shared" si="5"/>
        <v>5.6700508979077027</v>
      </c>
      <c r="R17" s="491">
        <f t="shared" si="6"/>
        <v>261.71052631578948</v>
      </c>
      <c r="S17" s="500">
        <f t="shared" si="7"/>
        <v>1483.9120047287395</v>
      </c>
      <c r="T17" s="489">
        <f t="shared" si="8"/>
        <v>0.71868151318881568</v>
      </c>
      <c r="U17" s="493">
        <f t="shared" si="9"/>
        <v>405.42115030277023</v>
      </c>
      <c r="V17" s="500">
        <f t="shared" si="10"/>
        <v>291.3686857783452</v>
      </c>
      <c r="W17" s="489">
        <f t="shared" si="11"/>
        <v>0.20764983764428707</v>
      </c>
      <c r="X17" s="493">
        <f t="shared" si="12"/>
        <v>37.9060089869281</v>
      </c>
      <c r="Y17" s="763">
        <f t="shared" si="13"/>
        <v>7.8711766118785063</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1547.447884683698</v>
      </c>
      <c r="I18" s="487">
        <f>ITECountywide!$B$9*E18</f>
        <v>2.736996592434759</v>
      </c>
      <c r="J18" s="495">
        <f t="shared" si="1"/>
        <v>1.67</v>
      </c>
      <c r="K18" s="372">
        <f t="shared" si="2"/>
        <v>0.85182987994952053</v>
      </c>
      <c r="L18" s="488">
        <f>Passby_Length_Adj!H13</f>
        <v>1</v>
      </c>
      <c r="M18" s="488">
        <f>Passby_Length_Adj!J13</f>
        <v>1</v>
      </c>
      <c r="N18" s="372">
        <v>0.5</v>
      </c>
      <c r="O18" s="481">
        <f t="shared" si="3"/>
        <v>0.5</v>
      </c>
      <c r="P18" s="489">
        <f t="shared" si="4"/>
        <v>8.2173375570424447</v>
      </c>
      <c r="Q18" s="490">
        <f t="shared" si="5"/>
        <v>4.9205614114026615</v>
      </c>
      <c r="R18" s="491">
        <f t="shared" si="6"/>
        <v>261.71052631578948</v>
      </c>
      <c r="S18" s="500">
        <f t="shared" si="7"/>
        <v>1287.7627167473545</v>
      </c>
      <c r="T18" s="489">
        <f t="shared" si="8"/>
        <v>0.62368338213512176</v>
      </c>
      <c r="U18" s="493">
        <f t="shared" si="9"/>
        <v>405.42115030277023</v>
      </c>
      <c r="V18" s="500">
        <f t="shared" si="10"/>
        <v>252.85443420994326</v>
      </c>
      <c r="W18" s="489">
        <f t="shared" si="11"/>
        <v>0.18020187059935258</v>
      </c>
      <c r="X18" s="493">
        <f t="shared" si="12"/>
        <v>37.9060089869281</v>
      </c>
      <c r="Y18" s="763">
        <f t="shared" si="13"/>
        <v>6.8307337264003136</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1014.5519243952723</v>
      </c>
      <c r="I19" s="487">
        <f>ITECountywide!$B$9*E19</f>
        <v>1.7944547195433187</v>
      </c>
      <c r="J19" s="488">
        <f t="shared" si="1"/>
        <v>1.67</v>
      </c>
      <c r="K19" s="372">
        <f t="shared" si="2"/>
        <v>0.85182987994952053</v>
      </c>
      <c r="L19" s="488">
        <f>Passby_Length_Adj!H14</f>
        <v>1</v>
      </c>
      <c r="M19" s="488">
        <f>Passby_Length_Adj!J14</f>
        <v>1</v>
      </c>
      <c r="N19" s="372">
        <v>0.5</v>
      </c>
      <c r="O19" s="481">
        <f t="shared" si="3"/>
        <v>0.5</v>
      </c>
      <c r="P19" s="489">
        <f t="shared" si="4"/>
        <v>5.3875259479947157</v>
      </c>
      <c r="Q19" s="490">
        <f t="shared" si="5"/>
        <v>3.2260634419130034</v>
      </c>
      <c r="R19" s="491">
        <f t="shared" si="6"/>
        <v>261.71052631578948</v>
      </c>
      <c r="S19" s="500">
        <f t="shared" si="7"/>
        <v>844.29476131117951</v>
      </c>
      <c r="T19" s="489">
        <f t="shared" si="8"/>
        <v>0.40890499888329174</v>
      </c>
      <c r="U19" s="493">
        <f t="shared" si="9"/>
        <v>405.42115030277023</v>
      </c>
      <c r="V19" s="500">
        <f t="shared" si="10"/>
        <v>165.7787350118171</v>
      </c>
      <c r="W19" s="489">
        <f t="shared" si="11"/>
        <v>0.11814559728037023</v>
      </c>
      <c r="X19" s="493">
        <f t="shared" si="12"/>
        <v>37.9060089869281</v>
      </c>
      <c r="Y19" s="763">
        <f t="shared" si="13"/>
        <v>4.4784280722757019</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13568.35098888223</v>
      </c>
      <c r="I20" s="487">
        <f>ITECountywide!$B$9*E20</f>
        <v>23.998566148235899</v>
      </c>
      <c r="J20" s="488">
        <f t="shared" si="1"/>
        <v>1.67</v>
      </c>
      <c r="K20" s="372">
        <f t="shared" si="2"/>
        <v>0.85182987994952053</v>
      </c>
      <c r="L20" s="488">
        <f>Passby_Length_Adj!H15</f>
        <v>1</v>
      </c>
      <c r="M20" s="488">
        <f>Passby_Length_Adj!J15</f>
        <v>1</v>
      </c>
      <c r="N20" s="372">
        <v>0.5</v>
      </c>
      <c r="O20" s="481">
        <f t="shared" si="3"/>
        <v>0.5</v>
      </c>
      <c r="P20" s="489">
        <f t="shared" si="4"/>
        <v>72.051357122676805</v>
      </c>
      <c r="Q20" s="490">
        <f t="shared" si="5"/>
        <v>43.144525223159768</v>
      </c>
      <c r="R20" s="491">
        <f t="shared" si="6"/>
        <v>261.71052631578948</v>
      </c>
      <c r="S20" s="500">
        <f t="shared" si="7"/>
        <v>11291.376403797998</v>
      </c>
      <c r="T20" s="489">
        <f t="shared" si="8"/>
        <v>5.4685880658735178</v>
      </c>
      <c r="U20" s="493">
        <f t="shared" si="9"/>
        <v>405.42115030277023</v>
      </c>
      <c r="V20" s="500">
        <f t="shared" si="10"/>
        <v>2217.081264198443</v>
      </c>
      <c r="W20" s="489">
        <f t="shared" si="11"/>
        <v>1.5800481898910121</v>
      </c>
      <c r="X20" s="493">
        <f t="shared" si="12"/>
        <v>37.9060089869281</v>
      </c>
      <c r="Y20" s="763">
        <f t="shared" si="13"/>
        <v>59.893320885788185</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9550.048853028884</v>
      </c>
      <c r="I22" s="487">
        <f>ITECountywide!$B$9*E22</f>
        <v>17.110760154029219</v>
      </c>
      <c r="J22" s="488">
        <f t="shared" ref="J22:J35" si="14">IF(F22="Prod",$M$3,$M$4)</f>
        <v>1.67</v>
      </c>
      <c r="K22" s="372">
        <f t="shared" ref="K22:K35" si="15">IF(F22="Prod",$F$4,$F$5)</f>
        <v>0.85173719352368216</v>
      </c>
      <c r="L22" s="488">
        <f>Passby_Length_Adj!H17</f>
        <v>1</v>
      </c>
      <c r="M22" s="488">
        <f>Passby_Length_Adj!J17</f>
        <v>1</v>
      </c>
      <c r="N22" s="372">
        <v>0.5</v>
      </c>
      <c r="O22" s="481">
        <f t="shared" ref="O22:O35" si="16">L22*M22*N22</f>
        <v>0.5</v>
      </c>
      <c r="P22" s="489">
        <f t="shared" ref="P22:P35" si="17">IF($F22="Prod",$I22*$O22*$F$4*$F$6,$I22*O22*$F$5*$F$7)</f>
        <v>50.921853482291986</v>
      </c>
      <c r="Q22" s="490">
        <f t="shared" ref="Q22:Q35" si="18">+P22/J22</f>
        <v>30.492127833707777</v>
      </c>
      <c r="R22" s="491">
        <f t="shared" ref="R22:R35" si="19">+$Q$4</f>
        <v>261.71052631578948</v>
      </c>
      <c r="S22" s="500">
        <f t="shared" ref="S22:S35" si="20">+Q22*R22</f>
        <v>7980.1108238479956</v>
      </c>
      <c r="T22" s="489">
        <f t="shared" ref="T22:T35" si="21">IF($F22="Prod",$I22*$O22*$G$4*$G$6,$I22*$O22*$G$5*$G$7)</f>
        <v>3.7678048158151798</v>
      </c>
      <c r="U22" s="493">
        <f t="shared" ref="U22:U35" si="22">+$R$4</f>
        <v>405.42115030277023</v>
      </c>
      <c r="V22" s="500">
        <f t="shared" ref="V22:V35" si="23">+T22*U22</f>
        <v>1527.5477625441074</v>
      </c>
      <c r="W22" s="489">
        <f t="shared" ref="W22:W35" si="24">IF($F22="Prod",$I22*$O22*$J$4*$J$6,$I22*$O22*$J$5*$J$7)</f>
        <v>1.1182993876089595</v>
      </c>
      <c r="X22" s="493">
        <f t="shared" ref="X22:X35" si="25">$S$4</f>
        <v>37.9060089869281</v>
      </c>
      <c r="Y22" s="763">
        <f t="shared" ref="Y22:Y35" si="26">+W22*X22</f>
        <v>42.390266636781412</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7405.3344919673145</v>
      </c>
      <c r="I23" s="487">
        <f>ITECountywide!$B$9*E23</f>
        <v>13.268089441471812</v>
      </c>
      <c r="J23" s="488">
        <f t="shared" si="14"/>
        <v>1.67</v>
      </c>
      <c r="K23" s="372">
        <f t="shared" si="15"/>
        <v>0.85173719352368216</v>
      </c>
      <c r="L23" s="488">
        <f>Passby_Length_Adj!H18</f>
        <v>1</v>
      </c>
      <c r="M23" s="488">
        <f>Passby_Length_Adj!J18</f>
        <v>1</v>
      </c>
      <c r="N23" s="372">
        <v>0.5</v>
      </c>
      <c r="O23" s="481">
        <f t="shared" si="16"/>
        <v>0.5</v>
      </c>
      <c r="P23" s="489">
        <f t="shared" si="17"/>
        <v>39.486013505336587</v>
      </c>
      <c r="Q23" s="490">
        <f t="shared" si="18"/>
        <v>23.644319464273405</v>
      </c>
      <c r="R23" s="491">
        <f t="shared" si="19"/>
        <v>261.71052631578948</v>
      </c>
      <c r="S23" s="500">
        <f t="shared" si="20"/>
        <v>6187.9672913736586</v>
      </c>
      <c r="T23" s="489">
        <f t="shared" si="21"/>
        <v>2.9216452597210938</v>
      </c>
      <c r="U23" s="493">
        <f t="shared" si="22"/>
        <v>405.42115030277023</v>
      </c>
      <c r="V23" s="500">
        <f t="shared" si="23"/>
        <v>1184.4967819727617</v>
      </c>
      <c r="W23" s="489">
        <f t="shared" si="24"/>
        <v>0.86715588106965946</v>
      </c>
      <c r="X23" s="493">
        <f t="shared" si="25"/>
        <v>37.9060089869281</v>
      </c>
      <c r="Y23" s="763">
        <f t="shared" si="26"/>
        <v>32.870418620894064</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5503.4179831013917</v>
      </c>
      <c r="I24" s="487">
        <f>ITECountywide!$B$9*E24</f>
        <v>9.8604380548642965</v>
      </c>
      <c r="J24" s="488">
        <f t="shared" si="14"/>
        <v>1.67</v>
      </c>
      <c r="K24" s="372">
        <f t="shared" si="15"/>
        <v>0.85173719352368216</v>
      </c>
      <c r="L24" s="488">
        <f>Passby_Length_Adj!H19</f>
        <v>1</v>
      </c>
      <c r="M24" s="488">
        <f>Passby_Length_Adj!J19</f>
        <v>1</v>
      </c>
      <c r="N24" s="372">
        <v>0.5</v>
      </c>
      <c r="O24" s="481">
        <f t="shared" si="16"/>
        <v>0.5</v>
      </c>
      <c r="P24" s="489">
        <f t="shared" si="17"/>
        <v>29.344796921998771</v>
      </c>
      <c r="Q24" s="490">
        <f t="shared" si="18"/>
        <v>17.5717346838316</v>
      </c>
      <c r="R24" s="491">
        <f t="shared" si="19"/>
        <v>261.71052631578948</v>
      </c>
      <c r="S24" s="500">
        <f t="shared" si="20"/>
        <v>4598.7079323869812</v>
      </c>
      <c r="T24" s="489">
        <f t="shared" si="21"/>
        <v>2.1712773514867139</v>
      </c>
      <c r="U24" s="493">
        <f t="shared" si="22"/>
        <v>405.42115030277023</v>
      </c>
      <c r="V24" s="500">
        <f t="shared" si="23"/>
        <v>880.28176146609587</v>
      </c>
      <c r="W24" s="489">
        <f t="shared" si="24"/>
        <v>0.64444371489329877</v>
      </c>
      <c r="X24" s="493">
        <f t="shared" si="25"/>
        <v>37.9060089869281</v>
      </c>
      <c r="Y24" s="763">
        <f t="shared" si="26"/>
        <v>24.428289248314712</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4501.8768427943369</v>
      </c>
      <c r="I25" s="487">
        <f>ITECountywide!$B$9*E25</f>
        <v>8.0659833353209791</v>
      </c>
      <c r="J25" s="488">
        <f t="shared" si="14"/>
        <v>1.67</v>
      </c>
      <c r="K25" s="372">
        <f t="shared" si="15"/>
        <v>0.85173719352368216</v>
      </c>
      <c r="L25" s="488">
        <f>Passby_Length_Adj!H20</f>
        <v>1</v>
      </c>
      <c r="M25" s="488">
        <f>Passby_Length_Adj!J20</f>
        <v>1</v>
      </c>
      <c r="N25" s="372">
        <v>0.5</v>
      </c>
      <c r="O25" s="481">
        <f t="shared" si="16"/>
        <v>0.5</v>
      </c>
      <c r="P25" s="489">
        <f t="shared" si="17"/>
        <v>24.004475423326205</v>
      </c>
      <c r="Q25" s="490">
        <f t="shared" si="18"/>
        <v>14.373937379237249</v>
      </c>
      <c r="R25" s="491">
        <f t="shared" si="19"/>
        <v>261.71052631578948</v>
      </c>
      <c r="S25" s="500">
        <f t="shared" si="20"/>
        <v>3761.8107167503804</v>
      </c>
      <c r="T25" s="489">
        <f t="shared" si="21"/>
        <v>1.7761368040654191</v>
      </c>
      <c r="U25" s="493">
        <f t="shared" si="22"/>
        <v>405.42115030277023</v>
      </c>
      <c r="V25" s="500">
        <f t="shared" si="23"/>
        <v>720.08342619928817</v>
      </c>
      <c r="W25" s="489">
        <f t="shared" si="24"/>
        <v>0.5271644358961729</v>
      </c>
      <c r="X25" s="493">
        <f t="shared" si="25"/>
        <v>37.9060089869281</v>
      </c>
      <c r="Y25" s="763">
        <f t="shared" si="26"/>
        <v>19.982699844669213</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5928.3142244437795</v>
      </c>
      <c r="I26" s="487">
        <f>ITECountywide!$B$9*E26</f>
        <v>10.621721875276615</v>
      </c>
      <c r="J26" s="488">
        <f t="shared" si="14"/>
        <v>1.67</v>
      </c>
      <c r="K26" s="372">
        <f t="shared" si="15"/>
        <v>0.85173719352368216</v>
      </c>
      <c r="L26" s="488">
        <f>Passby_Length_Adj!H22</f>
        <v>1</v>
      </c>
      <c r="M26" s="488">
        <f>Passby_Length_Adj!J22</f>
        <v>1</v>
      </c>
      <c r="N26" s="372">
        <v>0.5</v>
      </c>
      <c r="O26" s="481">
        <f t="shared" si="16"/>
        <v>0.5</v>
      </c>
      <c r="P26" s="489">
        <f t="shared" si="17"/>
        <v>31.610387860829565</v>
      </c>
      <c r="Q26" s="490">
        <f t="shared" si="18"/>
        <v>18.928375964568602</v>
      </c>
      <c r="R26" s="491">
        <f t="shared" si="19"/>
        <v>261.71052631578948</v>
      </c>
      <c r="S26" s="500">
        <f t="shared" si="20"/>
        <v>4953.7552359903884</v>
      </c>
      <c r="T26" s="489">
        <f t="shared" si="21"/>
        <v>2.3389127352412031</v>
      </c>
      <c r="U26" s="493">
        <f t="shared" si="22"/>
        <v>405.42115030277023</v>
      </c>
      <c r="V26" s="500">
        <f t="shared" si="23"/>
        <v>948.24469157928729</v>
      </c>
      <c r="W26" s="489">
        <f t="shared" si="24"/>
        <v>0.69419856052844331</v>
      </c>
      <c r="X26" s="493">
        <f t="shared" si="25"/>
        <v>37.9060089869281</v>
      </c>
      <c r="Y26" s="763">
        <f t="shared" si="26"/>
        <v>26.314296874103722</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3480.1025481376446</v>
      </c>
      <c r="I27" s="487">
        <f>ITECountywide!$B$9*E27</f>
        <v>6.2352770052818345</v>
      </c>
      <c r="J27" s="488">
        <f t="shared" si="14"/>
        <v>1.67</v>
      </c>
      <c r="K27" s="372">
        <f t="shared" si="15"/>
        <v>0.85173719352368216</v>
      </c>
      <c r="L27" s="488">
        <f>Passby_Length_Adj!H22</f>
        <v>1</v>
      </c>
      <c r="M27" s="488">
        <f>Passby_Length_Adj!J22</f>
        <v>1</v>
      </c>
      <c r="N27" s="372">
        <v>0.5</v>
      </c>
      <c r="O27" s="481">
        <f t="shared" si="16"/>
        <v>0.5</v>
      </c>
      <c r="P27" s="489">
        <f t="shared" si="17"/>
        <v>18.556268641852164</v>
      </c>
      <c r="Q27" s="490">
        <f t="shared" si="18"/>
        <v>11.111538108893512</v>
      </c>
      <c r="R27" s="491">
        <f t="shared" si="19"/>
        <v>261.71052631578948</v>
      </c>
      <c r="S27" s="500">
        <f t="shared" si="20"/>
        <v>2908.006486656473</v>
      </c>
      <c r="T27" s="489">
        <f t="shared" si="21"/>
        <v>1.3730136193224809</v>
      </c>
      <c r="U27" s="493">
        <f t="shared" si="22"/>
        <v>405.42115030277023</v>
      </c>
      <c r="V27" s="500">
        <f t="shared" si="23"/>
        <v>556.64876092709005</v>
      </c>
      <c r="W27" s="489">
        <f t="shared" si="24"/>
        <v>0.40751587853546833</v>
      </c>
      <c r="X27" s="493">
        <f t="shared" si="25"/>
        <v>37.9060089869281</v>
      </c>
      <c r="Y27" s="763">
        <f t="shared" si="26"/>
        <v>15.447300554081362</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5058.2885874093681</v>
      </c>
      <c r="I28" s="487">
        <f>ITECountywide!$B$9*E28</f>
        <v>9.0629026239561554</v>
      </c>
      <c r="J28" s="488">
        <f t="shared" si="14"/>
        <v>1.67</v>
      </c>
      <c r="K28" s="372">
        <f t="shared" si="15"/>
        <v>0.85173719352368216</v>
      </c>
      <c r="L28" s="488">
        <f>Passby_Length_Adj!H23</f>
        <v>1</v>
      </c>
      <c r="M28" s="488">
        <f>Passby_Length_Adj!J23</f>
        <v>1</v>
      </c>
      <c r="N28" s="372">
        <v>0.5</v>
      </c>
      <c r="O28" s="481">
        <f t="shared" si="16"/>
        <v>0.5</v>
      </c>
      <c r="P28" s="489">
        <f t="shared" si="17"/>
        <v>26.971320700366523</v>
      </c>
      <c r="Q28" s="490">
        <f t="shared" si="18"/>
        <v>16.150491437345224</v>
      </c>
      <c r="R28" s="491">
        <f t="shared" si="19"/>
        <v>261.71052631578948</v>
      </c>
      <c r="S28" s="500">
        <f t="shared" si="20"/>
        <v>4226.7536143262696</v>
      </c>
      <c r="T28" s="489">
        <f t="shared" si="21"/>
        <v>1.995659330410583</v>
      </c>
      <c r="U28" s="493">
        <f t="shared" si="22"/>
        <v>405.42115030277023</v>
      </c>
      <c r="V28" s="500">
        <f t="shared" si="23"/>
        <v>809.08250134751472</v>
      </c>
      <c r="W28" s="489">
        <f t="shared" si="24"/>
        <v>0.59231959089457609</v>
      </c>
      <c r="X28" s="493">
        <f t="shared" si="25"/>
        <v>37.9060089869281</v>
      </c>
      <c r="Y28" s="763">
        <f t="shared" si="26"/>
        <v>22.452471735583376</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4319.7784536475992</v>
      </c>
      <c r="I29" s="487">
        <f>ITECountywide!$B$9*E29</f>
        <v>7.739718840858556</v>
      </c>
      <c r="J29" s="488">
        <f t="shared" si="14"/>
        <v>1.67</v>
      </c>
      <c r="K29" s="372">
        <f t="shared" si="15"/>
        <v>0.85173719352368216</v>
      </c>
      <c r="L29" s="488">
        <f>Passby_Length_Adj!H24</f>
        <v>1</v>
      </c>
      <c r="M29" s="488">
        <f>Passby_Length_Adj!J24</f>
        <v>1</v>
      </c>
      <c r="N29" s="372">
        <v>0.5</v>
      </c>
      <c r="O29" s="481">
        <f t="shared" si="16"/>
        <v>0.5</v>
      </c>
      <c r="P29" s="489">
        <f t="shared" si="17"/>
        <v>23.033507878113006</v>
      </c>
      <c r="Q29" s="490">
        <f t="shared" si="18"/>
        <v>13.792519687492819</v>
      </c>
      <c r="R29" s="491">
        <f t="shared" si="19"/>
        <v>261.71052631578948</v>
      </c>
      <c r="S29" s="500">
        <f t="shared" si="20"/>
        <v>3609.6475866346336</v>
      </c>
      <c r="T29" s="489">
        <f t="shared" si="21"/>
        <v>1.7042930681706376</v>
      </c>
      <c r="U29" s="493">
        <f t="shared" si="22"/>
        <v>405.42115030277023</v>
      </c>
      <c r="V29" s="500">
        <f t="shared" si="23"/>
        <v>690.95645615077751</v>
      </c>
      <c r="W29" s="489">
        <f t="shared" si="24"/>
        <v>0.50584093062396795</v>
      </c>
      <c r="X29" s="493">
        <f t="shared" si="25"/>
        <v>37.9060089869281</v>
      </c>
      <c r="Y29" s="763">
        <f t="shared" si="26"/>
        <v>19.174410862188203</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3743.1335546829323</v>
      </c>
      <c r="I30" s="487">
        <f>ITECountywide!$B$9*E30</f>
        <v>6.7065479417275551</v>
      </c>
      <c r="J30" s="488">
        <f t="shared" si="14"/>
        <v>1.67</v>
      </c>
      <c r="K30" s="372">
        <f t="shared" si="15"/>
        <v>0.85173719352368216</v>
      </c>
      <c r="L30" s="488">
        <f>Passby_Length_Adj!H25</f>
        <v>1</v>
      </c>
      <c r="M30" s="488">
        <f>Passby_Length_Adj!J25</f>
        <v>1</v>
      </c>
      <c r="N30" s="372">
        <v>0.5</v>
      </c>
      <c r="O30" s="481">
        <f t="shared" si="16"/>
        <v>0.5</v>
      </c>
      <c r="P30" s="489">
        <f t="shared" si="17"/>
        <v>19.958777318271228</v>
      </c>
      <c r="Q30" s="490">
        <f t="shared" si="18"/>
        <v>11.951363663635465</v>
      </c>
      <c r="R30" s="491">
        <f t="shared" si="19"/>
        <v>261.71052631578948</v>
      </c>
      <c r="S30" s="500">
        <f t="shared" si="20"/>
        <v>3127.7976746014397</v>
      </c>
      <c r="T30" s="489">
        <f t="shared" si="21"/>
        <v>1.4767879045038312</v>
      </c>
      <c r="U30" s="493">
        <f t="shared" si="22"/>
        <v>405.42115030277023</v>
      </c>
      <c r="V30" s="500">
        <f t="shared" si="23"/>
        <v>598.72105099716089</v>
      </c>
      <c r="W30" s="489">
        <f t="shared" si="24"/>
        <v>0.43831649726198635</v>
      </c>
      <c r="X30" s="493">
        <f t="shared" si="25"/>
        <v>37.9060089869281</v>
      </c>
      <c r="Y30" s="763">
        <f t="shared" si="26"/>
        <v>16.614829084331699</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680.75480861646827</v>
      </c>
      <c r="I31" s="487">
        <f>ITECountywide!$B$9*E31</f>
        <v>3.6614126600782866</v>
      </c>
      <c r="J31" s="488">
        <f t="shared" si="14"/>
        <v>1.67</v>
      </c>
      <c r="K31" s="372">
        <f t="shared" si="15"/>
        <v>0.85173719352368216</v>
      </c>
      <c r="L31" s="488">
        <f>Passby_Length_Adj!H26</f>
        <v>0.46525679758308158</v>
      </c>
      <c r="M31" s="488">
        <f>Passby_Length_Adj!J26</f>
        <v>0.71599999999999997</v>
      </c>
      <c r="N31" s="372">
        <v>0.5</v>
      </c>
      <c r="O31" s="481">
        <f t="shared" si="16"/>
        <v>0.16656193353474319</v>
      </c>
      <c r="P31" s="489">
        <f t="shared" si="17"/>
        <v>3.6298554232776628</v>
      </c>
      <c r="Q31" s="490">
        <f t="shared" si="18"/>
        <v>2.1735661217231512</v>
      </c>
      <c r="R31" s="491">
        <f t="shared" si="19"/>
        <v>261.71052631578948</v>
      </c>
      <c r="S31" s="500">
        <f t="shared" si="20"/>
        <v>568.8451336983353</v>
      </c>
      <c r="T31" s="489">
        <f t="shared" si="21"/>
        <v>0.26857990841386881</v>
      </c>
      <c r="U31" s="493">
        <f t="shared" si="22"/>
        <v>405.42115030277023</v>
      </c>
      <c r="V31" s="500">
        <f t="shared" si="23"/>
        <v>108.88797541736336</v>
      </c>
      <c r="W31" s="489">
        <f t="shared" si="24"/>
        <v>7.9715580234566208E-2</v>
      </c>
      <c r="X31" s="493">
        <f t="shared" si="25"/>
        <v>37.9060089869281</v>
      </c>
      <c r="Y31" s="763">
        <f t="shared" si="26"/>
        <v>3.0216995007696545</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876.21906059545427</v>
      </c>
      <c r="I32" s="487">
        <f>ITECountywide!$B$9*E32</f>
        <v>4.7127093644572007</v>
      </c>
      <c r="J32" s="495">
        <f t="shared" si="14"/>
        <v>1.67</v>
      </c>
      <c r="K32" s="372">
        <f t="shared" si="15"/>
        <v>0.85173719352368216</v>
      </c>
      <c r="L32" s="488">
        <f>Passby_Length_Adj!H27</f>
        <v>0.46525679758308158</v>
      </c>
      <c r="M32" s="488">
        <f>Passby_Length_Adj!J27</f>
        <v>0.71599999999999997</v>
      </c>
      <c r="N32" s="372">
        <v>0.5</v>
      </c>
      <c r="O32" s="481">
        <f t="shared" si="16"/>
        <v>0.16656193353474319</v>
      </c>
      <c r="P32" s="489">
        <f t="shared" si="17"/>
        <v>4.672091138872239</v>
      </c>
      <c r="Q32" s="490">
        <f t="shared" si="18"/>
        <v>2.7976593645941552</v>
      </c>
      <c r="R32" s="491">
        <f t="shared" si="19"/>
        <v>261.71052631578948</v>
      </c>
      <c r="S32" s="500">
        <f t="shared" si="20"/>
        <v>732.17690476023358</v>
      </c>
      <c r="T32" s="489">
        <f t="shared" si="21"/>
        <v>0.34569691181983109</v>
      </c>
      <c r="U32" s="493">
        <f t="shared" si="22"/>
        <v>405.42115030277023</v>
      </c>
      <c r="V32" s="500">
        <f t="shared" si="23"/>
        <v>140.15283964611123</v>
      </c>
      <c r="W32" s="489">
        <f t="shared" si="24"/>
        <v>0.10260421218310503</v>
      </c>
      <c r="X32" s="493">
        <f t="shared" si="25"/>
        <v>37.9060089869281</v>
      </c>
      <c r="Y32" s="763">
        <f t="shared" si="26"/>
        <v>3.889316189109457</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808.81759439580378</v>
      </c>
      <c r="I33" s="487">
        <f>ITECountywide!$B$9*E33</f>
        <v>4.3501932594989539</v>
      </c>
      <c r="J33" s="495">
        <f t="shared" si="14"/>
        <v>1.67</v>
      </c>
      <c r="K33" s="372">
        <f t="shared" si="15"/>
        <v>0.85173719352368216</v>
      </c>
      <c r="L33" s="488">
        <f>Passby_Length_Adj!H28</f>
        <v>0.46525679758308158</v>
      </c>
      <c r="M33" s="488">
        <f>Passby_Length_Adj!J28</f>
        <v>0.71599999999999997</v>
      </c>
      <c r="N33" s="372">
        <v>0.5</v>
      </c>
      <c r="O33" s="481">
        <f t="shared" si="16"/>
        <v>0.16656193353474319</v>
      </c>
      <c r="P33" s="489">
        <f t="shared" si="17"/>
        <v>4.3126995128051435</v>
      </c>
      <c r="Q33" s="490">
        <f t="shared" si="18"/>
        <v>2.5824547980869124</v>
      </c>
      <c r="R33" s="491">
        <f t="shared" si="19"/>
        <v>261.71052631578948</v>
      </c>
      <c r="S33" s="500">
        <f t="shared" si="20"/>
        <v>675.85560439406163</v>
      </c>
      <c r="T33" s="489">
        <f t="shared" si="21"/>
        <v>0.31910484167984404</v>
      </c>
      <c r="U33" s="493">
        <f t="shared" si="22"/>
        <v>405.42115030277023</v>
      </c>
      <c r="V33" s="500">
        <f t="shared" si="23"/>
        <v>129.37185198102574</v>
      </c>
      <c r="W33" s="489">
        <f t="shared" si="24"/>
        <v>9.4711580476712312E-2</v>
      </c>
      <c r="X33" s="493">
        <f t="shared" si="25"/>
        <v>37.9060089869281</v>
      </c>
      <c r="Y33" s="763">
        <f t="shared" si="26"/>
        <v>3.5901380207164211</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8730.6061018685705</v>
      </c>
      <c r="I34" s="487">
        <f>ITECountywide!$B$9*E34</f>
        <v>15.642569928948324</v>
      </c>
      <c r="J34" s="495">
        <f t="shared" si="14"/>
        <v>1.67</v>
      </c>
      <c r="K34" s="372">
        <f t="shared" si="15"/>
        <v>0.85173719352368216</v>
      </c>
      <c r="L34" s="488">
        <f>Passby_Length_Adj!H29</f>
        <v>1</v>
      </c>
      <c r="M34" s="488">
        <f>Passby_Length_Adj!J29</f>
        <v>1</v>
      </c>
      <c r="N34" s="372">
        <v>0.5</v>
      </c>
      <c r="O34" s="481">
        <f t="shared" si="16"/>
        <v>0.5</v>
      </c>
      <c r="P34" s="489">
        <f t="shared" si="17"/>
        <v>46.55249952883262</v>
      </c>
      <c r="Q34" s="490">
        <f t="shared" si="18"/>
        <v>27.875748220857858</v>
      </c>
      <c r="R34" s="491">
        <f t="shared" si="19"/>
        <v>261.71052631578948</v>
      </c>
      <c r="S34" s="500">
        <f t="shared" si="20"/>
        <v>7295.3767383271424</v>
      </c>
      <c r="T34" s="489">
        <f t="shared" si="21"/>
        <v>3.4445080042886662</v>
      </c>
      <c r="U34" s="493">
        <f t="shared" si="22"/>
        <v>405.42115030277023</v>
      </c>
      <c r="V34" s="500">
        <f t="shared" si="23"/>
        <v>1396.4763973258105</v>
      </c>
      <c r="W34" s="489">
        <f t="shared" si="24"/>
        <v>1.0223436138840383</v>
      </c>
      <c r="X34" s="493">
        <f t="shared" si="25"/>
        <v>37.9060089869281</v>
      </c>
      <c r="Y34" s="763">
        <f t="shared" si="26"/>
        <v>38.752966215616908</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7921.2799278830698</v>
      </c>
      <c r="I35" s="487">
        <f>ITECountywide!$B$9*E35</f>
        <v>14.192505509115339</v>
      </c>
      <c r="J35" s="495">
        <f t="shared" si="14"/>
        <v>1.67</v>
      </c>
      <c r="K35" s="372">
        <f t="shared" si="15"/>
        <v>0.85173719352368216</v>
      </c>
      <c r="L35" s="488">
        <f>Passby_Length_Adj!H30</f>
        <v>1</v>
      </c>
      <c r="M35" s="488">
        <f>Passby_Length_Adj!J30</f>
        <v>1</v>
      </c>
      <c r="N35" s="372">
        <v>0.5</v>
      </c>
      <c r="O35" s="481">
        <f t="shared" si="16"/>
        <v>0.5</v>
      </c>
      <c r="P35" s="489">
        <f t="shared" si="17"/>
        <v>42.237088216773969</v>
      </c>
      <c r="Q35" s="490">
        <f t="shared" si="18"/>
        <v>25.291669590882616</v>
      </c>
      <c r="R35" s="491">
        <f t="shared" si="19"/>
        <v>261.71052631578948</v>
      </c>
      <c r="S35" s="500">
        <f t="shared" si="20"/>
        <v>6619.0961600349374</v>
      </c>
      <c r="T35" s="489">
        <f t="shared" si="21"/>
        <v>3.1252025114229727</v>
      </c>
      <c r="U35" s="493">
        <f t="shared" si="22"/>
        <v>405.42115030277023</v>
      </c>
      <c r="V35" s="500">
        <f t="shared" si="23"/>
        <v>1267.023197110208</v>
      </c>
      <c r="W35" s="489">
        <f t="shared" si="24"/>
        <v>0.92757247934090625</v>
      </c>
      <c r="X35" s="493">
        <f t="shared" si="25"/>
        <v>37.9060089869281</v>
      </c>
      <c r="Y35" s="763">
        <f t="shared" si="26"/>
        <v>35.160570737923571</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5293.8963345283528</v>
      </c>
      <c r="I37" s="487">
        <f>ITECountywide!$B$9*E37</f>
        <v>15.153173187254691</v>
      </c>
      <c r="J37" s="495">
        <f>IF(F37="Prod",$M$3,$M$4)</f>
        <v>1.67</v>
      </c>
      <c r="K37" s="372">
        <f>IF(F37="Prod",$F$4,$F$5)</f>
        <v>0.85173719352368216</v>
      </c>
      <c r="L37" s="488">
        <f>Passby_Length_Adj!H32</f>
        <v>0.9441087613293051</v>
      </c>
      <c r="M37" s="488">
        <f>Passby_Length_Adj!J32</f>
        <v>0.66300000000000003</v>
      </c>
      <c r="N37" s="372">
        <v>0.5</v>
      </c>
      <c r="O37" s="481">
        <f>L37*M37*N37</f>
        <v>0.31297205438066467</v>
      </c>
      <c r="P37" s="489">
        <f>IF($F37="Prod",$I37*$O37*$F$4*$F$6,$I37*O37*$F$5*$F$7)</f>
        <v>28.227605706100359</v>
      </c>
      <c r="Q37" s="490">
        <f>+P37/J37</f>
        <v>16.902757907844528</v>
      </c>
      <c r="R37" s="491">
        <f>+$Q$4</f>
        <v>261.71052631578948</v>
      </c>
      <c r="S37" s="500">
        <f>+Q37*R37</f>
        <v>4423.6296682503644</v>
      </c>
      <c r="T37" s="489">
        <f>IF($F37="Prod",$I37*$O37*$G$4*$G$6,$I37*$O37*$G$5*$G$7)</f>
        <v>2.0886142480136196</v>
      </c>
      <c r="U37" s="493">
        <f>+$R$4</f>
        <v>405.42115030277023</v>
      </c>
      <c r="V37" s="500">
        <f>+T37*U37</f>
        <v>846.76839096843707</v>
      </c>
      <c r="W37" s="489">
        <f>IF($F37="Prod",$I37*$O37*$J$4*$J$6,$I37*$O37*$J$5*$J$7)</f>
        <v>0.61990897848556437</v>
      </c>
      <c r="X37" s="493">
        <f>$S$4</f>
        <v>37.9060089869281</v>
      </c>
      <c r="Y37" s="763">
        <f>+W37*X37</f>
        <v>23.498275309551222</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2824.255699999575</v>
      </c>
      <c r="I38" s="487">
        <f>ITECountywide!$B$9*E38</f>
        <v>8.0841091405688896</v>
      </c>
      <c r="J38" s="495">
        <f>IF(F38="Prod",$M$3,$M$4)</f>
        <v>1.67</v>
      </c>
      <c r="K38" s="372">
        <f>IF(F38="Prod",$F$4,$F$5)</f>
        <v>0.85173719352368216</v>
      </c>
      <c r="L38" s="488">
        <f>Passby_Length_Adj!H33</f>
        <v>0.9441087613293051</v>
      </c>
      <c r="M38" s="488">
        <f>Passby_Length_Adj!J33</f>
        <v>0.66300000000000003</v>
      </c>
      <c r="N38" s="372">
        <v>0.5</v>
      </c>
      <c r="O38" s="481">
        <f>L38*M38*N38</f>
        <v>0.31297205438066467</v>
      </c>
      <c r="P38" s="489">
        <f>IF($F38="Prod",$I38*$O38*$F$4*$F$6,$I38*O38*$F$5*$F$7)</f>
        <v>15.059225053732966</v>
      </c>
      <c r="Q38" s="490">
        <f>+P38/J38</f>
        <v>9.0175000321754286</v>
      </c>
      <c r="R38" s="491">
        <f>+$Q$4</f>
        <v>261.71052631578948</v>
      </c>
      <c r="S38" s="500">
        <f>+Q38*R38</f>
        <v>2359.97467947328</v>
      </c>
      <c r="T38" s="489">
        <f>IF($F38="Prod",$I38*$O38*$G$4*$G$6,$I38*$O38*$G$5*$G$7)</f>
        <v>1.1142607112608545</v>
      </c>
      <c r="U38" s="493">
        <f>+$R$4</f>
        <v>405.42115030277023</v>
      </c>
      <c r="V38" s="500">
        <f>+T38*U38</f>
        <v>451.74485929655856</v>
      </c>
      <c r="W38" s="489">
        <f>IF($F38="Prod",$I38*$O38*$J$4*$J$6,$I38*$O38*$J$5*$J$7)</f>
        <v>0.33071699091454754</v>
      </c>
      <c r="X38" s="493">
        <f>$S$4</f>
        <v>37.9060089869281</v>
      </c>
      <c r="Y38" s="763">
        <f>+W38*X38</f>
        <v>12.536161229736658</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1701.9191134022994</v>
      </c>
      <c r="I39" s="487">
        <f>ITECountywide!$B$9*E39</f>
        <v>6.0721447580506238</v>
      </c>
      <c r="J39" s="495">
        <f>IF(F39="Prod",$M$3,$M$4)</f>
        <v>1.67</v>
      </c>
      <c r="K39" s="372">
        <f>IF(F39="Prod",$F$4,$F$5)</f>
        <v>0.85173719352368216</v>
      </c>
      <c r="L39" s="488">
        <f>Passby_Length_Adj!H34</f>
        <v>0.65558912386706947</v>
      </c>
      <c r="M39" s="488">
        <f>Passby_Length_Adj!J34</f>
        <v>0.76600000000000001</v>
      </c>
      <c r="N39" s="372">
        <v>0.5</v>
      </c>
      <c r="O39" s="481">
        <f>L39*M39*N39</f>
        <v>0.25109063444108759</v>
      </c>
      <c r="P39" s="489">
        <f>IF($F39="Prod",$I39*$O39*$F$4*$F$6,$I39*O39*$F$5*$F$7)</f>
        <v>9.0748096753345511</v>
      </c>
      <c r="Q39" s="490">
        <f>+P39/J39</f>
        <v>5.4340177696614083</v>
      </c>
      <c r="R39" s="491">
        <f>+$Q$4</f>
        <v>261.71052631578948</v>
      </c>
      <c r="S39" s="500">
        <f>+Q39*R39</f>
        <v>1422.1396505074397</v>
      </c>
      <c r="T39" s="489">
        <f>IF($F39="Prod",$I39*$O39*$G$4*$G$6,$I39*$O39*$G$5*$G$7)</f>
        <v>0.67146243231743286</v>
      </c>
      <c r="U39" s="493">
        <f>+$R$4</f>
        <v>405.42115030277023</v>
      </c>
      <c r="V39" s="500">
        <f>+T39*U39</f>
        <v>272.22507169522964</v>
      </c>
      <c r="W39" s="489">
        <f>IF($F39="Prod",$I39*$O39*$J$4*$J$6,$I39*$O39*$J$5*$J$7)</f>
        <v>0.19929270850527009</v>
      </c>
      <c r="X39" s="493">
        <f>$S$4</f>
        <v>37.9060089869281</v>
      </c>
      <c r="Y39" s="763">
        <f>+W39*X39</f>
        <v>7.5543911996300102</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2545.6295771296618</v>
      </c>
      <c r="I40" s="487">
        <f>ITECountywide!$B$9*E40</f>
        <v>7.2865737096607477</v>
      </c>
      <c r="J40" s="495">
        <f>IF(F40="Prod",$M$3,$M$4)</f>
        <v>1.67</v>
      </c>
      <c r="K40" s="372">
        <f>IF(F40="Prod",$F$4,$F$5)</f>
        <v>0.85173719352368216</v>
      </c>
      <c r="L40" s="488">
        <f>Passby_Length_Adj!H35</f>
        <v>0.9441087613293051</v>
      </c>
      <c r="M40" s="488">
        <f>Passby_Length_Adj!J35</f>
        <v>0.66300000000000003</v>
      </c>
      <c r="N40" s="372">
        <v>0.5</v>
      </c>
      <c r="O40" s="481">
        <f>L40*M40*N40</f>
        <v>0.31297205438066467</v>
      </c>
      <c r="P40" s="489">
        <f>IF($F40="Prod",$I40*$O40*$F$4*$F$6,$I40*O40*$F$5*$F$7)</f>
        <v>13.573561595517157</v>
      </c>
      <c r="Q40" s="490">
        <f>+P40/J40</f>
        <v>8.1278811949204535</v>
      </c>
      <c r="R40" s="491">
        <f>+$Q$4</f>
        <v>261.71052631578948</v>
      </c>
      <c r="S40" s="500">
        <f>+Q40*R40</f>
        <v>2127.1520653548396</v>
      </c>
      <c r="T40" s="489">
        <f>IF($F40="Prod",$I40*$O40*$G$4*$G$6,$I40*$O40*$G$5*$G$7)</f>
        <v>1.0043336455759271</v>
      </c>
      <c r="U40" s="493">
        <f>+$R$4</f>
        <v>405.42115030277023</v>
      </c>
      <c r="V40" s="500">
        <f>+T40*U40</f>
        <v>407.17810187716708</v>
      </c>
      <c r="W40" s="489">
        <f>IF($F40="Prod",$I40*$O40*$J$4*$J$6,$I40*$O40*$J$5*$J$7)</f>
        <v>0.29809020257320196</v>
      </c>
      <c r="X40" s="493">
        <f>$S$4</f>
        <v>37.9060089869281</v>
      </c>
      <c r="Y40" s="763">
        <f>+W40*X40</f>
        <v>11.299409897655011</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2331.7294334895469</v>
      </c>
      <c r="I42" s="487">
        <f>ITECountywide!$B$9*E42</f>
        <v>4.368319064746867</v>
      </c>
      <c r="J42" s="495">
        <f t="shared" ref="J42:J50" si="27">IF(F42="Prod",$M$3,$M$4)</f>
        <v>1.67</v>
      </c>
      <c r="K42" s="372">
        <f t="shared" ref="K42:K50" si="28">IF(F42="Prod",$F$4,$F$5)</f>
        <v>0.85182987994952053</v>
      </c>
      <c r="L42" s="488">
        <f>Passby_Length_Adj!H37</f>
        <v>0.9441087613293051</v>
      </c>
      <c r="M42" s="488">
        <f>Passby_Length_Adj!J37</f>
        <v>1</v>
      </c>
      <c r="N42" s="372">
        <v>0.5</v>
      </c>
      <c r="O42" s="481">
        <f t="shared" ref="O42:O50" si="29">L42*M42*N42</f>
        <v>0.47205438066465255</v>
      </c>
      <c r="P42" s="489">
        <f t="shared" ref="P42:P50" si="30">IF($F42="Prod",$I42*$O42*$F$4*$F$6,$I42*O42*$F$5*$F$7)</f>
        <v>12.382069881850288</v>
      </c>
      <c r="Q42" s="490">
        <f t="shared" ref="Q42:Q50" si="31">+P42/J42</f>
        <v>7.4144131029043647</v>
      </c>
      <c r="R42" s="491">
        <f t="shared" ref="R42:R50" si="32">+$Q$4</f>
        <v>261.71052631578948</v>
      </c>
      <c r="S42" s="500">
        <f t="shared" ref="S42:S50" si="33">+Q42*R42</f>
        <v>1940.4299554837871</v>
      </c>
      <c r="T42" s="489">
        <f t="shared" ref="T42:T50" si="34">IF($F42="Prod",$I42*$O42*$G$4*$G$6,$I42*$O42*$G$5*$G$7)</f>
        <v>0.93978021082113927</v>
      </c>
      <c r="U42" s="493">
        <f t="shared" ref="U42:U50" si="35">+$R$4</f>
        <v>405.42115030277023</v>
      </c>
      <c r="V42" s="500">
        <f t="shared" ref="V42:V50" si="36">+T42*U42</f>
        <v>381.0067741028862</v>
      </c>
      <c r="W42" s="489">
        <f t="shared" ref="W42:W50" si="37">IF($F42="Prod",$I42*$O42*$J$4*$J$6,$I42*$O42*$J$5*$J$7)</f>
        <v>0.27153224984521601</v>
      </c>
      <c r="X42" s="493">
        <f t="shared" ref="X42:X50" si="38">$S$4</f>
        <v>37.9060089869281</v>
      </c>
      <c r="Y42" s="763">
        <f t="shared" ref="Y42:Y50" si="39">+W42*X42</f>
        <v>10.292703902873564</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19872.324772486401</v>
      </c>
      <c r="I43" s="487">
        <f>ITECountywide!$B$9*E43</f>
        <v>55.066196343157593</v>
      </c>
      <c r="J43" s="495">
        <f t="shared" si="27"/>
        <v>1.67</v>
      </c>
      <c r="K43" s="372">
        <f t="shared" si="28"/>
        <v>0.85182987994952053</v>
      </c>
      <c r="L43" s="488">
        <f>Passby_Length_Adj!H38</f>
        <v>0.63829555828418605</v>
      </c>
      <c r="M43" s="488">
        <f>Passby_Length_Adj!J38</f>
        <v>1</v>
      </c>
      <c r="N43" s="372">
        <v>0.5</v>
      </c>
      <c r="O43" s="481">
        <f t="shared" si="29"/>
        <v>0.31914777914209302</v>
      </c>
      <c r="P43" s="489">
        <f t="shared" si="30"/>
        <v>105.52704379577595</v>
      </c>
      <c r="Q43" s="490">
        <f t="shared" si="31"/>
        <v>63.18984658429698</v>
      </c>
      <c r="R43" s="491">
        <f t="shared" si="32"/>
        <v>261.71052631578948</v>
      </c>
      <c r="S43" s="500">
        <f t="shared" si="33"/>
        <v>16537.448007390354</v>
      </c>
      <c r="T43" s="489">
        <f t="shared" si="34"/>
        <v>8.0093416054042113</v>
      </c>
      <c r="U43" s="493">
        <f t="shared" si="35"/>
        <v>405.42115030277023</v>
      </c>
      <c r="V43" s="500">
        <f t="shared" si="36"/>
        <v>3247.1564868308119</v>
      </c>
      <c r="W43" s="489">
        <f t="shared" si="37"/>
        <v>2.314152310138621</v>
      </c>
      <c r="X43" s="493">
        <f t="shared" si="38"/>
        <v>37.9060089869281</v>
      </c>
      <c r="Y43" s="763">
        <f t="shared" si="39"/>
        <v>87.720278265234995</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23562.643263608974</v>
      </c>
      <c r="I44" s="487">
        <f>ITECountywide!$B$9*E44</f>
        <v>141.54441318094723</v>
      </c>
      <c r="J44" s="495">
        <f t="shared" si="27"/>
        <v>1.67</v>
      </c>
      <c r="K44" s="372">
        <f t="shared" si="28"/>
        <v>0.85182987994952053</v>
      </c>
      <c r="L44" s="488">
        <f>Passby_Length_Adj!H39</f>
        <v>0.33534743202416922</v>
      </c>
      <c r="M44" s="488">
        <f>Passby_Length_Adj!J39</f>
        <v>0.878</v>
      </c>
      <c r="N44" s="372">
        <v>0.5</v>
      </c>
      <c r="O44" s="481">
        <f t="shared" si="29"/>
        <v>0.14721752265861029</v>
      </c>
      <c r="P44" s="489">
        <f t="shared" si="30"/>
        <v>125.12356335206984</v>
      </c>
      <c r="Q44" s="490">
        <f t="shared" si="31"/>
        <v>74.924289432377151</v>
      </c>
      <c r="R44" s="491">
        <f t="shared" si="32"/>
        <v>261.71052631578948</v>
      </c>
      <c r="S44" s="500">
        <f t="shared" si="33"/>
        <v>19608.47522118397</v>
      </c>
      <c r="T44" s="489">
        <f t="shared" si="34"/>
        <v>9.4966875383301232</v>
      </c>
      <c r="U44" s="493">
        <f t="shared" si="35"/>
        <v>405.42115030277023</v>
      </c>
      <c r="V44" s="500">
        <f t="shared" si="36"/>
        <v>3850.157985855782</v>
      </c>
      <c r="W44" s="489">
        <f t="shared" si="37"/>
        <v>2.7438936292419749</v>
      </c>
      <c r="X44" s="493">
        <f t="shared" si="38"/>
        <v>37.9060089869281</v>
      </c>
      <c r="Y44" s="763">
        <f t="shared" si="39"/>
        <v>104.01005656922106</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66382.142630221177</v>
      </c>
      <c r="I45" s="487">
        <f>ITECountywide!$B$9*E45</f>
        <v>398.76771545407081</v>
      </c>
      <c r="J45" s="495">
        <f t="shared" si="27"/>
        <v>1.67</v>
      </c>
      <c r="K45" s="372">
        <f t="shared" si="28"/>
        <v>0.85182987994952053</v>
      </c>
      <c r="L45" s="488">
        <f>Passby_Length_Adj!H40</f>
        <v>0.33534743202416922</v>
      </c>
      <c r="M45" s="488">
        <f>Passby_Length_Adj!J40</f>
        <v>0.878</v>
      </c>
      <c r="N45" s="372">
        <v>0.5</v>
      </c>
      <c r="O45" s="481">
        <f t="shared" si="29"/>
        <v>0.14721752265861029</v>
      </c>
      <c r="P45" s="489">
        <f t="shared" si="30"/>
        <v>352.50587703233907</v>
      </c>
      <c r="Q45" s="490">
        <f t="shared" si="31"/>
        <v>211.0813634924186</v>
      </c>
      <c r="R45" s="491">
        <f t="shared" si="32"/>
        <v>261.71052631578948</v>
      </c>
      <c r="S45" s="500">
        <f t="shared" si="33"/>
        <v>55242.214735055342</v>
      </c>
      <c r="T45" s="489">
        <f t="shared" si="34"/>
        <v>26.754658194808897</v>
      </c>
      <c r="U45" s="493">
        <f t="shared" si="35"/>
        <v>405.42115030277023</v>
      </c>
      <c r="V45" s="500">
        <f t="shared" si="36"/>
        <v>10846.904301296861</v>
      </c>
      <c r="W45" s="489">
        <f t="shared" si="37"/>
        <v>7.7302676198390889</v>
      </c>
      <c r="X45" s="493">
        <f t="shared" si="38"/>
        <v>37.9060089869281</v>
      </c>
      <c r="Y45" s="763">
        <f t="shared" si="39"/>
        <v>293.02359386897979</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34936.82903550029</v>
      </c>
      <c r="I46" s="487">
        <f>ITECountywide!$B$9*E46</f>
        <v>96.80992582909964</v>
      </c>
      <c r="J46" s="495">
        <f t="shared" si="27"/>
        <v>1.67</v>
      </c>
      <c r="K46" s="372">
        <f t="shared" si="28"/>
        <v>0.85182987994952053</v>
      </c>
      <c r="L46" s="488">
        <f>Passby_Length_Adj!H41</f>
        <v>0.63829555828418605</v>
      </c>
      <c r="M46" s="488">
        <f>Passby_Length_Adj!J41</f>
        <v>1</v>
      </c>
      <c r="N46" s="372">
        <v>0.5</v>
      </c>
      <c r="O46" s="481">
        <f t="shared" si="29"/>
        <v>0.31914777914209302</v>
      </c>
      <c r="P46" s="489">
        <f t="shared" si="30"/>
        <v>185.52335118934803</v>
      </c>
      <c r="Q46" s="490">
        <f t="shared" si="31"/>
        <v>111.09182705948984</v>
      </c>
      <c r="R46" s="491">
        <f t="shared" si="32"/>
        <v>261.71052631578948</v>
      </c>
      <c r="S46" s="500">
        <f t="shared" si="33"/>
        <v>29073.900529121751</v>
      </c>
      <c r="T46" s="489">
        <f t="shared" si="34"/>
        <v>14.080939274017078</v>
      </c>
      <c r="U46" s="493">
        <f t="shared" si="35"/>
        <v>405.42115030277023</v>
      </c>
      <c r="V46" s="500">
        <f t="shared" si="36"/>
        <v>5708.7105978154586</v>
      </c>
      <c r="W46" s="489">
        <f t="shared" si="37"/>
        <v>4.0684290613727372</v>
      </c>
      <c r="X46" s="493">
        <f t="shared" si="38"/>
        <v>37.9060089869281</v>
      </c>
      <c r="Y46" s="763">
        <f t="shared" si="39"/>
        <v>154.21790856307442</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19833.077258123358</v>
      </c>
      <c r="I47" s="487">
        <f>ITECountywide!$B$9*E47</f>
        <v>54.957441511670126</v>
      </c>
      <c r="J47" s="495">
        <f t="shared" si="27"/>
        <v>1.67</v>
      </c>
      <c r="K47" s="372">
        <f t="shared" si="28"/>
        <v>0.85182987994952053</v>
      </c>
      <c r="L47" s="488">
        <f>Passby_Length_Adj!H42</f>
        <v>0.63829555828418605</v>
      </c>
      <c r="M47" s="488">
        <f>Passby_Length_Adj!J42</f>
        <v>1</v>
      </c>
      <c r="N47" s="372">
        <v>0.5</v>
      </c>
      <c r="O47" s="481">
        <f t="shared" si="29"/>
        <v>0.31914777914209302</v>
      </c>
      <c r="P47" s="489">
        <f t="shared" si="30"/>
        <v>105.31862962106408</v>
      </c>
      <c r="Q47" s="490">
        <f t="shared" si="31"/>
        <v>63.065047677283879</v>
      </c>
      <c r="R47" s="491">
        <f t="shared" si="32"/>
        <v>261.71052631578948</v>
      </c>
      <c r="S47" s="500">
        <f t="shared" si="33"/>
        <v>16504.78681975232</v>
      </c>
      <c r="T47" s="489">
        <f t="shared" si="34"/>
        <v>7.9935232875528532</v>
      </c>
      <c r="U47" s="493">
        <f t="shared" si="35"/>
        <v>405.42115030277023</v>
      </c>
      <c r="V47" s="500">
        <f t="shared" si="36"/>
        <v>3240.7434062116595</v>
      </c>
      <c r="W47" s="489">
        <f t="shared" si="37"/>
        <v>2.3095818974128699</v>
      </c>
      <c r="X47" s="493">
        <f t="shared" si="38"/>
        <v>37.9060089869281</v>
      </c>
      <c r="Y47" s="763">
        <f t="shared" si="39"/>
        <v>87.547032159378702</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25314.646764161414</v>
      </c>
      <c r="I48" s="487">
        <f>ITECountywide!$B$9*E48</f>
        <v>70.146866309420645</v>
      </c>
      <c r="J48" s="495">
        <f t="shared" si="27"/>
        <v>1.67</v>
      </c>
      <c r="K48" s="372">
        <f t="shared" si="28"/>
        <v>0.85182987994952053</v>
      </c>
      <c r="L48" s="488">
        <f>Passby_Length_Adj!H43</f>
        <v>0.63829555828418605</v>
      </c>
      <c r="M48" s="488">
        <f>Passby_Length_Adj!J43</f>
        <v>1</v>
      </c>
      <c r="N48" s="372">
        <v>0.5</v>
      </c>
      <c r="O48" s="481">
        <f t="shared" si="29"/>
        <v>0.31914777914209302</v>
      </c>
      <c r="P48" s="489">
        <f t="shared" si="30"/>
        <v>134.42714268915503</v>
      </c>
      <c r="Q48" s="490">
        <f t="shared" si="31"/>
        <v>80.495295023446133</v>
      </c>
      <c r="R48" s="491">
        <f t="shared" si="32"/>
        <v>261.71052631578948</v>
      </c>
      <c r="S48" s="500">
        <f t="shared" si="33"/>
        <v>21066.466026530838</v>
      </c>
      <c r="T48" s="489">
        <f t="shared" si="34"/>
        <v>10.202815014125839</v>
      </c>
      <c r="U48" s="493">
        <f t="shared" si="35"/>
        <v>405.42115030277023</v>
      </c>
      <c r="V48" s="500">
        <f t="shared" si="36"/>
        <v>4136.4369993532728</v>
      </c>
      <c r="W48" s="489">
        <f t="shared" si="37"/>
        <v>2.9479162081094352</v>
      </c>
      <c r="X48" s="493">
        <f t="shared" si="38"/>
        <v>37.9060089869281</v>
      </c>
      <c r="Y48" s="763">
        <f t="shared" si="39"/>
        <v>111.74373827730726</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2471.808454584319</v>
      </c>
      <c r="I49" s="487">
        <f>ITECountywide!$B$9*E49</f>
        <v>7.2865737096607477</v>
      </c>
      <c r="J49" s="495">
        <f t="shared" si="27"/>
        <v>1.67</v>
      </c>
      <c r="K49" s="372">
        <f t="shared" si="28"/>
        <v>0.85182987994952053</v>
      </c>
      <c r="L49" s="488">
        <f>Passby_Length_Adj!H44</f>
        <v>0.63829555828418605</v>
      </c>
      <c r="M49" s="488">
        <f>Passby_Length_Adj!J44</f>
        <v>0.94</v>
      </c>
      <c r="N49" s="372">
        <v>0.5</v>
      </c>
      <c r="O49" s="481">
        <f t="shared" si="29"/>
        <v>0.29999891239356741</v>
      </c>
      <c r="P49" s="489">
        <f t="shared" si="30"/>
        <v>13.125924723353458</v>
      </c>
      <c r="Q49" s="490">
        <f t="shared" si="31"/>
        <v>7.8598351636847061</v>
      </c>
      <c r="R49" s="491">
        <f t="shared" si="32"/>
        <v>261.71052631578948</v>
      </c>
      <c r="S49" s="500">
        <f t="shared" si="33"/>
        <v>2057.001597443274</v>
      </c>
      <c r="T49" s="489">
        <f t="shared" si="34"/>
        <v>0.99623765827851951</v>
      </c>
      <c r="U49" s="493">
        <f t="shared" si="35"/>
        <v>405.42115030277023</v>
      </c>
      <c r="V49" s="500">
        <f t="shared" si="36"/>
        <v>403.8958173942155</v>
      </c>
      <c r="W49" s="489">
        <f t="shared" si="37"/>
        <v>0.28784459346780183</v>
      </c>
      <c r="X49" s="493">
        <f t="shared" si="38"/>
        <v>37.9060089869281</v>
      </c>
      <c r="Y49" s="763">
        <f t="shared" si="39"/>
        <v>10.911039746829163</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18851.889399047337</v>
      </c>
      <c r="I50" s="487">
        <f>ITECountywide!$B$9*E50</f>
        <v>52.238570724483274</v>
      </c>
      <c r="J50" s="495">
        <f t="shared" si="27"/>
        <v>1.67</v>
      </c>
      <c r="K50" s="372">
        <f t="shared" si="28"/>
        <v>0.85182987994952053</v>
      </c>
      <c r="L50" s="488">
        <f>Passby_Length_Adj!H45</f>
        <v>0.63829555828418605</v>
      </c>
      <c r="M50" s="488">
        <f>Passby_Length_Adj!J45</f>
        <v>1</v>
      </c>
      <c r="N50" s="372">
        <v>0.5</v>
      </c>
      <c r="O50" s="481">
        <f t="shared" si="29"/>
        <v>0.31914777914209302</v>
      </c>
      <c r="P50" s="489">
        <f t="shared" si="30"/>
        <v>100.10827525326737</v>
      </c>
      <c r="Q50" s="490">
        <f t="shared" si="31"/>
        <v>59.945075001956511</v>
      </c>
      <c r="R50" s="491">
        <f t="shared" si="32"/>
        <v>261.71052631578948</v>
      </c>
      <c r="S50" s="500">
        <f t="shared" si="33"/>
        <v>15688.257128801513</v>
      </c>
      <c r="T50" s="489">
        <f t="shared" si="34"/>
        <v>7.5980653412689048</v>
      </c>
      <c r="U50" s="493">
        <f t="shared" si="35"/>
        <v>405.42115030277023</v>
      </c>
      <c r="V50" s="500">
        <f t="shared" si="36"/>
        <v>3080.4163907328498</v>
      </c>
      <c r="W50" s="489">
        <f t="shared" si="37"/>
        <v>2.1953215792690934</v>
      </c>
      <c r="X50" s="493">
        <f t="shared" si="38"/>
        <v>37.9060089869281</v>
      </c>
      <c r="Y50" s="763">
        <f t="shared" si="39"/>
        <v>83.215879512971441</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902.69381416751685</v>
      </c>
      <c r="I52" s="487">
        <f>ITECountywide!$B$9*E52</f>
        <v>3.4257771918554263</v>
      </c>
      <c r="J52" s="495">
        <f t="shared" ref="J52:J60" si="40">IF(F52="Prod",$M$3,$M$4)</f>
        <v>1.67</v>
      </c>
      <c r="K52" s="372">
        <f t="shared" ref="K52:K60" si="41">IF(F52="Prod",$F$4,$F$5)</f>
        <v>0.85182987994952053</v>
      </c>
      <c r="L52" s="488">
        <f>Passby_Length_Adj!H47</f>
        <v>0.87013619005702103</v>
      </c>
      <c r="M52" s="488">
        <f>Passby_Length_Adj!J47</f>
        <v>0.53561452513966479</v>
      </c>
      <c r="N52" s="372">
        <v>0.5</v>
      </c>
      <c r="O52" s="481">
        <f t="shared" ref="O52:O60" si="42">L52*M52*N52</f>
        <v>0.23302879112211422</v>
      </c>
      <c r="P52" s="489">
        <f t="shared" ref="P52:P60" si="43">IF($F52="Prod",$I52*$O52*$F$4*$F$6,$I52*O52*$F$5*$F$7)</f>
        <v>4.7935312426917909</v>
      </c>
      <c r="Q52" s="490">
        <f t="shared" ref="Q52:Q60" si="44">+P52/J52</f>
        <v>2.870377989635803</v>
      </c>
      <c r="R52" s="491">
        <f t="shared" ref="R52:R60" si="45">+$Q$4</f>
        <v>261.71052631578948</v>
      </c>
      <c r="S52" s="500">
        <f t="shared" ref="S52:S60" si="46">+Q52*R52</f>
        <v>751.2081343928437</v>
      </c>
      <c r="T52" s="489">
        <f t="shared" ref="T52:T60" si="47">IF($F52="Prod",$I52*$O52*$G$4*$G$6,$I52*$O52*$G$5*$G$7)</f>
        <v>0.36382170709905842</v>
      </c>
      <c r="U52" s="493">
        <f t="shared" ref="U52:U60" si="48">+$R$4</f>
        <v>405.42115030277023</v>
      </c>
      <c r="V52" s="500">
        <f t="shared" ref="V52:V60" si="49">+T52*U52</f>
        <v>147.50101499721782</v>
      </c>
      <c r="W52" s="489">
        <f t="shared" ref="W52:W60" si="50">IF($F52="Prod",$I52*$O52*$J$4*$J$6,$I52*$O52*$J$5*$J$7)</f>
        <v>0.10511960725882567</v>
      </c>
      <c r="X52" s="493">
        <f t="shared" ref="X52:X60" si="51">$S$4</f>
        <v>37.9060089869281</v>
      </c>
      <c r="Y52" s="763">
        <f t="shared" ref="Y52:Y60" si="52">+W52*X52</f>
        <v>3.9846647774553983</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969.56002262437005</v>
      </c>
      <c r="I53" s="487">
        <f>ITECountywide!$B$9*E53</f>
        <v>3.6795384653261984</v>
      </c>
      <c r="J53" s="495">
        <f t="shared" si="40"/>
        <v>1.67</v>
      </c>
      <c r="K53" s="372">
        <f t="shared" si="41"/>
        <v>0.85182987994952053</v>
      </c>
      <c r="L53" s="488">
        <f>Passby_Length_Adj!H48</f>
        <v>0.87013619005702103</v>
      </c>
      <c r="M53" s="488">
        <f>Passby_Length_Adj!J48</f>
        <v>0.53561452513966479</v>
      </c>
      <c r="N53" s="372">
        <v>0.5</v>
      </c>
      <c r="O53" s="481">
        <f t="shared" si="42"/>
        <v>0.23302879112211422</v>
      </c>
      <c r="P53" s="489">
        <f t="shared" si="43"/>
        <v>5.1486076310393312</v>
      </c>
      <c r="Q53" s="490">
        <f t="shared" si="44"/>
        <v>3.0829985814606773</v>
      </c>
      <c r="R53" s="491">
        <f t="shared" si="45"/>
        <v>261.71052631578948</v>
      </c>
      <c r="S53" s="500">
        <f t="shared" si="46"/>
        <v>806.85318138490618</v>
      </c>
      <c r="T53" s="489">
        <f t="shared" si="47"/>
        <v>0.39077146318047018</v>
      </c>
      <c r="U53" s="493">
        <f t="shared" si="48"/>
        <v>405.42115030277023</v>
      </c>
      <c r="V53" s="500">
        <f t="shared" si="49"/>
        <v>158.42701610812284</v>
      </c>
      <c r="W53" s="489">
        <f t="shared" si="50"/>
        <v>0.11290624483355349</v>
      </c>
      <c r="X53" s="493">
        <f t="shared" si="51"/>
        <v>37.9060089869281</v>
      </c>
      <c r="Y53" s="763">
        <f t="shared" si="52"/>
        <v>4.2798251313409832</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1728.6257831484816</v>
      </c>
      <c r="I54" s="487">
        <f>ITECountywide!$B$9*E54</f>
        <v>7.4497059568919601</v>
      </c>
      <c r="J54" s="495">
        <f t="shared" si="40"/>
        <v>1.67</v>
      </c>
      <c r="K54" s="372">
        <f t="shared" si="41"/>
        <v>0.85182987994952053</v>
      </c>
      <c r="L54" s="488">
        <f>Passby_Length_Adj!H49</f>
        <v>0.76624514210263772</v>
      </c>
      <c r="M54" s="488">
        <f>Passby_Length_Adj!J49</f>
        <v>0.53561452513966479</v>
      </c>
      <c r="N54" s="372">
        <v>0.5</v>
      </c>
      <c r="O54" s="481">
        <f t="shared" si="42"/>
        <v>0.20520601396393964</v>
      </c>
      <c r="P54" s="489">
        <f t="shared" si="43"/>
        <v>9.1794377765693866</v>
      </c>
      <c r="Q54" s="490">
        <f t="shared" si="44"/>
        <v>5.4966693272870577</v>
      </c>
      <c r="R54" s="491">
        <f t="shared" si="45"/>
        <v>261.71052631578948</v>
      </c>
      <c r="S54" s="500">
        <f t="shared" si="46"/>
        <v>1438.5362226281525</v>
      </c>
      <c r="T54" s="489">
        <f t="shared" si="47"/>
        <v>0.69670532077426794</v>
      </c>
      <c r="U54" s="493">
        <f t="shared" si="48"/>
        <v>405.42115030277023</v>
      </c>
      <c r="V54" s="500">
        <f t="shared" si="49"/>
        <v>282.45907257036424</v>
      </c>
      <c r="W54" s="489">
        <f t="shared" si="50"/>
        <v>0.20130022004152906</v>
      </c>
      <c r="X54" s="493">
        <f t="shared" si="51"/>
        <v>37.9060089869281</v>
      </c>
      <c r="Y54" s="763">
        <f t="shared" si="52"/>
        <v>7.6304879499648042</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1043.0637328973803</v>
      </c>
      <c r="I55" s="487">
        <f>ITECountywide!$B$9*E55</f>
        <v>4.4951997014822531</v>
      </c>
      <c r="J55" s="495">
        <f t="shared" si="40"/>
        <v>1.67</v>
      </c>
      <c r="K55" s="372">
        <f t="shared" si="41"/>
        <v>0.85182987994952053</v>
      </c>
      <c r="L55" s="488">
        <f>Passby_Length_Adj!H50</f>
        <v>0.76624514210263772</v>
      </c>
      <c r="M55" s="488">
        <f>Passby_Length_Adj!J50</f>
        <v>0.53561452513966479</v>
      </c>
      <c r="N55" s="372">
        <v>0.5</v>
      </c>
      <c r="O55" s="481">
        <f t="shared" si="42"/>
        <v>0.20520601396393964</v>
      </c>
      <c r="P55" s="489">
        <f t="shared" si="43"/>
        <v>5.5389308238180233</v>
      </c>
      <c r="Q55" s="490">
        <f t="shared" si="44"/>
        <v>3.3167250442024092</v>
      </c>
      <c r="R55" s="491">
        <f t="shared" si="45"/>
        <v>261.71052631578948</v>
      </c>
      <c r="S55" s="500">
        <f t="shared" si="46"/>
        <v>868.02185696297261</v>
      </c>
      <c r="T55" s="489">
        <f t="shared" si="47"/>
        <v>0.42039639793678452</v>
      </c>
      <c r="U55" s="493">
        <f t="shared" si="48"/>
        <v>405.42115030277023</v>
      </c>
      <c r="V55" s="500">
        <f t="shared" si="49"/>
        <v>170.43759123467231</v>
      </c>
      <c r="W55" s="489">
        <f t="shared" si="50"/>
        <v>0.12146582620510755</v>
      </c>
      <c r="X55" s="493">
        <f t="shared" si="51"/>
        <v>37.9060089869281</v>
      </c>
      <c r="Y55" s="763">
        <f t="shared" si="52"/>
        <v>4.6042846997354534</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1895.8798587184385</v>
      </c>
      <c r="I56" s="487">
        <f>ITECountywide!$B$9*E56</f>
        <v>3.3532739708637775</v>
      </c>
      <c r="J56" s="495">
        <f t="shared" si="40"/>
        <v>1.67</v>
      </c>
      <c r="K56" s="372">
        <f t="shared" si="41"/>
        <v>0.85182987994952053</v>
      </c>
      <c r="L56" s="488">
        <f>Passby_Length_Adj!H51</f>
        <v>1</v>
      </c>
      <c r="M56" s="488">
        <f>Passby_Length_Adj!J51</f>
        <v>1</v>
      </c>
      <c r="N56" s="372">
        <v>0.5</v>
      </c>
      <c r="O56" s="481">
        <f t="shared" si="42"/>
        <v>0.5</v>
      </c>
      <c r="P56" s="489">
        <f t="shared" si="43"/>
        <v>10.067598993727501</v>
      </c>
      <c r="Q56" s="490">
        <f t="shared" si="44"/>
        <v>6.0285023914535936</v>
      </c>
      <c r="R56" s="491">
        <f t="shared" si="45"/>
        <v>261.71052631578948</v>
      </c>
      <c r="S56" s="500">
        <f t="shared" si="46"/>
        <v>1577.7225337633156</v>
      </c>
      <c r="T56" s="489">
        <f t="shared" si="47"/>
        <v>0.76411540195362604</v>
      </c>
      <c r="U56" s="493">
        <f t="shared" si="48"/>
        <v>405.42115030277023</v>
      </c>
      <c r="V56" s="500">
        <f t="shared" si="49"/>
        <v>309.78854522410273</v>
      </c>
      <c r="W56" s="489">
        <f t="shared" si="50"/>
        <v>0.22077712623099491</v>
      </c>
      <c r="X56" s="493">
        <f t="shared" si="51"/>
        <v>37.9060089869281</v>
      </c>
      <c r="Y56" s="763">
        <f t="shared" si="52"/>
        <v>8.3687797310202523</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483.67874710967226</v>
      </c>
      <c r="I57" s="487">
        <f>ITECountywide!$B$9*E57</f>
        <v>2.0844676035099154</v>
      </c>
      <c r="J57" s="495">
        <f t="shared" si="40"/>
        <v>1.67</v>
      </c>
      <c r="K57" s="372">
        <f t="shared" si="41"/>
        <v>0.85182987994952053</v>
      </c>
      <c r="L57" s="488">
        <f>Passby_Length_Adj!H52</f>
        <v>0.76624514210263772</v>
      </c>
      <c r="M57" s="488">
        <f>Passby_Length_Adj!J52</f>
        <v>0.53561452513966479</v>
      </c>
      <c r="N57" s="372">
        <v>0.5</v>
      </c>
      <c r="O57" s="481">
        <f t="shared" si="42"/>
        <v>0.20520601396393964</v>
      </c>
      <c r="P57" s="489">
        <f t="shared" si="43"/>
        <v>2.5684558255607763</v>
      </c>
      <c r="Q57" s="490">
        <f t="shared" si="44"/>
        <v>1.5379975003357942</v>
      </c>
      <c r="R57" s="491">
        <f t="shared" si="45"/>
        <v>261.71052631578948</v>
      </c>
      <c r="S57" s="500">
        <f t="shared" si="46"/>
        <v>402.51013528524931</v>
      </c>
      <c r="T57" s="489">
        <f t="shared" si="47"/>
        <v>0.19494187807552504</v>
      </c>
      <c r="U57" s="493">
        <f t="shared" si="48"/>
        <v>405.42115030277023</v>
      </c>
      <c r="V57" s="500">
        <f t="shared" si="49"/>
        <v>79.03356045156174</v>
      </c>
      <c r="W57" s="489">
        <f t="shared" si="50"/>
        <v>5.632487908704583E-2</v>
      </c>
      <c r="X57" s="493">
        <f t="shared" si="51"/>
        <v>37.9060089869281</v>
      </c>
      <c r="Y57" s="763">
        <f t="shared" si="52"/>
        <v>2.1350513728611977</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656.12073520964236</v>
      </c>
      <c r="I58" s="487">
        <f>ITECountywide!$B$9*E58</f>
        <v>2.8276256186743205</v>
      </c>
      <c r="J58" s="495">
        <f t="shared" si="40"/>
        <v>1.67</v>
      </c>
      <c r="K58" s="372">
        <f t="shared" si="41"/>
        <v>0.85182987994952053</v>
      </c>
      <c r="L58" s="488">
        <f>Passby_Length_Adj!H53</f>
        <v>0.76624514210263772</v>
      </c>
      <c r="M58" s="488">
        <f>Passby_Length_Adj!J53</f>
        <v>0.53561452513966479</v>
      </c>
      <c r="N58" s="372">
        <v>0.5</v>
      </c>
      <c r="O58" s="481">
        <f t="shared" si="42"/>
        <v>0.20520601396393964</v>
      </c>
      <c r="P58" s="489">
        <f t="shared" si="43"/>
        <v>3.4841661633694017</v>
      </c>
      <c r="Q58" s="490">
        <f t="shared" si="44"/>
        <v>2.0863270439337733</v>
      </c>
      <c r="R58" s="491">
        <f t="shared" si="45"/>
        <v>261.71052631578948</v>
      </c>
      <c r="S58" s="500">
        <f t="shared" si="46"/>
        <v>546.013748734773</v>
      </c>
      <c r="T58" s="489">
        <f t="shared" si="47"/>
        <v>0.26444289547636446</v>
      </c>
      <c r="U58" s="493">
        <f t="shared" si="48"/>
        <v>405.42115030277023</v>
      </c>
      <c r="V58" s="500">
        <f t="shared" si="49"/>
        <v>107.21074287342292</v>
      </c>
      <c r="W58" s="489">
        <f t="shared" si="50"/>
        <v>7.6405922935470882E-2</v>
      </c>
      <c r="X58" s="493">
        <f t="shared" si="51"/>
        <v>37.9060089869281</v>
      </c>
      <c r="Y58" s="763">
        <f t="shared" si="52"/>
        <v>2.896243601446495</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6417.2721106162198</v>
      </c>
      <c r="I59" s="487">
        <f>ITECountywide!$B$9*E59</f>
        <v>12.597434647299055</v>
      </c>
      <c r="J59" s="495">
        <f t="shared" si="40"/>
        <v>1.67</v>
      </c>
      <c r="K59" s="372">
        <f t="shared" si="41"/>
        <v>0.85182987994952053</v>
      </c>
      <c r="L59" s="488">
        <f>Passby_Length_Adj!H54</f>
        <v>0.90100368260427022</v>
      </c>
      <c r="M59" s="488">
        <f>Passby_Length_Adj!J54</f>
        <v>1</v>
      </c>
      <c r="N59" s="372">
        <v>0.5</v>
      </c>
      <c r="O59" s="481">
        <f t="shared" si="42"/>
        <v>0.45050184130213511</v>
      </c>
      <c r="P59" s="489">
        <f t="shared" si="43"/>
        <v>34.077329291840044</v>
      </c>
      <c r="Q59" s="490">
        <f t="shared" si="44"/>
        <v>20.405586402299427</v>
      </c>
      <c r="R59" s="491">
        <f t="shared" si="45"/>
        <v>261.71052631578948</v>
      </c>
      <c r="S59" s="500">
        <f t="shared" si="46"/>
        <v>5340.3567571281001</v>
      </c>
      <c r="T59" s="489">
        <f t="shared" si="47"/>
        <v>2.5864172962752816</v>
      </c>
      <c r="U59" s="493">
        <f t="shared" si="48"/>
        <v>405.42115030277023</v>
      </c>
      <c r="V59" s="500">
        <f t="shared" si="49"/>
        <v>1048.5882754189056</v>
      </c>
      <c r="W59" s="489">
        <f t="shared" si="50"/>
        <v>0.74729782496970476</v>
      </c>
      <c r="X59" s="493">
        <f t="shared" si="51"/>
        <v>37.9060089869281</v>
      </c>
      <c r="Y59" s="763">
        <f t="shared" si="52"/>
        <v>28.327078069213449</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10954.122793508019</v>
      </c>
      <c r="I60" s="487">
        <f>ITECountywide!$B$9*E60</f>
        <v>86.315084590558413</v>
      </c>
      <c r="J60" s="495">
        <f t="shared" si="40"/>
        <v>1.67</v>
      </c>
      <c r="K60" s="372">
        <f t="shared" si="41"/>
        <v>0.85182987994952053</v>
      </c>
      <c r="L60" s="488">
        <f>Passby_Length_Adj!H55</f>
        <v>0.30664652567975825</v>
      </c>
      <c r="M60" s="488">
        <f>Passby_Length_Adj!J55</f>
        <v>0.73199999999999998</v>
      </c>
      <c r="N60" s="372">
        <v>0.5</v>
      </c>
      <c r="O60" s="481">
        <f t="shared" si="42"/>
        <v>0.11223262839879151</v>
      </c>
      <c r="P60" s="489">
        <f t="shared" si="43"/>
        <v>58.169147747387399</v>
      </c>
      <c r="Q60" s="490">
        <f t="shared" si="44"/>
        <v>34.831824998435572</v>
      </c>
      <c r="R60" s="491">
        <f t="shared" si="45"/>
        <v>261.71052631578948</v>
      </c>
      <c r="S60" s="500">
        <f t="shared" si="46"/>
        <v>9115.8552528800465</v>
      </c>
      <c r="T60" s="489">
        <f t="shared" si="47"/>
        <v>4.4149495564918269</v>
      </c>
      <c r="U60" s="493">
        <f t="shared" si="48"/>
        <v>405.42115030277023</v>
      </c>
      <c r="V60" s="500">
        <f t="shared" si="49"/>
        <v>1789.9139277216218</v>
      </c>
      <c r="W60" s="489">
        <f t="shared" si="50"/>
        <v>1.2756186736257233</v>
      </c>
      <c r="X60" s="493">
        <f t="shared" si="51"/>
        <v>37.9060089869281</v>
      </c>
      <c r="Y60" s="763">
        <f t="shared" si="52"/>
        <v>48.353612906349973</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10985.855181330626</v>
      </c>
      <c r="I62" s="487">
        <f>ITECountywide!$B$9*E62</f>
        <v>19.430863225761996</v>
      </c>
      <c r="J62" s="495">
        <f>IF(F62="Prod",$M$3,$M$4)</f>
        <v>1.67</v>
      </c>
      <c r="K62" s="372">
        <f>IF(F62="Prod",$F$4,$F$5)</f>
        <v>0.85182987994952053</v>
      </c>
      <c r="L62" s="488">
        <f>Passby_Length_Adj!H57</f>
        <v>1</v>
      </c>
      <c r="M62" s="488">
        <f>Passby_Length_Adj!J57</f>
        <v>1</v>
      </c>
      <c r="N62" s="372">
        <v>0.5</v>
      </c>
      <c r="O62" s="481">
        <f>L62*M62*N62</f>
        <v>0.5</v>
      </c>
      <c r="P62" s="489">
        <f>IF($F62="Prod",$I62*$O62*$F$4*$F$6,$I62*O62*$F$5*$F$7)</f>
        <v>58.337654709599356</v>
      </c>
      <c r="Q62" s="490">
        <f>+P62/J62</f>
        <v>34.932727371017577</v>
      </c>
      <c r="R62" s="491">
        <f>+$Q$4</f>
        <v>261.71052631578948</v>
      </c>
      <c r="S62" s="500">
        <f>+Q62*R62</f>
        <v>9142.2624659149951</v>
      </c>
      <c r="T62" s="489">
        <f>IF($F62="Prod",$I62*$O62*$G$4*$G$6,$I62*$O62*$G$5*$G$7)</f>
        <v>4.4277389778069569</v>
      </c>
      <c r="U62" s="493">
        <f>+$R$4</f>
        <v>405.42115030277023</v>
      </c>
      <c r="V62" s="500">
        <f>+T62*U62</f>
        <v>1795.0990296229086</v>
      </c>
      <c r="W62" s="489">
        <f>IF($F62="Prod",$I62*$O62*$J$4*$J$6,$I62*$O62*$J$5*$J$7)</f>
        <v>1.2793139422682513</v>
      </c>
      <c r="X62" s="493">
        <f>$S$4</f>
        <v>37.9060089869281</v>
      </c>
      <c r="Y62" s="763">
        <f>+W62*X62</f>
        <v>48.493685792722751</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1091.9236994150017</v>
      </c>
      <c r="I63" s="487">
        <f>ITECountywide!$B$9*E63</f>
        <v>5.5464964058611672</v>
      </c>
      <c r="J63" s="495">
        <f>IF(F63="Prod",$M$3,$M$4)</f>
        <v>1.67</v>
      </c>
      <c r="K63" s="372">
        <f>IF(F63="Prod",$F$4,$F$5)</f>
        <v>0.85182987994952053</v>
      </c>
      <c r="L63" s="488">
        <f>Passby_Length_Adj!H58</f>
        <v>0.39123867069486401</v>
      </c>
      <c r="M63" s="488">
        <f>Passby_Length_Adj!J58</f>
        <v>0.89</v>
      </c>
      <c r="N63" s="372">
        <v>0.5</v>
      </c>
      <c r="O63" s="481">
        <f>L63*M63*N63</f>
        <v>0.17410120845921448</v>
      </c>
      <c r="P63" s="489">
        <f>IF($F63="Prod",$I63*$O63*$F$4*$F$6,$I63*O63*$F$5*$F$7)</f>
        <v>5.7983895376623042</v>
      </c>
      <c r="Q63" s="490">
        <f>+P63/J63</f>
        <v>3.472089543510362</v>
      </c>
      <c r="R63" s="491">
        <f>+$Q$4</f>
        <v>261.71052631578948</v>
      </c>
      <c r="S63" s="500">
        <f>+Q63*R63</f>
        <v>908.68238184764607</v>
      </c>
      <c r="T63" s="489">
        <f>IF($F63="Prod",$I63*$O63*$G$4*$G$6,$I63*$O63*$G$5*$G$7)</f>
        <v>0.44008891842185904</v>
      </c>
      <c r="U63" s="493">
        <f>+$R$4</f>
        <v>405.42115030277023</v>
      </c>
      <c r="V63" s="500">
        <f>+T63*U63</f>
        <v>178.4213555420921</v>
      </c>
      <c r="W63" s="489">
        <f>IF($F63="Prod",$I63*$O63*$J$4*$J$6,$I63*$O63*$J$5*$J$7)</f>
        <v>0.1271556187021885</v>
      </c>
      <c r="X63" s="493">
        <f>$S$4</f>
        <v>37.9060089869281</v>
      </c>
      <c r="Y63" s="763">
        <f>+W63*X63</f>
        <v>4.8199620252635604</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28018.351903604405</v>
      </c>
      <c r="I64" s="487">
        <f>ITECountywide!$B$9*E64</f>
        <v>69.168072826033367</v>
      </c>
      <c r="J64" s="495">
        <f>IF(F64="Prod",$M$3,$M$4)</f>
        <v>1.67</v>
      </c>
      <c r="K64" s="372">
        <f>IF(F64="Prod",$F$4,$F$5)</f>
        <v>0.85182987994952053</v>
      </c>
      <c r="L64" s="488">
        <f>Passby_Length_Adj!H59</f>
        <v>0.7703927492447129</v>
      </c>
      <c r="M64" s="488">
        <f>Passby_Length_Adj!J59</f>
        <v>0.93</v>
      </c>
      <c r="N64" s="372">
        <v>0.5</v>
      </c>
      <c r="O64" s="481">
        <f>L64*M64*N64</f>
        <v>0.3582326283987915</v>
      </c>
      <c r="P64" s="489">
        <f>IF($F64="Prod",$I64*$O64*$F$4*$F$6,$I64*O64*$F$5*$F$7)</f>
        <v>148.78449714704348</v>
      </c>
      <c r="Q64" s="490">
        <f>+P64/J64</f>
        <v>89.092513261702692</v>
      </c>
      <c r="R64" s="491">
        <f>+$Q$4</f>
        <v>261.71052631578948</v>
      </c>
      <c r="S64" s="500">
        <f>+Q64*R64</f>
        <v>23316.448536516666</v>
      </c>
      <c r="T64" s="489">
        <f>IF($F64="Prod",$I64*$O64*$G$4*$G$6,$I64*$O64*$G$5*$G$7)</f>
        <v>11.292516310275525</v>
      </c>
      <c r="U64" s="493">
        <f>+$R$4</f>
        <v>405.42115030277023</v>
      </c>
      <c r="V64" s="500">
        <f>+T64*U64</f>
        <v>4578.2249523246983</v>
      </c>
      <c r="W64" s="489">
        <f>IF($F64="Prod",$I64*$O64*$J$4*$J$6,$I64*$O64*$J$5*$J$7)</f>
        <v>3.2627654049703025</v>
      </c>
      <c r="X64" s="493">
        <f>$S$4</f>
        <v>37.9060089869281</v>
      </c>
      <c r="Y64" s="763">
        <f>+W64*X64</f>
        <v>123.67841476304238</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13494.6908948829</v>
      </c>
      <c r="I65" s="487">
        <f>ITECountywide!$B$9*E65</f>
        <v>38.970481283011466</v>
      </c>
      <c r="J65" s="495">
        <f>IF(F65="Prod",$M$3,$M$4)</f>
        <v>1.67</v>
      </c>
      <c r="K65" s="372">
        <f>IF(F65="Prod",$F$4,$F$5)</f>
        <v>0.85182987994952053</v>
      </c>
      <c r="L65" s="488">
        <f>Passby_Length_Adj!H60</f>
        <v>0.61247081225203326</v>
      </c>
      <c r="M65" s="488">
        <f>Passby_Length_Adj!J60</f>
        <v>1</v>
      </c>
      <c r="N65" s="372">
        <v>0.5</v>
      </c>
      <c r="O65" s="481">
        <f>L65*M65*N65</f>
        <v>0.30623540612601663</v>
      </c>
      <c r="P65" s="489">
        <f>IF($F65="Prod",$I65*$O65*$F$4*$F$6,$I65*O65*$F$5*$F$7)</f>
        <v>71.66020349297014</v>
      </c>
      <c r="Q65" s="490">
        <f>+P65/J65</f>
        <v>42.910301492796492</v>
      </c>
      <c r="R65" s="491">
        <f>+$Q$4</f>
        <v>261.71052631578948</v>
      </c>
      <c r="S65" s="500">
        <f>+Q65*R65</f>
        <v>11230.077588048976</v>
      </c>
      <c r="T65" s="489">
        <f>IF($F65="Prod",$I65*$O65*$G$4*$G$6,$I65*$O65*$G$5*$G$7)</f>
        <v>5.4389001022214929</v>
      </c>
      <c r="U65" s="493">
        <f>+$R$4</f>
        <v>405.42115030277023</v>
      </c>
      <c r="V65" s="500">
        <f>+T65*U65</f>
        <v>2205.0451358244923</v>
      </c>
      <c r="W65" s="489">
        <f>IF($F65="Prod",$I65*$O65*$J$4*$J$6,$I65*$O65*$J$5*$J$7)</f>
        <v>1.5714703974764288</v>
      </c>
      <c r="X65" s="493">
        <f>$S$4</f>
        <v>37.9060089869281</v>
      </c>
      <c r="Y65" s="763">
        <f>+W65*X65</f>
        <v>59.568171009432987</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15653.841438064166</v>
      </c>
      <c r="I66" s="487">
        <f>ITECountywide!$B$9*E66</f>
        <v>45.205758288293303</v>
      </c>
      <c r="J66" s="495">
        <f>IF(F66="Prod",$M$3,$M$4)</f>
        <v>1.67</v>
      </c>
      <c r="K66" s="372">
        <f>IF(F66="Prod",$F$4,$F$5)</f>
        <v>0.85182987994952053</v>
      </c>
      <c r="L66" s="488">
        <f>Passby_Length_Adj!H61</f>
        <v>0.61247081225203326</v>
      </c>
      <c r="M66" s="488">
        <f>Passby_Length_Adj!J61</f>
        <v>1</v>
      </c>
      <c r="N66" s="372">
        <v>0.5</v>
      </c>
      <c r="O66" s="481">
        <f>L66*M66*N66</f>
        <v>0.30623540612601663</v>
      </c>
      <c r="P66" s="489">
        <f>IF($F66="Prod",$I66*$O66*$F$4*$F$6,$I66*O66*$F$5*$F$7)</f>
        <v>83.125836051845354</v>
      </c>
      <c r="Q66" s="490">
        <f>+P66/J66</f>
        <v>49.775949731643927</v>
      </c>
      <c r="R66" s="491">
        <f>+$Q$4</f>
        <v>261.71052631578948</v>
      </c>
      <c r="S66" s="500">
        <f>+Q66*R66</f>
        <v>13026.890002136812</v>
      </c>
      <c r="T66" s="489">
        <f>IF($F66="Prod",$I66*$O66*$G$4*$G$6,$I66*$O66*$G$5*$G$7)</f>
        <v>6.3091241185769329</v>
      </c>
      <c r="U66" s="493">
        <f>+$R$4</f>
        <v>405.42115030277023</v>
      </c>
      <c r="V66" s="500">
        <f>+T66*U66</f>
        <v>2557.8523575564113</v>
      </c>
      <c r="W66" s="489">
        <f>IF($F66="Prod",$I66*$O66*$J$4*$J$6,$I66*$O66*$J$5*$J$7)</f>
        <v>1.8229056610726571</v>
      </c>
      <c r="X66" s="493">
        <f>$S$4</f>
        <v>37.9060089869281</v>
      </c>
      <c r="Y66" s="763">
        <f>+W66*X66</f>
        <v>69.099078370942252</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14062.104033681841</v>
      </c>
      <c r="I68" s="487">
        <f>ITECountywide!$B$9*E68</f>
        <v>20.049119939245994</v>
      </c>
      <c r="J68" s="495">
        <f t="shared" ref="J68:J87" si="53">IF(F68="Prod",$M$3,$M$4)</f>
        <v>1.67</v>
      </c>
      <c r="K68" s="372">
        <f t="shared" ref="K68:K87" si="54">IF(F68="Prod",$F$4,$F$5)</f>
        <v>0.85182987994952053</v>
      </c>
      <c r="L68" s="488">
        <f>Passby_Length_Adj!H63</f>
        <v>1.2405469854222484</v>
      </c>
      <c r="M68" s="488">
        <f>Passby_Length_Adj!J63</f>
        <v>1</v>
      </c>
      <c r="N68" s="372">
        <v>0.5</v>
      </c>
      <c r="O68" s="481">
        <f t="shared" ref="O68:O87" si="55">L68*M68*N68</f>
        <v>0.6202734927111242</v>
      </c>
      <c r="P68" s="489">
        <f t="shared" ref="P68:P87" si="56">IF($F68="Prod",$I68*$O68*$F$4*$F$6,$I68*O68*$F$5*$F$7)</f>
        <v>74.673310003348604</v>
      </c>
      <c r="Q68" s="490">
        <f t="shared" ref="Q68:Q87" si="57">+P68/J68</f>
        <v>44.7145568882327</v>
      </c>
      <c r="R68" s="491">
        <f t="shared" ref="R68:R87" si="58">+$Q$4</f>
        <v>261.71052631578948</v>
      </c>
      <c r="S68" s="500">
        <f t="shared" ref="S68:S87" si="59">+Q68*R68</f>
        <v>11702.27021719669</v>
      </c>
      <c r="T68" s="489">
        <f t="shared" ref="T68:T87" si="60">IF($F68="Prod",$I68*$O68*$G$4*$G$6,$I68*$O68*$G$5*$G$7)</f>
        <v>5.6675902888033587</v>
      </c>
      <c r="U68" s="493">
        <f t="shared" ref="U68:U87" si="61">+$R$4</f>
        <v>405.42115030277023</v>
      </c>
      <c r="V68" s="500">
        <f t="shared" ref="V68:V87" si="62">+T68*U68</f>
        <v>2297.7609743314674</v>
      </c>
      <c r="W68" s="489">
        <f t="shared" ref="W68:W87" si="63">IF($F68="Prod",$I68*$O68*$J$4*$J$6,$I68*$O68*$J$5*$J$7)</f>
        <v>1.6375462311288933</v>
      </c>
      <c r="X68" s="493">
        <f t="shared" ref="X68:X87" si="64">$S$4</f>
        <v>37.9060089869281</v>
      </c>
      <c r="Y68" s="763">
        <f t="shared" ref="Y68:Y87" si="65">+W68*X68</f>
        <v>62.072842153682068</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13606.194313849888</v>
      </c>
      <c r="I69" s="487">
        <f>ITECountywide!$B$9*E69</f>
        <v>19.399104220937762</v>
      </c>
      <c r="J69" s="495">
        <f t="shared" si="53"/>
        <v>1.67</v>
      </c>
      <c r="K69" s="372">
        <f t="shared" si="54"/>
        <v>0.85182987994952053</v>
      </c>
      <c r="L69" s="488">
        <f>Passby_Length_Adj!H64</f>
        <v>1.2405469854222484</v>
      </c>
      <c r="M69" s="488">
        <f>Passby_Length_Adj!J64</f>
        <v>1</v>
      </c>
      <c r="N69" s="372">
        <v>0.5</v>
      </c>
      <c r="O69" s="481">
        <f t="shared" si="55"/>
        <v>0.6202734927111242</v>
      </c>
      <c r="P69" s="489">
        <f t="shared" si="56"/>
        <v>72.252314698449169</v>
      </c>
      <c r="Q69" s="490">
        <f t="shared" si="57"/>
        <v>43.264859100867767</v>
      </c>
      <c r="R69" s="491">
        <f t="shared" si="58"/>
        <v>261.71052631578948</v>
      </c>
      <c r="S69" s="500">
        <f t="shared" si="59"/>
        <v>11322.869046266578</v>
      </c>
      <c r="T69" s="489">
        <f t="shared" si="60"/>
        <v>5.4838404392430364</v>
      </c>
      <c r="U69" s="493">
        <f t="shared" si="61"/>
        <v>405.42115030277023</v>
      </c>
      <c r="V69" s="500">
        <f t="shared" si="62"/>
        <v>2223.2648989547606</v>
      </c>
      <c r="W69" s="489">
        <f t="shared" si="63"/>
        <v>1.5844550833420734</v>
      </c>
      <c r="X69" s="493">
        <f t="shared" si="64"/>
        <v>37.9060089869281</v>
      </c>
      <c r="Y69" s="763">
        <f t="shared" si="65"/>
        <v>60.060368628548545</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13399.272100059312</v>
      </c>
      <c r="I70" s="487">
        <f>ITECountywide!$B$9*E70</f>
        <v>19.10408376934355</v>
      </c>
      <c r="J70" s="495">
        <f t="shared" si="53"/>
        <v>1.67</v>
      </c>
      <c r="K70" s="372">
        <f t="shared" si="54"/>
        <v>0.85182987994952053</v>
      </c>
      <c r="L70" s="488">
        <f>Passby_Length_Adj!H65</f>
        <v>1.2405469854222484</v>
      </c>
      <c r="M70" s="488">
        <f>Passby_Length_Adj!J65</f>
        <v>1</v>
      </c>
      <c r="N70" s="372">
        <v>0.5</v>
      </c>
      <c r="O70" s="481">
        <f t="shared" si="55"/>
        <v>0.6202734927111242</v>
      </c>
      <c r="P70" s="489">
        <f t="shared" si="56"/>
        <v>71.153505688079676</v>
      </c>
      <c r="Q70" s="490">
        <f t="shared" si="57"/>
        <v>42.606889633580643</v>
      </c>
      <c r="R70" s="491">
        <f t="shared" si="58"/>
        <v>261.71052631578948</v>
      </c>
      <c r="S70" s="500">
        <f t="shared" si="59"/>
        <v>11150.671510683145</v>
      </c>
      <c r="T70" s="489">
        <f t="shared" si="60"/>
        <v>5.4004425119763786</v>
      </c>
      <c r="U70" s="493">
        <f t="shared" si="61"/>
        <v>405.42115030277023</v>
      </c>
      <c r="V70" s="500">
        <f t="shared" si="62"/>
        <v>2189.4536153494455</v>
      </c>
      <c r="W70" s="489">
        <f t="shared" si="63"/>
        <v>1.560358782353402</v>
      </c>
      <c r="X70" s="493">
        <f t="shared" si="64"/>
        <v>37.9060089869281</v>
      </c>
      <c r="Y70" s="763">
        <f t="shared" si="65"/>
        <v>59.146974026720244</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13264.697958088773</v>
      </c>
      <c r="I71" s="487">
        <f>ITECountywide!$B$9*E71</f>
        <v>18.912213967596532</v>
      </c>
      <c r="J71" s="495">
        <f t="shared" si="53"/>
        <v>1.67</v>
      </c>
      <c r="K71" s="372">
        <f t="shared" si="54"/>
        <v>0.85182987994952053</v>
      </c>
      <c r="L71" s="488">
        <f>Passby_Length_Adj!H66</f>
        <v>1.2405469854222484</v>
      </c>
      <c r="M71" s="488">
        <f>Passby_Length_Adj!J66</f>
        <v>1</v>
      </c>
      <c r="N71" s="372">
        <v>0.5</v>
      </c>
      <c r="O71" s="481">
        <f t="shared" si="55"/>
        <v>0.6202734927111242</v>
      </c>
      <c r="P71" s="489">
        <f t="shared" si="56"/>
        <v>70.438883139581165</v>
      </c>
      <c r="Q71" s="490">
        <f t="shared" si="57"/>
        <v>42.178971939868966</v>
      </c>
      <c r="R71" s="491">
        <f t="shared" si="58"/>
        <v>261.71052631578948</v>
      </c>
      <c r="S71" s="500">
        <f t="shared" si="59"/>
        <v>11038.680945842023</v>
      </c>
      <c r="T71" s="489">
        <f t="shared" si="60"/>
        <v>5.3462037509538893</v>
      </c>
      <c r="U71" s="493">
        <f t="shared" si="61"/>
        <v>405.42115030277023</v>
      </c>
      <c r="V71" s="500">
        <f t="shared" si="62"/>
        <v>2167.4640744647108</v>
      </c>
      <c r="W71" s="489">
        <f t="shared" si="63"/>
        <v>1.5446874874701171</v>
      </c>
      <c r="X71" s="493">
        <f t="shared" si="64"/>
        <v>37.9060089869281</v>
      </c>
      <c r="Y71" s="763">
        <f t="shared" si="65"/>
        <v>58.552937782037645</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13123.519067688285</v>
      </c>
      <c r="I72" s="487">
        <f>ITECountywide!$B$9*E72</f>
        <v>18.710927410496026</v>
      </c>
      <c r="J72" s="495">
        <f t="shared" si="53"/>
        <v>1.67</v>
      </c>
      <c r="K72" s="372">
        <f t="shared" si="54"/>
        <v>0.85182987994952053</v>
      </c>
      <c r="L72" s="488">
        <f>Passby_Length_Adj!H67</f>
        <v>1.2405469854222484</v>
      </c>
      <c r="M72" s="488">
        <f>Passby_Length_Adj!J67</f>
        <v>1</v>
      </c>
      <c r="N72" s="372">
        <v>0.5</v>
      </c>
      <c r="O72" s="481">
        <f t="shared" si="55"/>
        <v>0.6202734927111242</v>
      </c>
      <c r="P72" s="489">
        <f t="shared" si="56"/>
        <v>69.689187715372029</v>
      </c>
      <c r="Q72" s="490">
        <f t="shared" si="57"/>
        <v>41.730052524174866</v>
      </c>
      <c r="R72" s="491">
        <f t="shared" si="58"/>
        <v>261.71052631578948</v>
      </c>
      <c r="S72" s="500">
        <f t="shared" si="59"/>
        <v>10921.194009287343</v>
      </c>
      <c r="T72" s="489">
        <f t="shared" si="60"/>
        <v>5.2893030121809916</v>
      </c>
      <c r="U72" s="493">
        <f t="shared" si="61"/>
        <v>405.42115030277023</v>
      </c>
      <c r="V72" s="500">
        <f t="shared" si="62"/>
        <v>2144.3953114983251</v>
      </c>
      <c r="W72" s="489">
        <f t="shared" si="63"/>
        <v>1.5282470629549427</v>
      </c>
      <c r="X72" s="493">
        <f t="shared" si="64"/>
        <v>37.9060089869281</v>
      </c>
      <c r="Y72" s="763">
        <f t="shared" si="65"/>
        <v>57.929746902616536</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12991.714421511995</v>
      </c>
      <c r="I73" s="487">
        <f>ITECountywide!$B$9*E73</f>
        <v>18.523006232171017</v>
      </c>
      <c r="J73" s="495">
        <f t="shared" si="53"/>
        <v>1.67</v>
      </c>
      <c r="K73" s="372">
        <f t="shared" si="54"/>
        <v>0.85182987994952053</v>
      </c>
      <c r="L73" s="488">
        <f>Passby_Length_Adj!H68</f>
        <v>1.2405469854222484</v>
      </c>
      <c r="M73" s="488">
        <f>Passby_Length_Adj!J68</f>
        <v>1</v>
      </c>
      <c r="N73" s="372">
        <v>0.5</v>
      </c>
      <c r="O73" s="481">
        <f t="shared" si="55"/>
        <v>0.6202734927111242</v>
      </c>
      <c r="P73" s="489">
        <f t="shared" si="56"/>
        <v>68.989271886259303</v>
      </c>
      <c r="Q73" s="490">
        <f t="shared" si="57"/>
        <v>41.31094124925707</v>
      </c>
      <c r="R73" s="491">
        <f t="shared" si="58"/>
        <v>261.71052631578948</v>
      </c>
      <c r="S73" s="500">
        <f t="shared" si="59"/>
        <v>10811.508176943726</v>
      </c>
      <c r="T73" s="489">
        <f t="shared" si="60"/>
        <v>5.2361804687195983</v>
      </c>
      <c r="U73" s="493">
        <f t="shared" si="61"/>
        <v>405.42115030277023</v>
      </c>
      <c r="V73" s="500">
        <f t="shared" si="62"/>
        <v>2122.8583088211981</v>
      </c>
      <c r="W73" s="489">
        <f t="shared" si="63"/>
        <v>1.5128982786567831</v>
      </c>
      <c r="X73" s="493">
        <f t="shared" si="64"/>
        <v>37.9060089869281</v>
      </c>
      <c r="Y73" s="763">
        <f t="shared" si="65"/>
        <v>57.347935747072071</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12894.132581148371</v>
      </c>
      <c r="I74" s="487">
        <f>ITECountywide!$B$9*E74</f>
        <v>18.383878402035741</v>
      </c>
      <c r="J74" s="495">
        <f t="shared" si="53"/>
        <v>1.67</v>
      </c>
      <c r="K74" s="372">
        <f t="shared" si="54"/>
        <v>0.85182987994952053</v>
      </c>
      <c r="L74" s="488">
        <f>Passby_Length_Adj!H69</f>
        <v>1.2405469854222484</v>
      </c>
      <c r="M74" s="488">
        <f>Passby_Length_Adj!J69</f>
        <v>1</v>
      </c>
      <c r="N74" s="372">
        <v>0.5</v>
      </c>
      <c r="O74" s="481">
        <f t="shared" si="55"/>
        <v>0.6202734927111242</v>
      </c>
      <c r="P74" s="489">
        <f t="shared" si="56"/>
        <v>68.471087765396817</v>
      </c>
      <c r="Q74" s="490">
        <f t="shared" si="57"/>
        <v>41.00065135652504</v>
      </c>
      <c r="R74" s="491">
        <f t="shared" si="58"/>
        <v>261.71052631578948</v>
      </c>
      <c r="S74" s="500">
        <f t="shared" si="59"/>
        <v>10730.302045806357</v>
      </c>
      <c r="T74" s="489">
        <f t="shared" si="60"/>
        <v>5.1968510846186309</v>
      </c>
      <c r="U74" s="493">
        <f t="shared" si="61"/>
        <v>405.42115030277023</v>
      </c>
      <c r="V74" s="500">
        <f t="shared" si="62"/>
        <v>2106.9133446782844</v>
      </c>
      <c r="W74" s="489">
        <f t="shared" si="63"/>
        <v>1.501534774693839</v>
      </c>
      <c r="X74" s="493">
        <f t="shared" si="64"/>
        <v>37.9060089869281</v>
      </c>
      <c r="Y74" s="763">
        <f t="shared" si="65"/>
        <v>56.91719066372972</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12816.741530048683</v>
      </c>
      <c r="I75" s="487">
        <f>ITECountywide!$B$9*E75</f>
        <v>18.273537697543336</v>
      </c>
      <c r="J75" s="495">
        <f t="shared" si="53"/>
        <v>1.67</v>
      </c>
      <c r="K75" s="372">
        <f t="shared" si="54"/>
        <v>0.85182987994952053</v>
      </c>
      <c r="L75" s="488">
        <f>Passby_Length_Adj!H70</f>
        <v>1.2405469854222484</v>
      </c>
      <c r="M75" s="488">
        <f>Passby_Length_Adj!J70</f>
        <v>1</v>
      </c>
      <c r="N75" s="372">
        <v>0.5</v>
      </c>
      <c r="O75" s="481">
        <f t="shared" si="55"/>
        <v>0.6202734927111242</v>
      </c>
      <c r="P75" s="489">
        <f t="shared" si="56"/>
        <v>68.060121814895396</v>
      </c>
      <c r="Q75" s="490">
        <f t="shared" si="57"/>
        <v>40.754563961015208</v>
      </c>
      <c r="R75" s="491">
        <f t="shared" si="58"/>
        <v>261.71052631578948</v>
      </c>
      <c r="S75" s="500">
        <f t="shared" si="59"/>
        <v>10665.898384007796</v>
      </c>
      <c r="T75" s="489">
        <f t="shared" si="60"/>
        <v>5.1656593960489632</v>
      </c>
      <c r="U75" s="493">
        <f t="shared" si="61"/>
        <v>405.42115030277023</v>
      </c>
      <c r="V75" s="500">
        <f t="shared" si="62"/>
        <v>2094.2675744184839</v>
      </c>
      <c r="W75" s="489">
        <f t="shared" si="63"/>
        <v>1.4925225085530223</v>
      </c>
      <c r="X75" s="493">
        <f t="shared" si="64"/>
        <v>37.9060089869281</v>
      </c>
      <c r="Y75" s="763">
        <f t="shared" si="65"/>
        <v>56.575571622403331</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12752.66954571365</v>
      </c>
      <c r="I76" s="487">
        <f>ITECountywide!$B$9*E76</f>
        <v>18.182186723634896</v>
      </c>
      <c r="J76" s="495">
        <f t="shared" si="53"/>
        <v>1.67</v>
      </c>
      <c r="K76" s="372">
        <f t="shared" si="54"/>
        <v>0.85182987994952053</v>
      </c>
      <c r="L76" s="488">
        <f>Passby_Length_Adj!H71</f>
        <v>1.2405469854222484</v>
      </c>
      <c r="M76" s="488">
        <f>Passby_Length_Adj!J71</f>
        <v>1</v>
      </c>
      <c r="N76" s="372">
        <v>0.5</v>
      </c>
      <c r="O76" s="481">
        <f t="shared" si="55"/>
        <v>0.6202734927111242</v>
      </c>
      <c r="P76" s="489">
        <f t="shared" si="56"/>
        <v>67.719883459573893</v>
      </c>
      <c r="Q76" s="490">
        <f t="shared" si="57"/>
        <v>40.550828418906526</v>
      </c>
      <c r="R76" s="491">
        <f t="shared" si="58"/>
        <v>261.71052631578948</v>
      </c>
      <c r="S76" s="500">
        <f t="shared" si="59"/>
        <v>10612.578648053301</v>
      </c>
      <c r="T76" s="489">
        <f t="shared" si="60"/>
        <v>5.139835824033578</v>
      </c>
      <c r="U76" s="493">
        <f t="shared" si="61"/>
        <v>405.42115030277023</v>
      </c>
      <c r="V76" s="500">
        <f t="shared" si="62"/>
        <v>2083.7981521470801</v>
      </c>
      <c r="W76" s="489">
        <f t="shared" si="63"/>
        <v>1.485061261202165</v>
      </c>
      <c r="X76" s="493">
        <f t="shared" si="64"/>
        <v>37.9060089869281</v>
      </c>
      <c r="Y76" s="763">
        <f t="shared" si="65"/>
        <v>56.292745513268045</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6">+S77+V77+Y77</f>
        <v>12673.477765637379</v>
      </c>
      <c r="I77" s="487">
        <f>ITECountywide!$B$9*E77</f>
        <v>18.069278620185472</v>
      </c>
      <c r="J77" s="495">
        <f t="shared" si="53"/>
        <v>1.67</v>
      </c>
      <c r="K77" s="372">
        <f t="shared" si="54"/>
        <v>0.85182987994952053</v>
      </c>
      <c r="L77" s="488">
        <f>Passby_Length_Adj!H72</f>
        <v>1.2405469854222484</v>
      </c>
      <c r="M77" s="488">
        <f>Passby_Length_Adj!J72</f>
        <v>1</v>
      </c>
      <c r="N77" s="372">
        <v>0.5</v>
      </c>
      <c r="O77" s="481">
        <f t="shared" si="55"/>
        <v>0.6202734927111242</v>
      </c>
      <c r="P77" s="489">
        <f t="shared" si="56"/>
        <v>67.299355185199857</v>
      </c>
      <c r="Q77" s="490">
        <f t="shared" si="57"/>
        <v>40.299015080958</v>
      </c>
      <c r="R77" s="491">
        <f t="shared" si="58"/>
        <v>261.71052631578948</v>
      </c>
      <c r="S77" s="500">
        <f t="shared" si="59"/>
        <v>10546.676446845457</v>
      </c>
      <c r="T77" s="489">
        <f t="shared" si="60"/>
        <v>5.1079183696726753</v>
      </c>
      <c r="U77" s="493">
        <f t="shared" si="61"/>
        <v>405.42115030277023</v>
      </c>
      <c r="V77" s="500">
        <f t="shared" si="62"/>
        <v>2070.8581410853467</v>
      </c>
      <c r="W77" s="489">
        <f t="shared" si="63"/>
        <v>1.4758392983515365</v>
      </c>
      <c r="X77" s="493">
        <f t="shared" si="64"/>
        <v>37.9060089869281</v>
      </c>
      <c r="Y77" s="763">
        <f t="shared" si="65"/>
        <v>55.943177706575007</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6"/>
        <v>20582.548661379078</v>
      </c>
      <c r="I78" s="487">
        <f>ITECountywide!$B$9*E78</f>
        <v>29.345678696370033</v>
      </c>
      <c r="J78" s="495">
        <f t="shared" si="53"/>
        <v>1.67</v>
      </c>
      <c r="K78" s="372">
        <f t="shared" si="54"/>
        <v>0.85182987994952053</v>
      </c>
      <c r="L78" s="488">
        <f>Passby_Length_Adj!H73</f>
        <v>1.2405469854222484</v>
      </c>
      <c r="M78" s="488">
        <f>Passby_Length_Adj!J73</f>
        <v>1</v>
      </c>
      <c r="N78" s="372">
        <v>0.5</v>
      </c>
      <c r="O78" s="481">
        <f t="shared" si="55"/>
        <v>0.6202734927111242</v>
      </c>
      <c r="P78" s="489">
        <f t="shared" si="56"/>
        <v>109.29851131585949</v>
      </c>
      <c r="Q78" s="490">
        <f t="shared" si="57"/>
        <v>65.448210368778135</v>
      </c>
      <c r="R78" s="491">
        <f t="shared" si="58"/>
        <v>261.71052631578948</v>
      </c>
      <c r="S78" s="500">
        <f t="shared" si="59"/>
        <v>17128.485582039437</v>
      </c>
      <c r="T78" s="489">
        <f t="shared" si="60"/>
        <v>8.2955902354757072</v>
      </c>
      <c r="U78" s="493">
        <f t="shared" si="61"/>
        <v>405.42115030277023</v>
      </c>
      <c r="V78" s="500">
        <f t="shared" si="62"/>
        <v>3363.2077357069898</v>
      </c>
      <c r="W78" s="489">
        <f t="shared" si="63"/>
        <v>2.396858600017306</v>
      </c>
      <c r="X78" s="493">
        <f t="shared" si="64"/>
        <v>37.9060089869281</v>
      </c>
      <c r="Y78" s="763">
        <f t="shared" si="65"/>
        <v>90.855343632651909</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6"/>
        <v>10106.934024580833</v>
      </c>
      <c r="I79" s="487">
        <f>ITECountywide!$B$9*E79</f>
        <v>14.410015172090286</v>
      </c>
      <c r="J79" s="495">
        <f t="shared" si="53"/>
        <v>1.67</v>
      </c>
      <c r="K79" s="372">
        <f t="shared" si="54"/>
        <v>0.85182987994952053</v>
      </c>
      <c r="L79" s="488">
        <f>Passby_Length_Adj!H74</f>
        <v>1.2405469854222484</v>
      </c>
      <c r="M79" s="488">
        <f>Passby_Length_Adj!J74</f>
        <v>1</v>
      </c>
      <c r="N79" s="372">
        <v>0.5</v>
      </c>
      <c r="O79" s="481">
        <f t="shared" si="55"/>
        <v>0.6202734927111242</v>
      </c>
      <c r="P79" s="489">
        <f t="shared" si="56"/>
        <v>53.670362258250954</v>
      </c>
      <c r="Q79" s="490">
        <f t="shared" si="57"/>
        <v>32.13794147200656</v>
      </c>
      <c r="R79" s="491">
        <f t="shared" si="58"/>
        <v>261.71052631578948</v>
      </c>
      <c r="S79" s="500">
        <f t="shared" si="59"/>
        <v>8410.8375773448752</v>
      </c>
      <c r="T79" s="489">
        <f t="shared" si="60"/>
        <v>4.0734986023490967</v>
      </c>
      <c r="U79" s="493">
        <f t="shared" si="61"/>
        <v>405.42115030277023</v>
      </c>
      <c r="V79" s="500">
        <f t="shared" si="62"/>
        <v>1651.4824891210976</v>
      </c>
      <c r="W79" s="489">
        <f t="shared" si="63"/>
        <v>1.176962684999233</v>
      </c>
      <c r="X79" s="493">
        <f t="shared" si="64"/>
        <v>37.9060089869281</v>
      </c>
      <c r="Y79" s="763">
        <f t="shared" si="65"/>
        <v>44.613958114859948</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6"/>
        <v>14302.265129123816</v>
      </c>
      <c r="I80" s="487">
        <f>ITECountywide!$B$9*E80</f>
        <v>20.391530903901348</v>
      </c>
      <c r="J80" s="495">
        <f t="shared" si="53"/>
        <v>1.67</v>
      </c>
      <c r="K80" s="372">
        <f t="shared" si="54"/>
        <v>0.85182987994952053</v>
      </c>
      <c r="L80" s="488">
        <f>Passby_Length_Adj!H75</f>
        <v>1.2405469854222484</v>
      </c>
      <c r="M80" s="488">
        <f>Passby_Length_Adj!J75</f>
        <v>1</v>
      </c>
      <c r="N80" s="372">
        <v>0.5</v>
      </c>
      <c r="O80" s="481">
        <f t="shared" si="55"/>
        <v>0.6202734927111242</v>
      </c>
      <c r="P80" s="489">
        <f t="shared" si="56"/>
        <v>75.94862583714756</v>
      </c>
      <c r="Q80" s="490">
        <f t="shared" si="57"/>
        <v>45.478219064160214</v>
      </c>
      <c r="R80" s="491">
        <f t="shared" si="58"/>
        <v>261.71052631578948</v>
      </c>
      <c r="S80" s="500">
        <f t="shared" si="59"/>
        <v>11902.12864718614</v>
      </c>
      <c r="T80" s="489">
        <f t="shared" si="60"/>
        <v>5.7643848146449477</v>
      </c>
      <c r="U80" s="493">
        <f t="shared" si="61"/>
        <v>405.42115030277023</v>
      </c>
      <c r="V80" s="500">
        <f t="shared" si="62"/>
        <v>2337.0035223411755</v>
      </c>
      <c r="W80" s="489">
        <f t="shared" si="63"/>
        <v>1.6655132334894802</v>
      </c>
      <c r="X80" s="493">
        <f t="shared" si="64"/>
        <v>37.9060089869281</v>
      </c>
      <c r="Y80" s="763">
        <f t="shared" si="65"/>
        <v>63.132959596499916</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6"/>
        <v>29227.421380150707</v>
      </c>
      <c r="I81" s="487">
        <f>ITECountywide!$B$9*E81</f>
        <v>63.077802262734835</v>
      </c>
      <c r="J81" s="495">
        <f t="shared" si="53"/>
        <v>1.67</v>
      </c>
      <c r="K81" s="372">
        <f t="shared" si="54"/>
        <v>0.85182987994952053</v>
      </c>
      <c r="L81" s="488">
        <f>Passby_Length_Adj!H76</f>
        <v>0.892749244712991</v>
      </c>
      <c r="M81" s="488">
        <f>Passby_Length_Adj!J76</f>
        <v>0.91800000000000004</v>
      </c>
      <c r="N81" s="372">
        <v>0.5</v>
      </c>
      <c r="O81" s="481">
        <f t="shared" si="55"/>
        <v>0.40977190332326291</v>
      </c>
      <c r="P81" s="489">
        <f t="shared" si="56"/>
        <v>155.20496023147774</v>
      </c>
      <c r="Q81" s="490">
        <f t="shared" si="57"/>
        <v>92.937101935016614</v>
      </c>
      <c r="R81" s="491">
        <f t="shared" si="58"/>
        <v>261.71052631578948</v>
      </c>
      <c r="S81" s="500">
        <f t="shared" si="59"/>
        <v>24322.617861677376</v>
      </c>
      <c r="T81" s="489">
        <f t="shared" si="60"/>
        <v>11.779819661704948</v>
      </c>
      <c r="U81" s="493">
        <f t="shared" si="61"/>
        <v>405.42115030277023</v>
      </c>
      <c r="V81" s="500">
        <f t="shared" si="62"/>
        <v>4775.78803760761</v>
      </c>
      <c r="W81" s="489">
        <f t="shared" si="63"/>
        <v>3.4035627678506413</v>
      </c>
      <c r="X81" s="493">
        <f t="shared" si="64"/>
        <v>37.9060089869281</v>
      </c>
      <c r="Y81" s="763">
        <f t="shared" si="65"/>
        <v>129.01548086572029</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6"/>
        <v>28718.948379280628</v>
      </c>
      <c r="I82" s="487">
        <f>ITECountywide!$B$9*E82</f>
        <v>40.946194055033907</v>
      </c>
      <c r="J82" s="495">
        <f t="shared" si="53"/>
        <v>1.67</v>
      </c>
      <c r="K82" s="372">
        <f t="shared" si="54"/>
        <v>0.85182987994952053</v>
      </c>
      <c r="L82" s="488">
        <f>Passby_Length_Adj!H77</f>
        <v>1.2405469854222484</v>
      </c>
      <c r="M82" s="488">
        <f>Passby_Length_Adj!J77</f>
        <v>1</v>
      </c>
      <c r="N82" s="372">
        <v>0.5</v>
      </c>
      <c r="O82" s="481">
        <f t="shared" si="55"/>
        <v>0.6202734927111242</v>
      </c>
      <c r="P82" s="489">
        <f t="shared" si="56"/>
        <v>152.50484068099232</v>
      </c>
      <c r="Q82" s="490">
        <f t="shared" si="57"/>
        <v>91.320263880833721</v>
      </c>
      <c r="R82" s="491">
        <f t="shared" si="58"/>
        <v>261.71052631578948</v>
      </c>
      <c r="S82" s="500">
        <f t="shared" si="59"/>
        <v>23899.474323549774</v>
      </c>
      <c r="T82" s="489">
        <f t="shared" si="60"/>
        <v>11.574884707807055</v>
      </c>
      <c r="U82" s="493">
        <f t="shared" si="61"/>
        <v>405.42115030277023</v>
      </c>
      <c r="V82" s="500">
        <f t="shared" si="62"/>
        <v>4692.7030728610807</v>
      </c>
      <c r="W82" s="489">
        <f t="shared" si="63"/>
        <v>3.3443505728468765</v>
      </c>
      <c r="X82" s="493">
        <f t="shared" si="64"/>
        <v>37.9060089869281</v>
      </c>
      <c r="Y82" s="763">
        <f t="shared" si="65"/>
        <v>126.77098286977184</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6"/>
        <v>7036.0690665877828</v>
      </c>
      <c r="I83" s="487">
        <f>ITECountywide!$B$9*E83</f>
        <v>20.319027682909702</v>
      </c>
      <c r="J83" s="495">
        <f t="shared" si="53"/>
        <v>1.67</v>
      </c>
      <c r="K83" s="372">
        <f t="shared" si="54"/>
        <v>0.85182987994952053</v>
      </c>
      <c r="L83" s="488">
        <f>Passby_Length_Adj!H78</f>
        <v>0.61247081225203326</v>
      </c>
      <c r="M83" s="488">
        <f>Passby_Length_Adj!J78</f>
        <v>1</v>
      </c>
      <c r="N83" s="372">
        <v>0.5</v>
      </c>
      <c r="O83" s="481">
        <f t="shared" si="55"/>
        <v>0.30623540612601663</v>
      </c>
      <c r="P83" s="489">
        <f t="shared" si="56"/>
        <v>37.363296797962569</v>
      </c>
      <c r="Q83" s="490">
        <f t="shared" si="57"/>
        <v>22.373231615546448</v>
      </c>
      <c r="R83" s="491">
        <f t="shared" si="58"/>
        <v>261.71052631578948</v>
      </c>
      <c r="S83" s="500">
        <f t="shared" si="59"/>
        <v>5855.3102214897217</v>
      </c>
      <c r="T83" s="489">
        <f t="shared" si="60"/>
        <v>2.8358172160885089</v>
      </c>
      <c r="U83" s="493">
        <f t="shared" si="61"/>
        <v>405.42115030277023</v>
      </c>
      <c r="V83" s="500">
        <f t="shared" si="62"/>
        <v>1149.7002777950029</v>
      </c>
      <c r="W83" s="489">
        <f t="shared" si="63"/>
        <v>0.8193573560795705</v>
      </c>
      <c r="X83" s="493">
        <f t="shared" si="64"/>
        <v>37.9060089869281</v>
      </c>
      <c r="Y83" s="763">
        <f t="shared" si="65"/>
        <v>31.058567303057846</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6"/>
        <v>43199.197252233535</v>
      </c>
      <c r="I84" s="487">
        <f>ITECountywide!$B$9*E84</f>
        <v>61.591486232406027</v>
      </c>
      <c r="J84" s="495">
        <f t="shared" si="53"/>
        <v>1.67</v>
      </c>
      <c r="K84" s="372">
        <f t="shared" si="54"/>
        <v>0.85182987994952053</v>
      </c>
      <c r="L84" s="488">
        <f>Passby_Length_Adj!H79</f>
        <v>1.2405469854222484</v>
      </c>
      <c r="M84" s="488">
        <f>Passby_Length_Adj!J79</f>
        <v>1</v>
      </c>
      <c r="N84" s="372">
        <v>0.5</v>
      </c>
      <c r="O84" s="481">
        <f t="shared" si="55"/>
        <v>0.6202734927111242</v>
      </c>
      <c r="P84" s="489">
        <f t="shared" si="56"/>
        <v>229.39860497300216</v>
      </c>
      <c r="Q84" s="490">
        <f t="shared" si="57"/>
        <v>137.36443411557016</v>
      </c>
      <c r="R84" s="491">
        <f t="shared" si="58"/>
        <v>261.71052631578948</v>
      </c>
      <c r="S84" s="500">
        <f t="shared" si="59"/>
        <v>35949.718349456452</v>
      </c>
      <c r="T84" s="489">
        <f t="shared" si="60"/>
        <v>17.41100408903425</v>
      </c>
      <c r="U84" s="493">
        <f t="shared" si="61"/>
        <v>405.42115030277023</v>
      </c>
      <c r="V84" s="500">
        <f t="shared" si="62"/>
        <v>7058.7893057025021</v>
      </c>
      <c r="W84" s="489">
        <f t="shared" si="63"/>
        <v>5.0305901932420038</v>
      </c>
      <c r="X84" s="493">
        <f t="shared" si="64"/>
        <v>37.9060089869281</v>
      </c>
      <c r="Y84" s="763">
        <f t="shared" si="65"/>
        <v>190.68959707458376</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6"/>
        <v>14073.428887057837</v>
      </c>
      <c r="I85" s="487">
        <f>ITECountywide!$B$9*E85</f>
        <v>20.065266409438927</v>
      </c>
      <c r="J85" s="495">
        <f t="shared" si="53"/>
        <v>1.67</v>
      </c>
      <c r="K85" s="372">
        <f t="shared" si="54"/>
        <v>0.85182987994952053</v>
      </c>
      <c r="L85" s="488">
        <f>Passby_Length_Adj!H80</f>
        <v>1.2405469854222484</v>
      </c>
      <c r="M85" s="488">
        <f>Passby_Length_Adj!J80</f>
        <v>1</v>
      </c>
      <c r="N85" s="372">
        <v>0.5</v>
      </c>
      <c r="O85" s="481">
        <f t="shared" si="55"/>
        <v>0.6202734927111242</v>
      </c>
      <c r="P85" s="489">
        <f t="shared" si="56"/>
        <v>74.73344782375321</v>
      </c>
      <c r="Q85" s="490">
        <f t="shared" si="57"/>
        <v>44.750567559133657</v>
      </c>
      <c r="R85" s="491">
        <f t="shared" si="58"/>
        <v>261.71052631578948</v>
      </c>
      <c r="S85" s="500">
        <f t="shared" si="59"/>
        <v>11711.694588831164</v>
      </c>
      <c r="T85" s="489">
        <f t="shared" si="60"/>
        <v>5.672154657610629</v>
      </c>
      <c r="U85" s="493">
        <f t="shared" si="61"/>
        <v>405.42115030277023</v>
      </c>
      <c r="V85" s="500">
        <f t="shared" si="62"/>
        <v>2299.6114659837172</v>
      </c>
      <c r="W85" s="489">
        <f t="shared" si="63"/>
        <v>1.6388650217536487</v>
      </c>
      <c r="X85" s="493">
        <f t="shared" si="64"/>
        <v>37.9060089869281</v>
      </c>
      <c r="Y85" s="763">
        <f t="shared" si="65"/>
        <v>62.122832242955923</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6"/>
        <v>14314.978253683041</v>
      </c>
      <c r="I86" s="487">
        <f>ITECountywide!$B$9*E86</f>
        <v>20.40965670914926</v>
      </c>
      <c r="J86" s="495">
        <f t="shared" si="53"/>
        <v>1.67</v>
      </c>
      <c r="K86" s="372">
        <f t="shared" si="54"/>
        <v>0.85182987994952053</v>
      </c>
      <c r="L86" s="488">
        <f>Passby_Length_Adj!H81</f>
        <v>1.2405469854222484</v>
      </c>
      <c r="M86" s="488">
        <f>Passby_Length_Adj!J81</f>
        <v>1</v>
      </c>
      <c r="N86" s="372">
        <v>0.5</v>
      </c>
      <c r="O86" s="481">
        <f t="shared" si="55"/>
        <v>0.6202734927111242</v>
      </c>
      <c r="P86" s="489">
        <f t="shared" si="56"/>
        <v>76.01613572678059</v>
      </c>
      <c r="Q86" s="490">
        <f t="shared" si="57"/>
        <v>45.518644147772811</v>
      </c>
      <c r="R86" s="491">
        <f t="shared" si="58"/>
        <v>261.71052631578948</v>
      </c>
      <c r="S86" s="500">
        <f t="shared" si="59"/>
        <v>11912.708317094754</v>
      </c>
      <c r="T86" s="489">
        <f t="shared" si="60"/>
        <v>5.7695087122579647</v>
      </c>
      <c r="U86" s="493">
        <f t="shared" si="61"/>
        <v>405.42115030277023</v>
      </c>
      <c r="V86" s="500">
        <f t="shared" si="62"/>
        <v>2339.0808588054788</v>
      </c>
      <c r="W86" s="489">
        <f t="shared" si="63"/>
        <v>1.6669936896970265</v>
      </c>
      <c r="X86" s="493">
        <f t="shared" si="64"/>
        <v>37.9060089869281</v>
      </c>
      <c r="Y86" s="763">
        <f t="shared" si="65"/>
        <v>63.189077782807921</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6"/>
        <v>15815.126951671133</v>
      </c>
      <c r="I87" s="487">
        <f>ITECountywide!$B$9*E87</f>
        <v>22.548501728402911</v>
      </c>
      <c r="J87" s="495">
        <f t="shared" si="53"/>
        <v>1.67</v>
      </c>
      <c r="K87" s="372">
        <f t="shared" si="54"/>
        <v>0.85182987994952053</v>
      </c>
      <c r="L87" s="488">
        <f>Passby_Length_Adj!H82</f>
        <v>1.2405469854222484</v>
      </c>
      <c r="M87" s="488">
        <f>Passby_Length_Adj!J82</f>
        <v>1</v>
      </c>
      <c r="N87" s="372">
        <v>0.5</v>
      </c>
      <c r="O87" s="481">
        <f t="shared" si="55"/>
        <v>0.6202734927111242</v>
      </c>
      <c r="P87" s="489">
        <f t="shared" si="56"/>
        <v>83.982302703476932</v>
      </c>
      <c r="Q87" s="490">
        <f t="shared" si="57"/>
        <v>50.288804014058044</v>
      </c>
      <c r="R87" s="491">
        <f t="shared" si="58"/>
        <v>261.71052631578948</v>
      </c>
      <c r="S87" s="500">
        <f t="shared" si="59"/>
        <v>13161.109366310717</v>
      </c>
      <c r="T87" s="489">
        <f t="shared" si="60"/>
        <v>6.3741286305940568</v>
      </c>
      <c r="U87" s="493">
        <f t="shared" si="61"/>
        <v>405.42115030277023</v>
      </c>
      <c r="V87" s="500">
        <f t="shared" si="62"/>
        <v>2584.2065615932643</v>
      </c>
      <c r="W87" s="489">
        <f t="shared" si="63"/>
        <v>1.8416875221874784</v>
      </c>
      <c r="X87" s="493">
        <f t="shared" si="64"/>
        <v>37.9060089869281</v>
      </c>
      <c r="Y87" s="763">
        <f t="shared" si="65"/>
        <v>69.811023767151909</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6"/>
        <v>16186.949066192043</v>
      </c>
      <c r="I89" s="487">
        <f>ITECountywide!$B$9*E89</f>
        <v>32.717078472481724</v>
      </c>
      <c r="J89" s="495">
        <f t="shared" ref="J89:J126" si="67">IF(F89="Prod",$M$3,$M$4)</f>
        <v>1.67</v>
      </c>
      <c r="K89" s="372">
        <f t="shared" ref="K89:K126" si="68">IF(F89="Prod",$F$4,$F$5)</f>
        <v>0.85182987994952053</v>
      </c>
      <c r="L89" s="488">
        <f>Passby_Length_Adj!H84</f>
        <v>0.87508191706880245</v>
      </c>
      <c r="M89" s="488">
        <f>Passby_Length_Adj!J84</f>
        <v>1</v>
      </c>
      <c r="N89" s="372">
        <v>0.5</v>
      </c>
      <c r="O89" s="481">
        <f t="shared" ref="O89:O126" si="69">L89*M89*N89</f>
        <v>0.43754095853440123</v>
      </c>
      <c r="P89" s="489">
        <f t="shared" ref="P89:P126" si="70">IF($F89="Prod",$I89*$O89*$F$4*$F$6,$I89*O89*$F$5*$F$7)</f>
        <v>85.956771670369562</v>
      </c>
      <c r="Q89" s="490">
        <f t="shared" ref="Q89:Q126" si="71">+P89/J89</f>
        <v>51.471120760700337</v>
      </c>
      <c r="R89" s="491">
        <f t="shared" ref="R89:R126" si="72">+$Q$4</f>
        <v>261.71052631578948</v>
      </c>
      <c r="S89" s="500">
        <f t="shared" ref="S89:S126" si="73">+Q89*R89</f>
        <v>13470.534104346443</v>
      </c>
      <c r="T89" s="489">
        <f t="shared" ref="T89:T126" si="74">IF($F89="Prod",$I89*$O89*$G$4*$G$6,$I89*$O89*$G$5*$G$7)</f>
        <v>6.5239878124329547</v>
      </c>
      <c r="U89" s="493">
        <f t="shared" ref="U89:U126" si="75">+$R$4</f>
        <v>405.42115030277023</v>
      </c>
      <c r="V89" s="500">
        <f t="shared" ref="V89:V126" si="76">+T89*U89</f>
        <v>2644.962643477822</v>
      </c>
      <c r="W89" s="489">
        <f t="shared" ref="W89:W126" si="77">IF($F89="Prod",$I89*$O89*$J$4*$J$6,$I89*$O89*$J$5*$J$7)</f>
        <v>1.8849865833255341</v>
      </c>
      <c r="X89" s="493">
        <f t="shared" ref="X89:X126" si="78">$S$4</f>
        <v>37.9060089869281</v>
      </c>
      <c r="Y89" s="763">
        <f t="shared" ref="Y89:Y126" si="79">+W89*X89</f>
        <v>71.452318367776584</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6"/>
        <v>44655.641141210755</v>
      </c>
      <c r="I90" s="487">
        <f>ITECountywide!$B$9*E90</f>
        <v>91.897832606915415</v>
      </c>
      <c r="J90" s="495">
        <f t="shared" si="67"/>
        <v>1.67</v>
      </c>
      <c r="K90" s="372">
        <f t="shared" si="68"/>
        <v>0.85182987994952053</v>
      </c>
      <c r="L90" s="488">
        <f>Passby_Length_Adj!H85</f>
        <v>0.8594671567024027</v>
      </c>
      <c r="M90" s="488">
        <f>Passby_Length_Adj!J85</f>
        <v>1</v>
      </c>
      <c r="N90" s="372">
        <v>0.5</v>
      </c>
      <c r="O90" s="481">
        <f t="shared" si="69"/>
        <v>0.42973357835120135</v>
      </c>
      <c r="P90" s="489">
        <f t="shared" si="70"/>
        <v>237.13268841909104</v>
      </c>
      <c r="Q90" s="490">
        <f t="shared" si="71"/>
        <v>141.99562180783894</v>
      </c>
      <c r="R90" s="491">
        <f t="shared" si="72"/>
        <v>261.71052631578948</v>
      </c>
      <c r="S90" s="500">
        <f t="shared" si="73"/>
        <v>37161.748917867328</v>
      </c>
      <c r="T90" s="489">
        <f t="shared" si="74"/>
        <v>17.998009221522455</v>
      </c>
      <c r="U90" s="493">
        <f t="shared" si="75"/>
        <v>405.42115030277023</v>
      </c>
      <c r="V90" s="500">
        <f t="shared" si="76"/>
        <v>7296.7736017494999</v>
      </c>
      <c r="W90" s="489">
        <f t="shared" si="77"/>
        <v>5.2001945565387606</v>
      </c>
      <c r="X90" s="493">
        <f t="shared" si="78"/>
        <v>37.9060089869281</v>
      </c>
      <c r="Y90" s="763">
        <f t="shared" si="79"/>
        <v>197.11862159393286</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6"/>
        <v>8050.3463516896727</v>
      </c>
      <c r="I91" s="487">
        <f>ITECountywide!$B$9*E91</f>
        <v>16.566985996591853</v>
      </c>
      <c r="J91" s="495">
        <f t="shared" si="67"/>
        <v>1.67</v>
      </c>
      <c r="K91" s="372">
        <f t="shared" si="68"/>
        <v>0.85182987994952053</v>
      </c>
      <c r="L91" s="488">
        <f>Passby_Length_Adj!H86</f>
        <v>0.8594671567024027</v>
      </c>
      <c r="M91" s="488">
        <f>Passby_Length_Adj!J86</f>
        <v>1</v>
      </c>
      <c r="N91" s="372">
        <v>0.5</v>
      </c>
      <c r="O91" s="481">
        <f t="shared" si="69"/>
        <v>0.42973357835120135</v>
      </c>
      <c r="P91" s="489">
        <f t="shared" si="70"/>
        <v>42.74936434221879</v>
      </c>
      <c r="Q91" s="490">
        <f t="shared" si="71"/>
        <v>25.598421761807661</v>
      </c>
      <c r="R91" s="491">
        <f t="shared" si="72"/>
        <v>261.71052631578948</v>
      </c>
      <c r="S91" s="500">
        <f t="shared" si="73"/>
        <v>6699.3764321362414</v>
      </c>
      <c r="T91" s="489">
        <f t="shared" si="74"/>
        <v>3.244611524353358</v>
      </c>
      <c r="U91" s="493">
        <f t="shared" si="75"/>
        <v>405.42115030277023</v>
      </c>
      <c r="V91" s="500">
        <f t="shared" si="76"/>
        <v>1315.4341364889631</v>
      </c>
      <c r="W91" s="489">
        <f t="shared" si="77"/>
        <v>0.93747097133657353</v>
      </c>
      <c r="X91" s="493">
        <f t="shared" si="78"/>
        <v>37.9060089869281</v>
      </c>
      <c r="Y91" s="763">
        <f t="shared" si="79"/>
        <v>35.535783064468369</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6"/>
        <v>59981.245793223927</v>
      </c>
      <c r="I92" s="710">
        <f>ITECountywide!$B$9*E92</f>
        <v>123.43673373828283</v>
      </c>
      <c r="J92" s="711">
        <f t="shared" si="67"/>
        <v>1.67</v>
      </c>
      <c r="K92" s="712">
        <f t="shared" si="68"/>
        <v>0.85182987994952053</v>
      </c>
      <c r="L92" s="713">
        <f>Passby_Length_Adj!H87</f>
        <v>0.8594671567024027</v>
      </c>
      <c r="M92" s="713">
        <f>Passby_Length_Adj!J87</f>
        <v>1</v>
      </c>
      <c r="N92" s="712">
        <v>0.5</v>
      </c>
      <c r="O92" s="714">
        <f t="shared" si="69"/>
        <v>0.42973357835120135</v>
      </c>
      <c r="P92" s="715">
        <f t="shared" si="70"/>
        <v>318.51550456292114</v>
      </c>
      <c r="Q92" s="716">
        <f t="shared" si="71"/>
        <v>190.72784704366535</v>
      </c>
      <c r="R92" s="717">
        <f t="shared" si="72"/>
        <v>261.71052631578948</v>
      </c>
      <c r="S92" s="721">
        <f t="shared" si="73"/>
        <v>49915.485232875049</v>
      </c>
      <c r="T92" s="715">
        <f t="shared" si="74"/>
        <v>24.174840788672174</v>
      </c>
      <c r="U92" s="719">
        <f t="shared" si="75"/>
        <v>405.42115030277023</v>
      </c>
      <c r="V92" s="721">
        <f t="shared" si="76"/>
        <v>9800.9917609298027</v>
      </c>
      <c r="W92" s="715">
        <f t="shared" si="77"/>
        <v>6.9848767120372699</v>
      </c>
      <c r="X92" s="719">
        <f t="shared" si="78"/>
        <v>37.9060089869281</v>
      </c>
      <c r="Y92" s="764">
        <f t="shared" si="79"/>
        <v>264.76879941906952</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6"/>
        <v>19418.735429706008</v>
      </c>
      <c r="I94" s="693">
        <f>ITECountywide!$B$9*E94</f>
        <v>284.21511603055654</v>
      </c>
      <c r="J94" s="694">
        <f t="shared" si="67"/>
        <v>1.67</v>
      </c>
      <c r="K94" s="695">
        <f t="shared" si="68"/>
        <v>0.85182987994952053</v>
      </c>
      <c r="L94" s="696">
        <f>Passby_Length_Adj!H89</f>
        <v>0.30211480362537763</v>
      </c>
      <c r="M94" s="696">
        <f>Passby_Length_Adj!J89</f>
        <v>0.4</v>
      </c>
      <c r="N94" s="695">
        <v>0.5</v>
      </c>
      <c r="O94" s="697">
        <f t="shared" si="69"/>
        <v>6.0422960725075525E-2</v>
      </c>
      <c r="P94" s="698">
        <f t="shared" si="70"/>
        <v>103.1183702767544</v>
      </c>
      <c r="Q94" s="699">
        <f t="shared" si="71"/>
        <v>61.747527111828987</v>
      </c>
      <c r="R94" s="700">
        <f t="shared" si="72"/>
        <v>261.71052631578948</v>
      </c>
      <c r="S94" s="704">
        <f t="shared" si="73"/>
        <v>16159.977819135245</v>
      </c>
      <c r="T94" s="698">
        <f t="shared" si="74"/>
        <v>7.8265269605907948</v>
      </c>
      <c r="U94" s="702">
        <f t="shared" si="75"/>
        <v>405.42115030277023</v>
      </c>
      <c r="V94" s="704">
        <f t="shared" si="76"/>
        <v>3173.0395632383643</v>
      </c>
      <c r="W94" s="698">
        <f t="shared" si="77"/>
        <v>2.2613313726052935</v>
      </c>
      <c r="X94" s="702">
        <f t="shared" si="78"/>
        <v>37.9060089869281</v>
      </c>
      <c r="Y94" s="765">
        <f t="shared" si="79"/>
        <v>85.718047332398712</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6"/>
        <v>15733.320800967842</v>
      </c>
      <c r="I95" s="487">
        <f>ITECountywide!$B$9*E95</f>
        <v>160.19124330117839</v>
      </c>
      <c r="J95" s="495">
        <f t="shared" si="67"/>
        <v>1.67</v>
      </c>
      <c r="K95" s="372">
        <f t="shared" si="68"/>
        <v>0.85182987994952053</v>
      </c>
      <c r="L95" s="488">
        <f>Passby_Length_Adj!H90</f>
        <v>0.34743202416918428</v>
      </c>
      <c r="M95" s="488">
        <f>Passby_Length_Adj!J90</f>
        <v>0.5</v>
      </c>
      <c r="N95" s="372">
        <v>0.5</v>
      </c>
      <c r="O95" s="481">
        <f t="shared" si="69"/>
        <v>8.6858006042296071E-2</v>
      </c>
      <c r="P95" s="489">
        <f t="shared" si="70"/>
        <v>83.547891463379742</v>
      </c>
      <c r="Q95" s="490">
        <f t="shared" si="71"/>
        <v>50.02867752298188</v>
      </c>
      <c r="R95" s="491">
        <f t="shared" si="72"/>
        <v>261.71052631578948</v>
      </c>
      <c r="S95" s="500">
        <f t="shared" si="73"/>
        <v>13093.031525422495</v>
      </c>
      <c r="T95" s="489">
        <f t="shared" si="74"/>
        <v>6.3411574803181212</v>
      </c>
      <c r="U95" s="493">
        <f t="shared" si="75"/>
        <v>405.42115030277023</v>
      </c>
      <c r="V95" s="500">
        <f t="shared" si="76"/>
        <v>2570.8393599215888</v>
      </c>
      <c r="W95" s="489">
        <f t="shared" si="77"/>
        <v>1.8321611132342757</v>
      </c>
      <c r="X95" s="493">
        <f t="shared" si="78"/>
        <v>37.9060089869281</v>
      </c>
      <c r="Y95" s="763">
        <f t="shared" si="79"/>
        <v>69.449915623758642</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66"/>
        <v>14694.142491191395</v>
      </c>
      <c r="I96" s="487">
        <f>ITECountywide!$B$9*E96</f>
        <v>119.48075804939616</v>
      </c>
      <c r="J96" s="495">
        <f t="shared" si="67"/>
        <v>1.67</v>
      </c>
      <c r="K96" s="372">
        <f t="shared" si="68"/>
        <v>0.85182987994952053</v>
      </c>
      <c r="L96" s="488">
        <f>Passby_Length_Adj!H91</f>
        <v>0.36253776435045315</v>
      </c>
      <c r="M96" s="488">
        <f>Passby_Length_Adj!J91</f>
        <v>0.6</v>
      </c>
      <c r="N96" s="372">
        <v>0.5</v>
      </c>
      <c r="O96" s="481">
        <f t="shared" si="69"/>
        <v>0.10876132930513595</v>
      </c>
      <c r="P96" s="489">
        <f t="shared" si="70"/>
        <v>78.029593213784509</v>
      </c>
      <c r="Q96" s="490">
        <f t="shared" si="71"/>
        <v>46.724307313643422</v>
      </c>
      <c r="R96" s="491">
        <f t="shared" si="72"/>
        <v>261.71052631578948</v>
      </c>
      <c r="S96" s="500">
        <f t="shared" si="73"/>
        <v>12228.243058794311</v>
      </c>
      <c r="T96" s="489">
        <f t="shared" si="74"/>
        <v>5.9223270632825828</v>
      </c>
      <c r="U96" s="493">
        <f t="shared" si="75"/>
        <v>405.42115030277023</v>
      </c>
      <c r="V96" s="500">
        <f t="shared" si="76"/>
        <v>2401.036650465252</v>
      </c>
      <c r="W96" s="489">
        <f t="shared" si="77"/>
        <v>1.7111477484796582</v>
      </c>
      <c r="X96" s="493">
        <f t="shared" si="78"/>
        <v>37.9060089869281</v>
      </c>
      <c r="Y96" s="763">
        <f t="shared" si="79"/>
        <v>64.862781931831705</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6"/>
        <v>13579.47427533884</v>
      </c>
      <c r="I97" s="487">
        <f>ITECountywide!$B$9*E97</f>
        <v>93.94431278308474</v>
      </c>
      <c r="J97" s="495">
        <f t="shared" si="67"/>
        <v>1.67</v>
      </c>
      <c r="K97" s="372">
        <f t="shared" si="68"/>
        <v>0.85182987994952053</v>
      </c>
      <c r="L97" s="488">
        <f>Passby_Length_Adj!H92</f>
        <v>0.37764350453172207</v>
      </c>
      <c r="M97" s="488">
        <f>Passby_Length_Adj!J92</f>
        <v>0.67700000000000005</v>
      </c>
      <c r="N97" s="372">
        <v>0.5</v>
      </c>
      <c r="O97" s="481">
        <f t="shared" si="69"/>
        <v>0.12783232628398794</v>
      </c>
      <c r="P97" s="489">
        <f t="shared" si="70"/>
        <v>72.110424572031548</v>
      </c>
      <c r="Q97" s="490">
        <f t="shared" si="71"/>
        <v>43.179894953312306</v>
      </c>
      <c r="R97" s="491">
        <f t="shared" si="72"/>
        <v>261.71052631578948</v>
      </c>
      <c r="S97" s="500">
        <f t="shared" si="73"/>
        <v>11300.633034491866</v>
      </c>
      <c r="T97" s="489">
        <f t="shared" si="74"/>
        <v>5.4730711951513324</v>
      </c>
      <c r="U97" s="493">
        <f t="shared" si="75"/>
        <v>405.42115030277023</v>
      </c>
      <c r="V97" s="500">
        <f t="shared" si="76"/>
        <v>2218.8988196272107</v>
      </c>
      <c r="W97" s="489">
        <f t="shared" si="77"/>
        <v>1.5813435078442259</v>
      </c>
      <c r="X97" s="493">
        <f t="shared" si="78"/>
        <v>37.9060089869281</v>
      </c>
      <c r="Y97" s="763">
        <f t="shared" si="79"/>
        <v>59.942421219763638</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6"/>
        <v>12633.740273244379</v>
      </c>
      <c r="I98" s="487">
        <f>ITECountywide!$B$9*E98</f>
        <v>81.278704137667205</v>
      </c>
      <c r="J98" s="495">
        <f t="shared" si="67"/>
        <v>1.67</v>
      </c>
      <c r="K98" s="372">
        <f t="shared" si="68"/>
        <v>0.85182987994952053</v>
      </c>
      <c r="L98" s="488">
        <f>Passby_Length_Adj!H93</f>
        <v>0.39274924471299094</v>
      </c>
      <c r="M98" s="488">
        <f>Passby_Length_Adj!J93</f>
        <v>0.7</v>
      </c>
      <c r="N98" s="372">
        <v>0.5</v>
      </c>
      <c r="O98" s="481">
        <f t="shared" si="69"/>
        <v>0.13746223564954682</v>
      </c>
      <c r="P98" s="489">
        <f t="shared" si="70"/>
        <v>67.088339103885801</v>
      </c>
      <c r="Q98" s="490">
        <f t="shared" si="71"/>
        <v>40.172658146039403</v>
      </c>
      <c r="R98" s="491">
        <f t="shared" si="72"/>
        <v>261.71052631578948</v>
      </c>
      <c r="S98" s="500">
        <f t="shared" si="73"/>
        <v>10513.60750690426</v>
      </c>
      <c r="T98" s="489">
        <f t="shared" si="74"/>
        <v>5.0919025710803369</v>
      </c>
      <c r="U98" s="493">
        <f t="shared" si="75"/>
        <v>405.42115030277023</v>
      </c>
      <c r="V98" s="500">
        <f t="shared" si="76"/>
        <v>2064.3649975970234</v>
      </c>
      <c r="W98" s="489">
        <f t="shared" si="77"/>
        <v>1.4712118271888426</v>
      </c>
      <c r="X98" s="493">
        <f t="shared" si="78"/>
        <v>37.9060089869281</v>
      </c>
      <c r="Y98" s="763">
        <f t="shared" si="79"/>
        <v>55.767768743095175</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6"/>
        <v>12117.020580564049</v>
      </c>
      <c r="I99" s="487">
        <f>ITECountywide!$B$9*E99</f>
        <v>72.982006524219813</v>
      </c>
      <c r="J99" s="495">
        <f t="shared" si="67"/>
        <v>1.67</v>
      </c>
      <c r="K99" s="372">
        <f t="shared" si="68"/>
        <v>0.85182987994952053</v>
      </c>
      <c r="L99" s="488">
        <f>Passby_Length_Adj!H94</f>
        <v>0.40785498489425986</v>
      </c>
      <c r="M99" s="488">
        <f>Passby_Length_Adj!J94</f>
        <v>0.72</v>
      </c>
      <c r="N99" s="372">
        <v>0.5</v>
      </c>
      <c r="O99" s="481">
        <f t="shared" si="69"/>
        <v>0.14682779456193354</v>
      </c>
      <c r="P99" s="489">
        <f t="shared" si="70"/>
        <v>64.344427545278833</v>
      </c>
      <c r="Q99" s="490">
        <f t="shared" si="71"/>
        <v>38.529597332502298</v>
      </c>
      <c r="R99" s="491">
        <f t="shared" si="72"/>
        <v>261.71052631578948</v>
      </c>
      <c r="S99" s="500">
        <f t="shared" si="73"/>
        <v>10083.601196624615</v>
      </c>
      <c r="T99" s="489">
        <f t="shared" si="74"/>
        <v>4.8836438705861607</v>
      </c>
      <c r="U99" s="493">
        <f t="shared" si="75"/>
        <v>405.42115030277023</v>
      </c>
      <c r="V99" s="500">
        <f t="shared" si="76"/>
        <v>1979.9325156821144</v>
      </c>
      <c r="W99" s="489">
        <f t="shared" si="77"/>
        <v>1.4110392965865919</v>
      </c>
      <c r="X99" s="493">
        <f t="shared" si="78"/>
        <v>37.9060089869281</v>
      </c>
      <c r="Y99" s="763">
        <f t="shared" si="79"/>
        <v>53.486868257320054</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6"/>
        <v>11916.894808332207</v>
      </c>
      <c r="I100" s="487">
        <f>ITECountywide!$B$9*E100</f>
        <v>67.342551831206222</v>
      </c>
      <c r="J100" s="495">
        <f t="shared" si="67"/>
        <v>1.67</v>
      </c>
      <c r="K100" s="372">
        <f t="shared" si="68"/>
        <v>0.85182987994952053</v>
      </c>
      <c r="L100" s="488">
        <f>Passby_Length_Adj!H95</f>
        <v>0.42296072507552868</v>
      </c>
      <c r="M100" s="488">
        <f>Passby_Length_Adj!J95</f>
        <v>0.74</v>
      </c>
      <c r="N100" s="372">
        <v>0.5</v>
      </c>
      <c r="O100" s="481">
        <f t="shared" si="69"/>
        <v>0.15649546827794561</v>
      </c>
      <c r="P100" s="489">
        <f t="shared" si="70"/>
        <v>63.281709349357826</v>
      </c>
      <c r="Q100" s="490">
        <f t="shared" si="71"/>
        <v>37.89323913135199</v>
      </c>
      <c r="R100" s="491">
        <f t="shared" si="72"/>
        <v>261.71052631578948</v>
      </c>
      <c r="S100" s="500">
        <f t="shared" si="73"/>
        <v>9917.0595568761983</v>
      </c>
      <c r="T100" s="489">
        <f t="shared" si="74"/>
        <v>4.8029851810668873</v>
      </c>
      <c r="U100" s="493">
        <f t="shared" si="75"/>
        <v>405.42115030277023</v>
      </c>
      <c r="V100" s="500">
        <f t="shared" si="76"/>
        <v>1947.2317769952965</v>
      </c>
      <c r="W100" s="489">
        <f t="shared" si="77"/>
        <v>1.3877344480884535</v>
      </c>
      <c r="X100" s="493">
        <f t="shared" si="78"/>
        <v>37.9060089869281</v>
      </c>
      <c r="Y100" s="763">
        <f t="shared" si="79"/>
        <v>52.603474460710622</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6"/>
        <v>11887.674052317447</v>
      </c>
      <c r="I101" s="487">
        <f>ITECountywide!$B$9*E101</f>
        <v>63.154094551514092</v>
      </c>
      <c r="J101" s="495">
        <f t="shared" si="67"/>
        <v>1.67</v>
      </c>
      <c r="K101" s="372">
        <f t="shared" si="68"/>
        <v>0.85182987994952053</v>
      </c>
      <c r="L101" s="488">
        <f>Passby_Length_Adj!H96</f>
        <v>0.43806646525679754</v>
      </c>
      <c r="M101" s="488">
        <f>Passby_Length_Adj!J96</f>
        <v>0.76</v>
      </c>
      <c r="N101" s="372">
        <v>0.5</v>
      </c>
      <c r="O101" s="481">
        <f t="shared" si="69"/>
        <v>0.16646525679758306</v>
      </c>
      <c r="P101" s="489">
        <f t="shared" si="70"/>
        <v>63.126539783893371</v>
      </c>
      <c r="Q101" s="490">
        <f t="shared" si="71"/>
        <v>37.800323223888249</v>
      </c>
      <c r="R101" s="491">
        <f t="shared" si="72"/>
        <v>261.71052631578948</v>
      </c>
      <c r="S101" s="500">
        <f t="shared" si="73"/>
        <v>9892.7424858307531</v>
      </c>
      <c r="T101" s="489">
        <f t="shared" si="74"/>
        <v>4.791208047813992</v>
      </c>
      <c r="U101" s="493">
        <f t="shared" si="75"/>
        <v>405.42115030277023</v>
      </c>
      <c r="V101" s="500">
        <f t="shared" si="76"/>
        <v>1942.4570780846389</v>
      </c>
      <c r="W101" s="489">
        <f t="shared" si="77"/>
        <v>1.384331661509141</v>
      </c>
      <c r="X101" s="493">
        <f t="shared" si="78"/>
        <v>37.9060089869281</v>
      </c>
      <c r="Y101" s="763">
        <f t="shared" si="79"/>
        <v>52.474488402054604</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6"/>
        <v>11683.846528879993</v>
      </c>
      <c r="I102" s="487">
        <f>ITECountywide!$B$9*E102</f>
        <v>58.463687032601783</v>
      </c>
      <c r="J102" s="495">
        <f t="shared" si="67"/>
        <v>1.67</v>
      </c>
      <c r="K102" s="372">
        <f t="shared" si="68"/>
        <v>0.85182987994952053</v>
      </c>
      <c r="L102" s="488">
        <f>Passby_Length_Adj!H97</f>
        <v>0.45317220543806647</v>
      </c>
      <c r="M102" s="488">
        <f>Passby_Length_Adj!J97</f>
        <v>0.78</v>
      </c>
      <c r="N102" s="372">
        <v>0.5</v>
      </c>
      <c r="O102" s="481">
        <f t="shared" si="69"/>
        <v>0.17673716012084592</v>
      </c>
      <c r="P102" s="489">
        <f t="shared" si="70"/>
        <v>62.044164357826013</v>
      </c>
      <c r="Q102" s="490">
        <f t="shared" si="71"/>
        <v>37.152194226243125</v>
      </c>
      <c r="R102" s="491">
        <f t="shared" si="72"/>
        <v>261.71052631578948</v>
      </c>
      <c r="S102" s="500">
        <f t="shared" si="73"/>
        <v>9723.1203047365234</v>
      </c>
      <c r="T102" s="489">
        <f t="shared" si="74"/>
        <v>4.7090574045206433</v>
      </c>
      <c r="U102" s="493">
        <f t="shared" si="75"/>
        <v>405.42115030277023</v>
      </c>
      <c r="V102" s="500">
        <f t="shared" si="76"/>
        <v>1909.1514697825369</v>
      </c>
      <c r="W102" s="489">
        <f t="shared" si="77"/>
        <v>1.3605957403407389</v>
      </c>
      <c r="X102" s="493">
        <f t="shared" si="78"/>
        <v>37.9060089869281</v>
      </c>
      <c r="Y102" s="763">
        <f t="shared" si="79"/>
        <v>51.57475436093214</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6"/>
        <v>12163.195380573359</v>
      </c>
      <c r="I103" s="487">
        <f>ITECountywide!$B$9*E103</f>
        <v>53.946089751997178</v>
      </c>
      <c r="J103" s="495">
        <f t="shared" si="67"/>
        <v>1.67</v>
      </c>
      <c r="K103" s="372">
        <f t="shared" si="68"/>
        <v>0.85182987994952053</v>
      </c>
      <c r="L103" s="488">
        <f>Passby_Length_Adj!H98</f>
        <v>0.49848942598187307</v>
      </c>
      <c r="M103" s="488">
        <f>Passby_Length_Adj!J98</f>
        <v>0.8</v>
      </c>
      <c r="N103" s="372">
        <v>0.5</v>
      </c>
      <c r="O103" s="481">
        <f t="shared" si="69"/>
        <v>0.19939577039274925</v>
      </c>
      <c r="P103" s="489">
        <f t="shared" si="70"/>
        <v>64.589627349460272</v>
      </c>
      <c r="Q103" s="490">
        <f t="shared" si="71"/>
        <v>38.676423562551065</v>
      </c>
      <c r="R103" s="491">
        <f t="shared" si="72"/>
        <v>261.71052631578948</v>
      </c>
      <c r="S103" s="500">
        <f t="shared" si="73"/>
        <v>10122.027166567641</v>
      </c>
      <c r="T103" s="489">
        <f t="shared" si="74"/>
        <v>4.9022541615848167</v>
      </c>
      <c r="U103" s="493">
        <f t="shared" si="75"/>
        <v>405.42115030277023</v>
      </c>
      <c r="V103" s="500">
        <f t="shared" si="76"/>
        <v>1987.4775212662589</v>
      </c>
      <c r="W103" s="489">
        <f t="shared" si="77"/>
        <v>1.4164163987291489</v>
      </c>
      <c r="X103" s="493">
        <f t="shared" si="78"/>
        <v>37.9060089869281</v>
      </c>
      <c r="Y103" s="763">
        <f t="shared" si="79"/>
        <v>53.690692739459458</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6"/>
        <v>11899.251281605555</v>
      </c>
      <c r="I104" s="487">
        <f>ITECountywide!$B$9*E104</f>
        <v>50.590842791664826</v>
      </c>
      <c r="J104" s="495">
        <f t="shared" si="67"/>
        <v>1.67</v>
      </c>
      <c r="K104" s="372">
        <f t="shared" si="68"/>
        <v>0.85182987994952053</v>
      </c>
      <c r="L104" s="488">
        <f>Passby_Length_Adj!H99</f>
        <v>0.51359516616314194</v>
      </c>
      <c r="M104" s="488">
        <f>Passby_Length_Adj!J99</f>
        <v>0.81</v>
      </c>
      <c r="N104" s="372">
        <v>0.5</v>
      </c>
      <c r="O104" s="481">
        <f t="shared" si="69"/>
        <v>0.2080060422960725</v>
      </c>
      <c r="P104" s="489">
        <f t="shared" si="70"/>
        <v>63.188017783881143</v>
      </c>
      <c r="Q104" s="490">
        <f t="shared" si="71"/>
        <v>37.837136397533619</v>
      </c>
      <c r="R104" s="491">
        <f t="shared" si="72"/>
        <v>261.71052631578948</v>
      </c>
      <c r="S104" s="500">
        <f t="shared" si="73"/>
        <v>9902.3768808808381</v>
      </c>
      <c r="T104" s="489">
        <f t="shared" si="74"/>
        <v>4.7958741342067093</v>
      </c>
      <c r="U104" s="493">
        <f t="shared" si="75"/>
        <v>405.42115030277023</v>
      </c>
      <c r="V104" s="500">
        <f t="shared" si="76"/>
        <v>1944.3488081973862</v>
      </c>
      <c r="W104" s="489">
        <f t="shared" si="77"/>
        <v>1.385679841564007</v>
      </c>
      <c r="X104" s="493">
        <f t="shared" si="78"/>
        <v>37.9060089869281</v>
      </c>
      <c r="Y104" s="763">
        <f t="shared" si="79"/>
        <v>52.525592527330353</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6"/>
        <v>11754.96615748337</v>
      </c>
      <c r="I105" s="487">
        <f>ITECountywide!$B$9*E105</f>
        <v>47.957407840094127</v>
      </c>
      <c r="J105" s="495">
        <f t="shared" si="67"/>
        <v>1.67</v>
      </c>
      <c r="K105" s="372">
        <f t="shared" si="68"/>
        <v>0.85182987994952053</v>
      </c>
      <c r="L105" s="488">
        <f>Passby_Length_Adj!H100</f>
        <v>0.52870090634441091</v>
      </c>
      <c r="M105" s="488">
        <f>Passby_Length_Adj!J100</f>
        <v>0.82</v>
      </c>
      <c r="N105" s="372">
        <v>0.5</v>
      </c>
      <c r="O105" s="481">
        <f t="shared" si="69"/>
        <v>0.21676737160120846</v>
      </c>
      <c r="P105" s="489">
        <f t="shared" si="70"/>
        <v>62.421827477178752</v>
      </c>
      <c r="Q105" s="490">
        <f t="shared" si="71"/>
        <v>37.378339806693866</v>
      </c>
      <c r="R105" s="491">
        <f t="shared" si="72"/>
        <v>261.71052631578948</v>
      </c>
      <c r="S105" s="500">
        <f t="shared" si="73"/>
        <v>9782.3049836202772</v>
      </c>
      <c r="T105" s="489">
        <f t="shared" si="74"/>
        <v>4.7377214590213317</v>
      </c>
      <c r="U105" s="493">
        <f t="shared" si="75"/>
        <v>405.42115030277023</v>
      </c>
      <c r="V105" s="500">
        <f t="shared" si="76"/>
        <v>1920.7724837305473</v>
      </c>
      <c r="W105" s="489">
        <f t="shared" si="77"/>
        <v>1.3688776929916224</v>
      </c>
      <c r="X105" s="493">
        <f t="shared" si="78"/>
        <v>37.9060089869281</v>
      </c>
      <c r="Y105" s="763">
        <f t="shared" si="79"/>
        <v>51.888690132545847</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6"/>
        <v>27249.42996936393</v>
      </c>
      <c r="I106" s="487">
        <f>ITECountywide!$B$9*E106</f>
        <v>48.196516154198832</v>
      </c>
      <c r="J106" s="495">
        <f t="shared" si="67"/>
        <v>1.67</v>
      </c>
      <c r="K106" s="372">
        <f t="shared" si="68"/>
        <v>0.85182987994952053</v>
      </c>
      <c r="L106" s="488">
        <f>Passby_Length_Adj!H101</f>
        <v>1</v>
      </c>
      <c r="M106" s="488">
        <f>Passby_Length_Adj!J101</f>
        <v>1</v>
      </c>
      <c r="N106" s="372">
        <v>0.5</v>
      </c>
      <c r="O106" s="481">
        <f t="shared" si="69"/>
        <v>0.5</v>
      </c>
      <c r="P106" s="489">
        <f t="shared" si="70"/>
        <v>144.70132823957525</v>
      </c>
      <c r="Q106" s="490">
        <f t="shared" si="71"/>
        <v>86.647501939865421</v>
      </c>
      <c r="R106" s="491">
        <f t="shared" si="72"/>
        <v>261.71052631578948</v>
      </c>
      <c r="S106" s="500">
        <f t="shared" si="73"/>
        <v>22676.56333663057</v>
      </c>
      <c r="T106" s="489">
        <f t="shared" si="74"/>
        <v>10.982610020511844</v>
      </c>
      <c r="U106" s="493">
        <f t="shared" si="75"/>
        <v>405.42115030277023</v>
      </c>
      <c r="V106" s="500">
        <f t="shared" si="76"/>
        <v>4452.5823878426427</v>
      </c>
      <c r="W106" s="489">
        <f t="shared" si="77"/>
        <v>3.1732236683687316</v>
      </c>
      <c r="X106" s="493">
        <f t="shared" si="78"/>
        <v>37.9060089869281</v>
      </c>
      <c r="Y106" s="763">
        <f t="shared" si="79"/>
        <v>120.2842448907181</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6"/>
        <v>15562.44445236635</v>
      </c>
      <c r="I107" s="487">
        <f>ITECountywide!$B$9*E107</f>
        <v>50.462241810187869</v>
      </c>
      <c r="J107" s="495">
        <f t="shared" si="67"/>
        <v>1.67</v>
      </c>
      <c r="K107" s="372">
        <f t="shared" si="68"/>
        <v>0.85182987994952053</v>
      </c>
      <c r="L107" s="488">
        <f>Passby_Length_Adj!H102</f>
        <v>0.69486404833836857</v>
      </c>
      <c r="M107" s="488">
        <f>Passby_Length_Adj!J102</f>
        <v>0.78500000000000003</v>
      </c>
      <c r="N107" s="372">
        <v>0.5</v>
      </c>
      <c r="O107" s="481">
        <f t="shared" si="69"/>
        <v>0.27273413897280968</v>
      </c>
      <c r="P107" s="489">
        <f t="shared" si="70"/>
        <v>82.640495065173837</v>
      </c>
      <c r="Q107" s="490">
        <f t="shared" si="71"/>
        <v>49.485326386331643</v>
      </c>
      <c r="R107" s="491">
        <f t="shared" si="72"/>
        <v>261.71052631578948</v>
      </c>
      <c r="S107" s="500">
        <f t="shared" si="73"/>
        <v>12950.830813475479</v>
      </c>
      <c r="T107" s="489">
        <f t="shared" si="74"/>
        <v>6.2722874782472839</v>
      </c>
      <c r="U107" s="493">
        <f t="shared" si="75"/>
        <v>405.42115030277023</v>
      </c>
      <c r="V107" s="500">
        <f t="shared" si="76"/>
        <v>2542.9180044606755</v>
      </c>
      <c r="W107" s="489">
        <f t="shared" si="77"/>
        <v>1.8122623896882673</v>
      </c>
      <c r="X107" s="493">
        <f t="shared" si="78"/>
        <v>37.9060089869281</v>
      </c>
      <c r="Y107" s="763">
        <f t="shared" si="79"/>
        <v>68.695634430195256</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6"/>
        <v>30934.830315874784</v>
      </c>
      <c r="I108" s="487">
        <f>ITECountywide!$B$9*E108</f>
        <v>100.30820624194673</v>
      </c>
      <c r="J108" s="495">
        <f t="shared" si="67"/>
        <v>1.67</v>
      </c>
      <c r="K108" s="372">
        <f t="shared" si="68"/>
        <v>0.85182987994952053</v>
      </c>
      <c r="L108" s="488">
        <f>Passby_Length_Adj!H103</f>
        <v>0.69486404833836857</v>
      </c>
      <c r="M108" s="488">
        <f>Passby_Length_Adj!J103</f>
        <v>0.78500000000000003</v>
      </c>
      <c r="N108" s="372">
        <v>0.5</v>
      </c>
      <c r="O108" s="481">
        <f t="shared" si="69"/>
        <v>0.27273413897280968</v>
      </c>
      <c r="P108" s="489">
        <f t="shared" si="70"/>
        <v>164.27173121072991</v>
      </c>
      <c r="Q108" s="490">
        <f t="shared" si="71"/>
        <v>98.366306114209536</v>
      </c>
      <c r="R108" s="491">
        <f t="shared" si="72"/>
        <v>261.71052631578948</v>
      </c>
      <c r="S108" s="500">
        <f t="shared" si="73"/>
        <v>25743.497744889839</v>
      </c>
      <c r="T108" s="489">
        <f t="shared" si="74"/>
        <v>12.467973744475746</v>
      </c>
      <c r="U108" s="493">
        <f t="shared" si="75"/>
        <v>405.42115030277023</v>
      </c>
      <c r="V108" s="500">
        <f t="shared" si="76"/>
        <v>5054.780257430094</v>
      </c>
      <c r="W108" s="489">
        <f t="shared" si="77"/>
        <v>3.6023922645599398</v>
      </c>
      <c r="X108" s="493">
        <f t="shared" si="78"/>
        <v>37.9060089869281</v>
      </c>
      <c r="Y108" s="763">
        <f t="shared" si="79"/>
        <v>136.55231355484935</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6"/>
        <v>25119.899119276743</v>
      </c>
      <c r="I109" s="487">
        <f>ITECountywide!$B$9*E109</f>
        <v>51.694796567045906</v>
      </c>
      <c r="J109" s="495">
        <f t="shared" si="67"/>
        <v>1.67</v>
      </c>
      <c r="K109" s="372">
        <f t="shared" si="68"/>
        <v>0.85182987994952053</v>
      </c>
      <c r="L109" s="488">
        <f>Passby_Length_Adj!H104</f>
        <v>0.8594671567024027</v>
      </c>
      <c r="M109" s="488">
        <f>Passby_Length_Adj!J104</f>
        <v>1</v>
      </c>
      <c r="N109" s="372">
        <v>0.5</v>
      </c>
      <c r="O109" s="481">
        <f t="shared" si="69"/>
        <v>0.42973357835120135</v>
      </c>
      <c r="P109" s="489">
        <f t="shared" si="70"/>
        <v>133.39298370241571</v>
      </c>
      <c r="Q109" s="490">
        <f t="shared" si="71"/>
        <v>79.876038145159114</v>
      </c>
      <c r="R109" s="491">
        <f t="shared" si="72"/>
        <v>261.71052631578948</v>
      </c>
      <c r="S109" s="500">
        <f t="shared" si="73"/>
        <v>20904.399982989667</v>
      </c>
      <c r="T109" s="489">
        <f t="shared" si="74"/>
        <v>10.124323925006319</v>
      </c>
      <c r="U109" s="493">
        <f t="shared" si="75"/>
        <v>405.42115030277023</v>
      </c>
      <c r="V109" s="500">
        <f t="shared" si="76"/>
        <v>4104.6150517139195</v>
      </c>
      <c r="W109" s="489">
        <f t="shared" si="77"/>
        <v>2.9252376479780167</v>
      </c>
      <c r="X109" s="493">
        <f t="shared" si="78"/>
        <v>37.9060089869281</v>
      </c>
      <c r="Y109" s="763">
        <f t="shared" si="79"/>
        <v>110.88408457315512</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6"/>
        <v>19254.062331223533</v>
      </c>
      <c r="I110" s="487">
        <f>ITECountywide!$B$9*E110</f>
        <v>193.54734843720766</v>
      </c>
      <c r="J110" s="495">
        <f t="shared" si="67"/>
        <v>1.67</v>
      </c>
      <c r="K110" s="372">
        <f t="shared" si="68"/>
        <v>0.85182987994952053</v>
      </c>
      <c r="L110" s="488">
        <f>Passby_Length_Adj!H105</f>
        <v>0.31419939577039274</v>
      </c>
      <c r="M110" s="488">
        <f>Passby_Length_Adj!J105</f>
        <v>0.56000000000000005</v>
      </c>
      <c r="N110" s="372">
        <v>0.5</v>
      </c>
      <c r="O110" s="481">
        <f t="shared" si="69"/>
        <v>8.7975830815709977E-2</v>
      </c>
      <c r="P110" s="489">
        <f t="shared" si="70"/>
        <v>102.24391469722374</v>
      </c>
      <c r="Q110" s="490">
        <f t="shared" si="71"/>
        <v>61.223901016301646</v>
      </c>
      <c r="R110" s="491">
        <f t="shared" si="72"/>
        <v>261.71052631578948</v>
      </c>
      <c r="S110" s="500">
        <f t="shared" si="73"/>
        <v>16022.939358082102</v>
      </c>
      <c r="T110" s="489">
        <f t="shared" si="74"/>
        <v>7.7601571163945788</v>
      </c>
      <c r="U110" s="493">
        <f t="shared" si="75"/>
        <v>405.42115030277023</v>
      </c>
      <c r="V110" s="500">
        <f t="shared" si="76"/>
        <v>3146.1318246589185</v>
      </c>
      <c r="W110" s="489">
        <f t="shared" si="77"/>
        <v>2.242155023806963</v>
      </c>
      <c r="X110" s="493">
        <f t="shared" si="78"/>
        <v>37.9060089869281</v>
      </c>
      <c r="Y110" s="763">
        <f t="shared" si="79"/>
        <v>84.991148482512727</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6"/>
        <v>174156.9388507492</v>
      </c>
      <c r="I111" s="487">
        <f>ITECountywide!$B$9*E111</f>
        <v>1381.6938824378594</v>
      </c>
      <c r="J111" s="495">
        <f t="shared" si="67"/>
        <v>1.67</v>
      </c>
      <c r="K111" s="372">
        <f t="shared" si="68"/>
        <v>0.85182987994952053</v>
      </c>
      <c r="L111" s="488">
        <f>Passby_Length_Adj!H106</f>
        <v>0.32930513595166166</v>
      </c>
      <c r="M111" s="488">
        <f>Passby_Length_Adj!J106</f>
        <v>0.67700000000000005</v>
      </c>
      <c r="N111" s="372">
        <v>0.5</v>
      </c>
      <c r="O111" s="481">
        <f t="shared" si="69"/>
        <v>0.11146978851963749</v>
      </c>
      <c r="P111" s="489">
        <f t="shared" si="70"/>
        <v>924.81715772310292</v>
      </c>
      <c r="Q111" s="490">
        <f t="shared" si="71"/>
        <v>553.78272917551078</v>
      </c>
      <c r="R111" s="491">
        <f t="shared" si="72"/>
        <v>261.71052631578948</v>
      </c>
      <c r="S111" s="500">
        <f t="shared" si="73"/>
        <v>144930.76951711724</v>
      </c>
      <c r="T111" s="489">
        <f t="shared" si="74"/>
        <v>70.19221113668506</v>
      </c>
      <c r="U111" s="493">
        <f t="shared" si="75"/>
        <v>405.42115030277023</v>
      </c>
      <c r="V111" s="500">
        <f t="shared" si="76"/>
        <v>28457.406981329776</v>
      </c>
      <c r="W111" s="489">
        <f t="shared" si="77"/>
        <v>20.280751597122055</v>
      </c>
      <c r="X111" s="493">
        <f t="shared" si="78"/>
        <v>37.9060089869281</v>
      </c>
      <c r="Y111" s="763">
        <f t="shared" si="79"/>
        <v>768.76235230216503</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6"/>
        <v>142610.01368347279</v>
      </c>
      <c r="I112" s="487">
        <f>ITECountywide!$B$9*E112</f>
        <v>1131.4127635746866</v>
      </c>
      <c r="J112" s="495">
        <f t="shared" si="67"/>
        <v>1.67</v>
      </c>
      <c r="K112" s="372">
        <f t="shared" si="68"/>
        <v>0.85182987994952053</v>
      </c>
      <c r="L112" s="488">
        <f>Passby_Length_Adj!H107</f>
        <v>0.32930513595166166</v>
      </c>
      <c r="M112" s="488">
        <f>Passby_Length_Adj!J107</f>
        <v>0.67700000000000005</v>
      </c>
      <c r="N112" s="372">
        <v>0.5</v>
      </c>
      <c r="O112" s="481">
        <f t="shared" si="69"/>
        <v>0.11146978851963749</v>
      </c>
      <c r="P112" s="489">
        <f t="shared" si="70"/>
        <v>757.29504886755649</v>
      </c>
      <c r="Q112" s="490">
        <f t="shared" si="71"/>
        <v>453.47008914224944</v>
      </c>
      <c r="R112" s="491">
        <f t="shared" si="72"/>
        <v>261.71052631578948</v>
      </c>
      <c r="S112" s="500">
        <f t="shared" si="73"/>
        <v>118677.89569788607</v>
      </c>
      <c r="T112" s="489">
        <f t="shared" si="74"/>
        <v>57.47753868856433</v>
      </c>
      <c r="U112" s="493">
        <f t="shared" si="75"/>
        <v>405.42115030277023</v>
      </c>
      <c r="V112" s="500">
        <f t="shared" si="76"/>
        <v>23302.609851689729</v>
      </c>
      <c r="W112" s="489">
        <f t="shared" si="77"/>
        <v>16.607080268305072</v>
      </c>
      <c r="X112" s="493">
        <f t="shared" si="78"/>
        <v>37.9060089869281</v>
      </c>
      <c r="Y112" s="763">
        <f t="shared" si="79"/>
        <v>629.50813389700841</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6"/>
        <v>36816.682439893688</v>
      </c>
      <c r="I113" s="487">
        <f>ITECountywide!$B$9*E113</f>
        <v>75.765865936273457</v>
      </c>
      <c r="J113" s="495">
        <f t="shared" si="67"/>
        <v>1.67</v>
      </c>
      <c r="K113" s="372">
        <f t="shared" si="68"/>
        <v>0.85182987994952053</v>
      </c>
      <c r="L113" s="488">
        <f>Passby_Length_Adj!H108</f>
        <v>0.8594671567024027</v>
      </c>
      <c r="M113" s="488">
        <f>Passby_Length_Adj!J108</f>
        <v>1</v>
      </c>
      <c r="N113" s="372">
        <v>0.5</v>
      </c>
      <c r="O113" s="481">
        <f t="shared" si="69"/>
        <v>0.42973357835120135</v>
      </c>
      <c r="P113" s="489">
        <f t="shared" si="70"/>
        <v>195.50584567885613</v>
      </c>
      <c r="Q113" s="490">
        <f t="shared" si="71"/>
        <v>117.06936866997374</v>
      </c>
      <c r="R113" s="491">
        <f t="shared" si="72"/>
        <v>261.71052631578948</v>
      </c>
      <c r="S113" s="500">
        <f t="shared" si="73"/>
        <v>30638.286090076024</v>
      </c>
      <c r="T113" s="489">
        <f t="shared" si="74"/>
        <v>14.83859537395737</v>
      </c>
      <c r="U113" s="493">
        <f t="shared" si="75"/>
        <v>405.42115030277023</v>
      </c>
      <c r="V113" s="500">
        <f t="shared" si="76"/>
        <v>6015.8804053871618</v>
      </c>
      <c r="W113" s="489">
        <f t="shared" si="77"/>
        <v>4.2873398907952698</v>
      </c>
      <c r="X113" s="493">
        <f t="shared" si="78"/>
        <v>37.9060089869281</v>
      </c>
      <c r="Y113" s="763">
        <f t="shared" si="79"/>
        <v>162.51594443050084</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6"/>
        <v>25322.478950883818</v>
      </c>
      <c r="I114" s="487">
        <f>ITECountywide!$B$9*E114</f>
        <v>52.111690087747888</v>
      </c>
      <c r="J114" s="495">
        <f t="shared" si="67"/>
        <v>1.67</v>
      </c>
      <c r="K114" s="372">
        <f t="shared" si="68"/>
        <v>0.85182987994952053</v>
      </c>
      <c r="L114" s="488">
        <f>Passby_Length_Adj!H109</f>
        <v>0.8594671567024027</v>
      </c>
      <c r="M114" s="488">
        <f>Passby_Length_Adj!J109</f>
        <v>1</v>
      </c>
      <c r="N114" s="372">
        <v>0.5</v>
      </c>
      <c r="O114" s="481">
        <f t="shared" si="69"/>
        <v>0.42973357835120135</v>
      </c>
      <c r="P114" s="489">
        <f t="shared" si="70"/>
        <v>134.4687335709836</v>
      </c>
      <c r="Q114" s="490">
        <f t="shared" si="71"/>
        <v>80.520199743103959</v>
      </c>
      <c r="R114" s="491">
        <f t="shared" si="72"/>
        <v>261.71052631578948</v>
      </c>
      <c r="S114" s="500">
        <f t="shared" si="73"/>
        <v>21072.983853820235</v>
      </c>
      <c r="T114" s="489">
        <f t="shared" si="74"/>
        <v>10.20597169859508</v>
      </c>
      <c r="U114" s="493">
        <f t="shared" si="75"/>
        <v>405.42115030277023</v>
      </c>
      <c r="V114" s="500">
        <f t="shared" si="76"/>
        <v>4137.7167860019354</v>
      </c>
      <c r="W114" s="489">
        <f t="shared" si="77"/>
        <v>2.9488282741713876</v>
      </c>
      <c r="X114" s="493">
        <f t="shared" si="78"/>
        <v>37.9060089869281</v>
      </c>
      <c r="Y114" s="763">
        <f t="shared" si="79"/>
        <v>111.7783110616483</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6"/>
        <v>27075.234885223257</v>
      </c>
      <c r="I115" s="487">
        <f>ITECountywide!$B$9*E115</f>
        <v>55.718725332082435</v>
      </c>
      <c r="J115" s="495">
        <f t="shared" si="67"/>
        <v>1.67</v>
      </c>
      <c r="K115" s="372">
        <f t="shared" si="68"/>
        <v>0.85182987994952053</v>
      </c>
      <c r="L115" s="488">
        <f>Passby_Length_Adj!H110</f>
        <v>0.8594671567024027</v>
      </c>
      <c r="M115" s="488">
        <f>Passby_Length_Adj!J110</f>
        <v>1</v>
      </c>
      <c r="N115" s="372">
        <v>0.5</v>
      </c>
      <c r="O115" s="481">
        <f t="shared" si="69"/>
        <v>0.42973357835120135</v>
      </c>
      <c r="P115" s="489">
        <f t="shared" si="70"/>
        <v>143.77630852076646</v>
      </c>
      <c r="Q115" s="490">
        <f t="shared" si="71"/>
        <v>86.093597916626635</v>
      </c>
      <c r="R115" s="491">
        <f t="shared" si="72"/>
        <v>261.71052631578948</v>
      </c>
      <c r="S115" s="500">
        <f t="shared" si="73"/>
        <v>22531.600823180313</v>
      </c>
      <c r="T115" s="489">
        <f t="shared" si="74"/>
        <v>10.912402435297835</v>
      </c>
      <c r="U115" s="493">
        <f t="shared" si="75"/>
        <v>405.42115030277023</v>
      </c>
      <c r="V115" s="500">
        <f t="shared" si="76"/>
        <v>4424.1187478851998</v>
      </c>
      <c r="W115" s="489">
        <f t="shared" si="77"/>
        <v>3.1529384747140337</v>
      </c>
      <c r="X115" s="493">
        <f t="shared" si="78"/>
        <v>37.9060089869281</v>
      </c>
      <c r="Y115" s="763">
        <f t="shared" si="79"/>
        <v>119.51531415774154</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6"/>
        <v>36156.09603247932</v>
      </c>
      <c r="I116" s="487">
        <f>ITECountywide!$B$9*E116</f>
        <v>74.406430542680027</v>
      </c>
      <c r="J116" s="495">
        <f t="shared" si="67"/>
        <v>1.67</v>
      </c>
      <c r="K116" s="372">
        <f t="shared" si="68"/>
        <v>0.85182987994952053</v>
      </c>
      <c r="L116" s="488">
        <f>Passby_Length_Adj!H111</f>
        <v>0.8594671567024027</v>
      </c>
      <c r="M116" s="488">
        <f>Passby_Length_Adj!J111</f>
        <v>1</v>
      </c>
      <c r="N116" s="372">
        <v>0.5</v>
      </c>
      <c r="O116" s="481">
        <f t="shared" si="69"/>
        <v>0.42973357835120135</v>
      </c>
      <c r="P116" s="489">
        <f t="shared" si="70"/>
        <v>191.99796567265656</v>
      </c>
      <c r="Q116" s="490">
        <f t="shared" si="71"/>
        <v>114.96884172015363</v>
      </c>
      <c r="R116" s="491">
        <f t="shared" si="72"/>
        <v>261.71052631578948</v>
      </c>
      <c r="S116" s="500">
        <f t="shared" si="73"/>
        <v>30088.556076498102</v>
      </c>
      <c r="T116" s="489">
        <f t="shared" si="74"/>
        <v>14.572352633994017</v>
      </c>
      <c r="U116" s="493">
        <f t="shared" si="75"/>
        <v>405.42115030277023</v>
      </c>
      <c r="V116" s="500">
        <f t="shared" si="76"/>
        <v>5907.9399674914575</v>
      </c>
      <c r="W116" s="489">
        <f t="shared" si="77"/>
        <v>4.2104139358168853</v>
      </c>
      <c r="X116" s="493">
        <f t="shared" si="78"/>
        <v>37.9060089869281</v>
      </c>
      <c r="Y116" s="763">
        <f t="shared" si="79"/>
        <v>159.59998848976215</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6"/>
        <v>126480.2774729362</v>
      </c>
      <c r="I117" s="487">
        <f>ITECountywide!$B$9*E117</f>
        <v>260.28656336002075</v>
      </c>
      <c r="J117" s="495">
        <f t="shared" si="67"/>
        <v>1.67</v>
      </c>
      <c r="K117" s="372">
        <f t="shared" si="68"/>
        <v>0.85182987994952053</v>
      </c>
      <c r="L117" s="488">
        <f>Passby_Length_Adj!H112</f>
        <v>0.8594671567024027</v>
      </c>
      <c r="M117" s="488">
        <f>Passby_Length_Adj!J112</f>
        <v>1</v>
      </c>
      <c r="N117" s="372">
        <v>0.5</v>
      </c>
      <c r="O117" s="481">
        <f t="shared" si="69"/>
        <v>0.42973357835120135</v>
      </c>
      <c r="P117" s="489">
        <f t="shared" si="70"/>
        <v>671.64209185367804</v>
      </c>
      <c r="Q117" s="490">
        <f t="shared" si="71"/>
        <v>402.1808933255557</v>
      </c>
      <c r="R117" s="491">
        <f t="shared" si="72"/>
        <v>261.71052631578948</v>
      </c>
      <c r="S117" s="500">
        <f t="shared" si="73"/>
        <v>105254.97326638557</v>
      </c>
      <c r="T117" s="489">
        <f t="shared" si="74"/>
        <v>50.976609944982734</v>
      </c>
      <c r="U117" s="493">
        <f t="shared" si="75"/>
        <v>405.42115030277023</v>
      </c>
      <c r="V117" s="500">
        <f t="shared" si="76"/>
        <v>20666.995842430537</v>
      </c>
      <c r="W117" s="489">
        <f t="shared" si="77"/>
        <v>14.728756179861263</v>
      </c>
      <c r="X117" s="493">
        <f t="shared" si="78"/>
        <v>37.9060089869281</v>
      </c>
      <c r="Y117" s="763">
        <f t="shared" si="79"/>
        <v>558.30836412009376</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6"/>
        <v>17615.637531049611</v>
      </c>
      <c r="I118" s="487">
        <f>ITECountywide!$B$9*E118</f>
        <v>36.251610495824622</v>
      </c>
      <c r="J118" s="495">
        <f t="shared" si="67"/>
        <v>1.67</v>
      </c>
      <c r="K118" s="372">
        <f t="shared" si="68"/>
        <v>0.85182987994952053</v>
      </c>
      <c r="L118" s="488">
        <f>Passby_Length_Adj!H113</f>
        <v>0.8594671567024027</v>
      </c>
      <c r="M118" s="488">
        <f>Passby_Length_Adj!J113</f>
        <v>1</v>
      </c>
      <c r="N118" s="372">
        <v>0.5</v>
      </c>
      <c r="O118" s="481">
        <f t="shared" si="69"/>
        <v>0.42973357835120135</v>
      </c>
      <c r="P118" s="489">
        <f t="shared" si="70"/>
        <v>93.543466831988596</v>
      </c>
      <c r="Q118" s="490">
        <f t="shared" si="71"/>
        <v>56.014051995202756</v>
      </c>
      <c r="R118" s="491">
        <f t="shared" si="72"/>
        <v>261.71052631578948</v>
      </c>
      <c r="S118" s="500">
        <f t="shared" si="73"/>
        <v>14659.467028744511</v>
      </c>
      <c r="T118" s="489">
        <f t="shared" si="74"/>
        <v>7.0998063990226647</v>
      </c>
      <c r="U118" s="493">
        <f t="shared" si="75"/>
        <v>405.42115030277023</v>
      </c>
      <c r="V118" s="500">
        <f t="shared" si="76"/>
        <v>2878.4116772187376</v>
      </c>
      <c r="W118" s="489">
        <f t="shared" si="77"/>
        <v>2.0513587994235745</v>
      </c>
      <c r="X118" s="493">
        <f t="shared" si="78"/>
        <v>37.9060089869281</v>
      </c>
      <c r="Y118" s="763">
        <f t="shared" si="79"/>
        <v>77.758825086364055</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6"/>
        <v>20152.289335520756</v>
      </c>
      <c r="I119" s="487">
        <f>ITECountywide!$B$9*E119</f>
        <v>41.471842407223363</v>
      </c>
      <c r="J119" s="495">
        <f t="shared" si="67"/>
        <v>1.67</v>
      </c>
      <c r="K119" s="372">
        <f t="shared" si="68"/>
        <v>0.85182987994952053</v>
      </c>
      <c r="L119" s="488">
        <f>Passby_Length_Adj!H114</f>
        <v>0.8594671567024027</v>
      </c>
      <c r="M119" s="488">
        <f>Passby_Length_Adj!J114</f>
        <v>1</v>
      </c>
      <c r="N119" s="372">
        <v>0.5</v>
      </c>
      <c r="O119" s="481">
        <f t="shared" si="69"/>
        <v>0.42973357835120135</v>
      </c>
      <c r="P119" s="489">
        <f t="shared" si="70"/>
        <v>107.01372605579493</v>
      </c>
      <c r="Q119" s="490">
        <f t="shared" si="71"/>
        <v>64.080075482511944</v>
      </c>
      <c r="R119" s="491">
        <f t="shared" si="72"/>
        <v>261.71052631578948</v>
      </c>
      <c r="S119" s="500">
        <f t="shared" si="73"/>
        <v>16770.43028088372</v>
      </c>
      <c r="T119" s="489">
        <f t="shared" si="74"/>
        <v>8.1221785204819277</v>
      </c>
      <c r="U119" s="493">
        <f t="shared" si="75"/>
        <v>405.42115030277023</v>
      </c>
      <c r="V119" s="500">
        <f t="shared" si="76"/>
        <v>3292.9029587382356</v>
      </c>
      <c r="W119" s="489">
        <f t="shared" si="77"/>
        <v>2.3467544665405686</v>
      </c>
      <c r="X119" s="493">
        <f t="shared" si="78"/>
        <v>37.9060089869281</v>
      </c>
      <c r="Y119" s="763">
        <f t="shared" si="79"/>
        <v>88.956095898800456</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6"/>
        <v>58483.916603084719</v>
      </c>
      <c r="I120" s="487">
        <f>ITECountywide!$B$9*E120</f>
        <v>120.35534684613775</v>
      </c>
      <c r="J120" s="495">
        <f t="shared" si="67"/>
        <v>1.67</v>
      </c>
      <c r="K120" s="372">
        <f t="shared" si="68"/>
        <v>0.85182987994952053</v>
      </c>
      <c r="L120" s="488">
        <f>Passby_Length_Adj!H115</f>
        <v>0.8594671567024027</v>
      </c>
      <c r="M120" s="488">
        <f>Passby_Length_Adj!J115</f>
        <v>1</v>
      </c>
      <c r="N120" s="372">
        <v>0.5</v>
      </c>
      <c r="O120" s="481">
        <f t="shared" si="69"/>
        <v>0.42973357835120135</v>
      </c>
      <c r="P120" s="489">
        <f t="shared" si="70"/>
        <v>310.56430988220217</v>
      </c>
      <c r="Q120" s="490">
        <f t="shared" si="71"/>
        <v>185.96665262407316</v>
      </c>
      <c r="R120" s="491">
        <f t="shared" si="72"/>
        <v>261.71052631578948</v>
      </c>
      <c r="S120" s="500">
        <f t="shared" si="73"/>
        <v>48669.430535431777</v>
      </c>
      <c r="T120" s="489">
        <f t="shared" si="74"/>
        <v>23.571357244755252</v>
      </c>
      <c r="U120" s="493">
        <f t="shared" si="75"/>
        <v>405.42115030277023</v>
      </c>
      <c r="V120" s="500">
        <f t="shared" si="76"/>
        <v>9556.3267683662107</v>
      </c>
      <c r="W120" s="489">
        <f t="shared" si="77"/>
        <v>6.8105112140862669</v>
      </c>
      <c r="X120" s="493">
        <f t="shared" si="78"/>
        <v>37.9060089869281</v>
      </c>
      <c r="Y120" s="763">
        <f t="shared" si="79"/>
        <v>258.15929928672864</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6"/>
        <v>49808.215119042783</v>
      </c>
      <c r="I121" s="487">
        <f>ITECountywide!$B$9*E121</f>
        <v>102.5014286769441</v>
      </c>
      <c r="J121" s="495">
        <f t="shared" si="67"/>
        <v>1.67</v>
      </c>
      <c r="K121" s="372">
        <f t="shared" si="68"/>
        <v>0.85182987994952053</v>
      </c>
      <c r="L121" s="488">
        <f>Passby_Length_Adj!H116</f>
        <v>0.8594671567024027</v>
      </c>
      <c r="M121" s="488">
        <f>Passby_Length_Adj!J116</f>
        <v>1</v>
      </c>
      <c r="N121" s="372">
        <v>0.5</v>
      </c>
      <c r="O121" s="481">
        <f t="shared" si="69"/>
        <v>0.42973357835120135</v>
      </c>
      <c r="P121" s="489">
        <f t="shared" si="70"/>
        <v>264.49415246744775</v>
      </c>
      <c r="Q121" s="490">
        <f t="shared" si="71"/>
        <v>158.37973201643578</v>
      </c>
      <c r="R121" s="491">
        <f t="shared" si="72"/>
        <v>261.71052631578948</v>
      </c>
      <c r="S121" s="500">
        <f t="shared" si="73"/>
        <v>41449.643023775105</v>
      </c>
      <c r="T121" s="489">
        <f t="shared" si="74"/>
        <v>20.074702593236584</v>
      </c>
      <c r="U121" s="493">
        <f t="shared" si="75"/>
        <v>405.42115030277023</v>
      </c>
      <c r="V121" s="500">
        <f t="shared" si="76"/>
        <v>8138.7090173359802</v>
      </c>
      <c r="W121" s="489">
        <f t="shared" si="77"/>
        <v>5.8002170053701558</v>
      </c>
      <c r="X121" s="493">
        <f t="shared" si="78"/>
        <v>37.9060089869281</v>
      </c>
      <c r="Y121" s="763">
        <f t="shared" si="79"/>
        <v>219.86307793169431</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6"/>
        <v>9397.6186497288054</v>
      </c>
      <c r="I122" s="487">
        <f>ITECountywide!$B$9*E122</f>
        <v>163.27725367319408</v>
      </c>
      <c r="J122" s="495">
        <f t="shared" si="67"/>
        <v>1.67</v>
      </c>
      <c r="K122" s="372">
        <f t="shared" si="68"/>
        <v>0.85182987994952053</v>
      </c>
      <c r="L122" s="488">
        <f>Passby_Length_Adj!H117</f>
        <v>0.31419939577039274</v>
      </c>
      <c r="M122" s="488">
        <f>Passby_Length_Adj!J117</f>
        <v>0.32400000000000001</v>
      </c>
      <c r="N122" s="372">
        <v>0.5</v>
      </c>
      <c r="O122" s="481">
        <f t="shared" si="69"/>
        <v>5.0900302114803626E-2</v>
      </c>
      <c r="P122" s="489">
        <f t="shared" si="70"/>
        <v>49.903719176276923</v>
      </c>
      <c r="Q122" s="490">
        <f t="shared" si="71"/>
        <v>29.882466572620913</v>
      </c>
      <c r="R122" s="491">
        <f t="shared" si="72"/>
        <v>261.71052631578948</v>
      </c>
      <c r="S122" s="500">
        <f t="shared" si="73"/>
        <v>7820.5560543346046</v>
      </c>
      <c r="T122" s="489">
        <f t="shared" si="74"/>
        <v>3.7876161397687311</v>
      </c>
      <c r="U122" s="493">
        <f t="shared" si="75"/>
        <v>405.42115030277023</v>
      </c>
      <c r="V122" s="500">
        <f t="shared" si="76"/>
        <v>1535.5796922903771</v>
      </c>
      <c r="W122" s="489">
        <f t="shared" si="77"/>
        <v>1.0943621924990652</v>
      </c>
      <c r="X122" s="493">
        <f t="shared" si="78"/>
        <v>37.9060089869281</v>
      </c>
      <c r="Y122" s="763">
        <f t="shared" si="79"/>
        <v>41.482903103823908</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6"/>
        <v>11388.144447206889</v>
      </c>
      <c r="I123" s="487">
        <f>ITECountywide!$B$9*E123</f>
        <v>197.86129008621077</v>
      </c>
      <c r="J123" s="495">
        <f t="shared" si="67"/>
        <v>1.67</v>
      </c>
      <c r="K123" s="372">
        <f t="shared" si="68"/>
        <v>0.85182987994952053</v>
      </c>
      <c r="L123" s="488">
        <f>Passby_Length_Adj!H118</f>
        <v>0.31419939577039274</v>
      </c>
      <c r="M123" s="488">
        <f>Passby_Length_Adj!J118</f>
        <v>0.32400000000000001</v>
      </c>
      <c r="N123" s="372">
        <v>0.5</v>
      </c>
      <c r="O123" s="481">
        <f t="shared" si="69"/>
        <v>5.0900302114803626E-2</v>
      </c>
      <c r="P123" s="489">
        <f t="shared" si="70"/>
        <v>60.473911914768976</v>
      </c>
      <c r="Q123" s="490">
        <f t="shared" si="71"/>
        <v>36.211923302256871</v>
      </c>
      <c r="R123" s="491">
        <f t="shared" si="72"/>
        <v>261.71052631578948</v>
      </c>
      <c r="S123" s="500">
        <f t="shared" si="73"/>
        <v>9477.0415063406472</v>
      </c>
      <c r="T123" s="489">
        <f t="shared" si="74"/>
        <v>4.5898776400661045</v>
      </c>
      <c r="U123" s="493">
        <f t="shared" si="75"/>
        <v>405.42115030277023</v>
      </c>
      <c r="V123" s="500">
        <f t="shared" si="76"/>
        <v>1860.8334725845646</v>
      </c>
      <c r="W123" s="489">
        <f t="shared" si="77"/>
        <v>1.3261609339831035</v>
      </c>
      <c r="X123" s="493">
        <f t="shared" si="78"/>
        <v>37.9060089869281</v>
      </c>
      <c r="Y123" s="763">
        <f t="shared" si="79"/>
        <v>50.269468281676488</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6"/>
        <v>222573.58020481179</v>
      </c>
      <c r="I124" s="487">
        <f>ITECountywide!$B$9*E124</f>
        <v>458.03909861474403</v>
      </c>
      <c r="J124" s="495">
        <f t="shared" si="67"/>
        <v>1.67</v>
      </c>
      <c r="K124" s="372">
        <f t="shared" si="68"/>
        <v>0.85182987994952053</v>
      </c>
      <c r="L124" s="488">
        <f>Passby_Length_Adj!H119</f>
        <v>0.8594671567024027</v>
      </c>
      <c r="M124" s="488">
        <f>Passby_Length_Adj!J119</f>
        <v>1</v>
      </c>
      <c r="N124" s="372">
        <v>0.5</v>
      </c>
      <c r="O124" s="481">
        <f t="shared" si="69"/>
        <v>0.42973357835120135</v>
      </c>
      <c r="P124" s="489">
        <f t="shared" si="70"/>
        <v>1181.9217034221756</v>
      </c>
      <c r="Q124" s="490">
        <f t="shared" si="71"/>
        <v>707.73754695938658</v>
      </c>
      <c r="R124" s="491">
        <f t="shared" si="72"/>
        <v>261.71052631578948</v>
      </c>
      <c r="S124" s="500">
        <f t="shared" si="73"/>
        <v>185222.36590818682</v>
      </c>
      <c r="T124" s="489">
        <f t="shared" si="74"/>
        <v>89.706053851651362</v>
      </c>
      <c r="U124" s="493">
        <f t="shared" si="75"/>
        <v>405.42115030277023</v>
      </c>
      <c r="V124" s="500">
        <f t="shared" si="76"/>
        <v>36368.731541658744</v>
      </c>
      <c r="W124" s="489">
        <f t="shared" si="77"/>
        <v>25.918918430716861</v>
      </c>
      <c r="X124" s="493">
        <f t="shared" si="78"/>
        <v>37.9060089869281</v>
      </c>
      <c r="Y124" s="763">
        <f t="shared" si="79"/>
        <v>982.48275496620965</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6"/>
        <v>3219.1278367258983</v>
      </c>
      <c r="I125" s="487">
        <f>ITECountywide!$B$9*E125</f>
        <v>11.419257306184756</v>
      </c>
      <c r="J125" s="495">
        <f t="shared" si="67"/>
        <v>1.67</v>
      </c>
      <c r="K125" s="372">
        <f t="shared" si="68"/>
        <v>0.85182987994952053</v>
      </c>
      <c r="L125" s="488">
        <f>Passby_Length_Adj!H120</f>
        <v>0.91993957703927487</v>
      </c>
      <c r="M125" s="488">
        <f>Passby_Length_Adj!J120</f>
        <v>0.54200000000000004</v>
      </c>
      <c r="N125" s="372">
        <v>0.5</v>
      </c>
      <c r="O125" s="481">
        <f t="shared" si="69"/>
        <v>0.2493036253776435</v>
      </c>
      <c r="P125" s="489">
        <f t="shared" si="70"/>
        <v>17.094378644651744</v>
      </c>
      <c r="Q125" s="490">
        <f t="shared" si="71"/>
        <v>10.236154877036974</v>
      </c>
      <c r="R125" s="491">
        <f t="shared" si="72"/>
        <v>261.71052631578948</v>
      </c>
      <c r="S125" s="500">
        <f t="shared" si="73"/>
        <v>2678.9094803192816</v>
      </c>
      <c r="T125" s="489">
        <f t="shared" si="74"/>
        <v>1.2974372556300389</v>
      </c>
      <c r="U125" s="493">
        <f t="shared" si="75"/>
        <v>405.42115030277023</v>
      </c>
      <c r="V125" s="500">
        <f t="shared" si="76"/>
        <v>526.00850462319966</v>
      </c>
      <c r="W125" s="489">
        <f t="shared" si="77"/>
        <v>0.37487069103786091</v>
      </c>
      <c r="X125" s="493">
        <f t="shared" si="78"/>
        <v>37.9060089869281</v>
      </c>
      <c r="Y125" s="763">
        <f t="shared" si="79"/>
        <v>14.209851783417102</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6"/>
        <v>63701.217624263518</v>
      </c>
      <c r="I126" s="487">
        <f>ITECountywide!$B$9*E126</f>
        <v>183.95879746106203</v>
      </c>
      <c r="J126" s="495">
        <f t="shared" si="67"/>
        <v>1.67</v>
      </c>
      <c r="K126" s="372">
        <f t="shared" si="68"/>
        <v>0.85182987994952053</v>
      </c>
      <c r="L126" s="488">
        <f>Passby_Length_Adj!H121</f>
        <v>0.61247081225203326</v>
      </c>
      <c r="M126" s="488">
        <f>Passby_Length_Adj!J121</f>
        <v>1</v>
      </c>
      <c r="N126" s="372">
        <v>0.5</v>
      </c>
      <c r="O126" s="481">
        <f t="shared" si="69"/>
        <v>0.30623540612601663</v>
      </c>
      <c r="P126" s="489">
        <f t="shared" si="70"/>
        <v>338.26949081402506</v>
      </c>
      <c r="Q126" s="490">
        <f t="shared" si="71"/>
        <v>202.55658132576352</v>
      </c>
      <c r="R126" s="491">
        <f t="shared" si="72"/>
        <v>261.71052631578948</v>
      </c>
      <c r="S126" s="500">
        <f t="shared" si="73"/>
        <v>53011.189507492585</v>
      </c>
      <c r="T126" s="489">
        <f t="shared" si="74"/>
        <v>25.674138203463226</v>
      </c>
      <c r="U126" s="493">
        <f t="shared" si="75"/>
        <v>405.42115030277023</v>
      </c>
      <c r="V126" s="500">
        <f t="shared" si="76"/>
        <v>10408.83864348036</v>
      </c>
      <c r="W126" s="489">
        <f t="shared" si="77"/>
        <v>7.4180711925526852</v>
      </c>
      <c r="X126" s="493">
        <f t="shared" si="78"/>
        <v>37.9060089869281</v>
      </c>
      <c r="Y126" s="763">
        <f t="shared" si="79"/>
        <v>281.18947329057454</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6"/>
        <v>27530.684853250652</v>
      </c>
      <c r="I128" s="487">
        <f>ITECountywide!$B$9*E128</f>
        <v>283.63260051933179</v>
      </c>
      <c r="J128" s="495">
        <f t="shared" ref="J128:J137" si="80">IF(F128="Prod",$M$3,$M$4)</f>
        <v>1.67</v>
      </c>
      <c r="K128" s="372">
        <f t="shared" ref="K128:K137" si="81">IF(F128="Prod",$F$4,$F$5)</f>
        <v>0.85182987994952053</v>
      </c>
      <c r="L128" s="488">
        <f>Passby_Length_Adj!H123</f>
        <v>0.37160120845921452</v>
      </c>
      <c r="M128" s="488">
        <f>Passby_Length_Adj!J123</f>
        <v>0.46200000000000002</v>
      </c>
      <c r="N128" s="372">
        <v>0.5</v>
      </c>
      <c r="O128" s="481">
        <f t="shared" ref="O128:O137" si="82">L128*M128*N128</f>
        <v>8.5839879154078563E-2</v>
      </c>
      <c r="P128" s="489">
        <f t="shared" ref="P128:P137" si="83">IF($F128="Prod",$I128*$O128*$F$4*$F$6,$I128*O128*$F$5*$F$7)</f>
        <v>146.19486242792459</v>
      </c>
      <c r="Q128" s="490">
        <f t="shared" ref="Q128:Q137" si="84">+P128/J128</f>
        <v>87.541833789176408</v>
      </c>
      <c r="R128" s="491">
        <f t="shared" ref="R128:R137" si="85">+$Q$4</f>
        <v>261.71052631578948</v>
      </c>
      <c r="S128" s="500">
        <f t="shared" ref="S128:S137" si="86">+Q128*R128</f>
        <v>22910.619395614722</v>
      </c>
      <c r="T128" s="489">
        <f t="shared" ref="T128:T137" si="87">IF($F128="Prod",$I128*$O128*$G$4*$G$6,$I128*$O128*$G$5*$G$7)</f>
        <v>11.095966986494803</v>
      </c>
      <c r="U128" s="493">
        <f t="shared" ref="U128:U137" si="88">+$R$4</f>
        <v>405.42115030277023</v>
      </c>
      <c r="V128" s="500">
        <f t="shared" ref="V128:V137" si="89">+T128*U128</f>
        <v>4498.539699386286</v>
      </c>
      <c r="W128" s="489">
        <f t="shared" ref="W128:W137" si="90">IF($F128="Prod",$I128*$O128*$J$4*$J$6,$I128*$O128*$J$5*$J$7)</f>
        <v>3.2059760839384173</v>
      </c>
      <c r="X128" s="493">
        <f t="shared" ref="X128:X137" si="91">$S$4</f>
        <v>37.9060089869281</v>
      </c>
      <c r="Y128" s="763">
        <f t="shared" ref="Y128:Y137" si="92">+W128*X128</f>
        <v>121.5257582496462</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6"/>
        <v>17599.018442424993</v>
      </c>
      <c r="I129" s="487">
        <f>ITECountywide!$B$9*E129</f>
        <v>181.31242989486685</v>
      </c>
      <c r="J129" s="495">
        <f t="shared" si="80"/>
        <v>1.67</v>
      </c>
      <c r="K129" s="372">
        <f t="shared" si="81"/>
        <v>0.85182987994952053</v>
      </c>
      <c r="L129" s="488">
        <f>Passby_Length_Adj!H124</f>
        <v>0.37160120845921452</v>
      </c>
      <c r="M129" s="488">
        <f>Passby_Length_Adj!J124</f>
        <v>0.46200000000000002</v>
      </c>
      <c r="N129" s="372">
        <v>0.5</v>
      </c>
      <c r="O129" s="481">
        <f t="shared" si="82"/>
        <v>8.5839879154078563E-2</v>
      </c>
      <c r="P129" s="489">
        <f t="shared" si="83"/>
        <v>93.455215290550214</v>
      </c>
      <c r="Q129" s="490">
        <f t="shared" si="84"/>
        <v>55.961206760808516</v>
      </c>
      <c r="R129" s="491">
        <f t="shared" si="85"/>
        <v>261.71052631578948</v>
      </c>
      <c r="S129" s="500">
        <f t="shared" si="86"/>
        <v>14645.636874637914</v>
      </c>
      <c r="T129" s="489">
        <f t="shared" si="87"/>
        <v>7.0931082416863198</v>
      </c>
      <c r="U129" s="493">
        <f t="shared" si="88"/>
        <v>405.42115030277023</v>
      </c>
      <c r="V129" s="500">
        <f t="shared" si="89"/>
        <v>2875.6961025665278</v>
      </c>
      <c r="W129" s="489">
        <f t="shared" si="90"/>
        <v>2.0494234897517889</v>
      </c>
      <c r="X129" s="493">
        <f t="shared" si="91"/>
        <v>37.9060089869281</v>
      </c>
      <c r="Y129" s="763">
        <f t="shared" si="92"/>
        <v>77.685465220552857</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6"/>
        <v>31257.725761927311</v>
      </c>
      <c r="I130" s="487">
        <f>ITECountywide!$B$9*E130</f>
        <v>151.96675119849681</v>
      </c>
      <c r="J130" s="495">
        <f t="shared" si="80"/>
        <v>1.67</v>
      </c>
      <c r="K130" s="372">
        <f t="shared" si="81"/>
        <v>0.85182987994952053</v>
      </c>
      <c r="L130" s="488">
        <f>Passby_Length_Adj!H125</f>
        <v>0.47432024169184289</v>
      </c>
      <c r="M130" s="488">
        <f>Passby_Length_Adj!J125</f>
        <v>0.76700000000000002</v>
      </c>
      <c r="N130" s="372">
        <v>0.5</v>
      </c>
      <c r="O130" s="481">
        <f t="shared" si="82"/>
        <v>0.18190181268882175</v>
      </c>
      <c r="P130" s="489">
        <f t="shared" si="83"/>
        <v>165.98638725963963</v>
      </c>
      <c r="Q130" s="490">
        <f t="shared" si="84"/>
        <v>99.393046263257261</v>
      </c>
      <c r="R130" s="491">
        <f t="shared" si="85"/>
        <v>261.71052631578948</v>
      </c>
      <c r="S130" s="500">
        <f t="shared" si="86"/>
        <v>26012.20644968667</v>
      </c>
      <c r="T130" s="489">
        <f t="shared" si="87"/>
        <v>12.598113522275908</v>
      </c>
      <c r="U130" s="493">
        <f t="shared" si="88"/>
        <v>405.42115030277023</v>
      </c>
      <c r="V130" s="500">
        <f t="shared" si="89"/>
        <v>5107.5416758459824</v>
      </c>
      <c r="W130" s="489">
        <f t="shared" si="90"/>
        <v>3.6399937656913148</v>
      </c>
      <c r="X130" s="493">
        <f t="shared" si="91"/>
        <v>37.9060089869281</v>
      </c>
      <c r="Y130" s="763">
        <f t="shared" si="92"/>
        <v>137.97763639465722</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6"/>
        <v>969.34741151015032</v>
      </c>
      <c r="I131" s="487">
        <f>ITECountywide!$B$9*E131</f>
        <v>4.7127093644572007</v>
      </c>
      <c r="J131" s="495">
        <f t="shared" si="80"/>
        <v>1.67</v>
      </c>
      <c r="K131" s="372">
        <f t="shared" si="81"/>
        <v>0.85182987994952053</v>
      </c>
      <c r="L131" s="488">
        <f>Passby_Length_Adj!H126</f>
        <v>0.47432024169184289</v>
      </c>
      <c r="M131" s="488">
        <f>Passby_Length_Adj!J126</f>
        <v>0.76700000000000002</v>
      </c>
      <c r="N131" s="372">
        <v>0.5</v>
      </c>
      <c r="O131" s="481">
        <f t="shared" si="82"/>
        <v>0.18190181268882175</v>
      </c>
      <c r="P131" s="489">
        <f t="shared" si="83"/>
        <v>5.1474786125365339</v>
      </c>
      <c r="Q131" s="490">
        <f t="shared" si="84"/>
        <v>3.0823225224769666</v>
      </c>
      <c r="R131" s="491">
        <f t="shared" si="85"/>
        <v>261.71052631578948</v>
      </c>
      <c r="S131" s="500">
        <f t="shared" si="86"/>
        <v>806.67624963245873</v>
      </c>
      <c r="T131" s="489">
        <f t="shared" si="87"/>
        <v>0.39068577239882352</v>
      </c>
      <c r="U131" s="493">
        <f t="shared" si="88"/>
        <v>405.42115030277023</v>
      </c>
      <c r="V131" s="500">
        <f t="shared" si="89"/>
        <v>158.3922752528573</v>
      </c>
      <c r="W131" s="489">
        <f t="shared" si="90"/>
        <v>0.11288148605435852</v>
      </c>
      <c r="X131" s="493">
        <f t="shared" si="91"/>
        <v>37.9060089869281</v>
      </c>
      <c r="Y131" s="763">
        <f t="shared" si="92"/>
        <v>4.2788866248343131</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6"/>
        <v>38975.262648276279</v>
      </c>
      <c r="I132" s="487">
        <f>ITECountywide!$B$9*E132</f>
        <v>203.3352832710803</v>
      </c>
      <c r="J132" s="495">
        <f t="shared" si="80"/>
        <v>1.67</v>
      </c>
      <c r="K132" s="372">
        <f t="shared" si="81"/>
        <v>0.85182987994952053</v>
      </c>
      <c r="L132" s="488">
        <f>Passby_Length_Adj!H127</f>
        <v>0.47885196374622352</v>
      </c>
      <c r="M132" s="488">
        <f>Passby_Length_Adj!J127</f>
        <v>0.70799999999999996</v>
      </c>
      <c r="N132" s="372">
        <v>0.5</v>
      </c>
      <c r="O132" s="481">
        <f t="shared" si="82"/>
        <v>0.16951359516616313</v>
      </c>
      <c r="P132" s="489">
        <f t="shared" si="83"/>
        <v>206.96844961647204</v>
      </c>
      <c r="Q132" s="490">
        <f t="shared" si="84"/>
        <v>123.93320336315692</v>
      </c>
      <c r="R132" s="491">
        <f t="shared" si="85"/>
        <v>261.71052631578948</v>
      </c>
      <c r="S132" s="500">
        <f t="shared" si="86"/>
        <v>32434.623880173567</v>
      </c>
      <c r="T132" s="489">
        <f t="shared" si="87"/>
        <v>15.708589522580453</v>
      </c>
      <c r="U132" s="493">
        <f t="shared" si="88"/>
        <v>405.42115030277023</v>
      </c>
      <c r="V132" s="500">
        <f t="shared" si="89"/>
        <v>6368.5944338786121</v>
      </c>
      <c r="W132" s="489">
        <f t="shared" si="90"/>
        <v>4.5387087383275997</v>
      </c>
      <c r="X132" s="493">
        <f t="shared" si="91"/>
        <v>37.9060089869281</v>
      </c>
      <c r="Y132" s="763">
        <f t="shared" si="92"/>
        <v>172.04433422409508</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6"/>
        <v>1518.2911193881919</v>
      </c>
      <c r="I133" s="487">
        <f>ITECountywide!$B$9*E133</f>
        <v>7.9209768933376798</v>
      </c>
      <c r="J133" s="495">
        <f t="shared" si="80"/>
        <v>1.67</v>
      </c>
      <c r="K133" s="372">
        <f t="shared" si="81"/>
        <v>0.85182987994952053</v>
      </c>
      <c r="L133" s="488">
        <f>Passby_Length_Adj!H128</f>
        <v>0.47885196374622352</v>
      </c>
      <c r="M133" s="488">
        <f>Passby_Length_Adj!J128</f>
        <v>0.70799999999999996</v>
      </c>
      <c r="N133" s="372">
        <v>0.5</v>
      </c>
      <c r="O133" s="481">
        <f t="shared" si="82"/>
        <v>0.16951359516616313</v>
      </c>
      <c r="P133" s="489">
        <f t="shared" si="83"/>
        <v>8.0625077983952842</v>
      </c>
      <c r="Q133" s="490">
        <f t="shared" si="84"/>
        <v>4.8278489810750207</v>
      </c>
      <c r="R133" s="491">
        <f t="shared" si="85"/>
        <v>261.71052631578948</v>
      </c>
      <c r="S133" s="500">
        <f t="shared" si="86"/>
        <v>1263.4988978102917</v>
      </c>
      <c r="T133" s="489">
        <f t="shared" si="87"/>
        <v>0.61193203970116405</v>
      </c>
      <c r="U133" s="493">
        <f t="shared" si="88"/>
        <v>405.42115030277023</v>
      </c>
      <c r="V133" s="500">
        <f t="shared" si="89"/>
        <v>248.09019144276638</v>
      </c>
      <c r="W133" s="489">
        <f t="shared" si="90"/>
        <v>0.17680653580399014</v>
      </c>
      <c r="X133" s="493">
        <f t="shared" si="91"/>
        <v>37.9060089869281</v>
      </c>
      <c r="Y133" s="763">
        <f t="shared" si="92"/>
        <v>6.7020301351336755</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6"/>
        <v>63617.736863838843</v>
      </c>
      <c r="I134" s="487">
        <f>ITECountywide!$B$9*E134</f>
        <v>627.56975509846791</v>
      </c>
      <c r="J134" s="495">
        <f t="shared" si="80"/>
        <v>1.67</v>
      </c>
      <c r="K134" s="372">
        <f t="shared" si="81"/>
        <v>0.85182987994952053</v>
      </c>
      <c r="L134" s="488">
        <f>Passby_Length_Adj!H129</f>
        <v>0.30966767371601206</v>
      </c>
      <c r="M134" s="488">
        <f>Passby_Length_Adj!J129</f>
        <v>0.57899999999999996</v>
      </c>
      <c r="N134" s="372">
        <v>0.5</v>
      </c>
      <c r="O134" s="481">
        <f t="shared" si="82"/>
        <v>8.9648791540785491E-2</v>
      </c>
      <c r="P134" s="489">
        <f t="shared" si="83"/>
        <v>337.82618697502807</v>
      </c>
      <c r="Q134" s="490">
        <f t="shared" si="84"/>
        <v>202.2911299251665</v>
      </c>
      <c r="R134" s="491">
        <f t="shared" si="85"/>
        <v>261.71052631578948</v>
      </c>
      <c r="S134" s="500">
        <f t="shared" si="86"/>
        <v>52941.718081731073</v>
      </c>
      <c r="T134" s="489">
        <f t="shared" si="87"/>
        <v>25.640492118499591</v>
      </c>
      <c r="U134" s="493">
        <f t="shared" si="88"/>
        <v>405.42115030277023</v>
      </c>
      <c r="V134" s="500">
        <f t="shared" si="89"/>
        <v>10395.197809011219</v>
      </c>
      <c r="W134" s="489">
        <f t="shared" si="90"/>
        <v>7.4083497736044439</v>
      </c>
      <c r="X134" s="493">
        <f t="shared" si="91"/>
        <v>37.9060089869281</v>
      </c>
      <c r="Y134" s="763">
        <f t="shared" si="92"/>
        <v>280.82097309655683</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6"/>
        <v>86534.307183158322</v>
      </c>
      <c r="I135" s="487">
        <f>ITECountywide!$B$9*E135</f>
        <v>853.63479815043024</v>
      </c>
      <c r="J135" s="495">
        <f t="shared" si="80"/>
        <v>1.67</v>
      </c>
      <c r="K135" s="372">
        <f t="shared" si="81"/>
        <v>0.85182987994952053</v>
      </c>
      <c r="L135" s="488">
        <f>Passby_Length_Adj!H130</f>
        <v>0.30966767371601206</v>
      </c>
      <c r="M135" s="488">
        <f>Passby_Length_Adj!J130</f>
        <v>0.57899999999999996</v>
      </c>
      <c r="N135" s="372">
        <v>0.5</v>
      </c>
      <c r="O135" s="481">
        <f t="shared" si="82"/>
        <v>8.9648791540785491E-2</v>
      </c>
      <c r="P135" s="489">
        <f t="shared" si="83"/>
        <v>459.51894046122362</v>
      </c>
      <c r="Q135" s="490">
        <f t="shared" si="84"/>
        <v>275.1610421923495</v>
      </c>
      <c r="R135" s="491">
        <f t="shared" si="85"/>
        <v>261.71052631578948</v>
      </c>
      <c r="S135" s="500">
        <f t="shared" si="86"/>
        <v>72012.541173760939</v>
      </c>
      <c r="T135" s="489">
        <f t="shared" si="87"/>
        <v>34.876786422919395</v>
      </c>
      <c r="U135" s="493">
        <f t="shared" si="88"/>
        <v>405.42115030277023</v>
      </c>
      <c r="V135" s="500">
        <f t="shared" si="89"/>
        <v>14139.786870444021</v>
      </c>
      <c r="W135" s="489">
        <f t="shared" si="90"/>
        <v>10.077007555321643</v>
      </c>
      <c r="X135" s="493">
        <f t="shared" si="91"/>
        <v>37.9060089869281</v>
      </c>
      <c r="Y135" s="763">
        <f t="shared" si="92"/>
        <v>381.97913895336455</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6"/>
        <v>150740.02532523501</v>
      </c>
      <c r="I136" s="487">
        <f>ITECountywide!$B$9*E136</f>
        <v>1487.00481092823</v>
      </c>
      <c r="J136" s="495">
        <f t="shared" si="80"/>
        <v>1.67</v>
      </c>
      <c r="K136" s="372">
        <f t="shared" si="81"/>
        <v>0.85182987994952053</v>
      </c>
      <c r="L136" s="488">
        <f>Passby_Length_Adj!H131</f>
        <v>0.30966767371601206</v>
      </c>
      <c r="M136" s="488">
        <f>Passby_Length_Adj!J131</f>
        <v>0.57899999999999996</v>
      </c>
      <c r="N136" s="372">
        <v>0.5</v>
      </c>
      <c r="O136" s="481">
        <f t="shared" si="82"/>
        <v>8.9648791540785491E-2</v>
      </c>
      <c r="P136" s="489">
        <f t="shared" si="83"/>
        <v>800.46745594134973</v>
      </c>
      <c r="Q136" s="490">
        <f t="shared" si="84"/>
        <v>479.32182990499984</v>
      </c>
      <c r="R136" s="491">
        <f t="shared" si="85"/>
        <v>261.71052631578948</v>
      </c>
      <c r="S136" s="500">
        <f t="shared" si="86"/>
        <v>125443.56837908483</v>
      </c>
      <c r="T136" s="489">
        <f t="shared" si="87"/>
        <v>60.754258510743419</v>
      </c>
      <c r="U136" s="493">
        <f t="shared" si="88"/>
        <v>405.42115030277023</v>
      </c>
      <c r="V136" s="500">
        <f t="shared" si="89"/>
        <v>24631.061371217464</v>
      </c>
      <c r="W136" s="489">
        <f t="shared" si="90"/>
        <v>17.553828343210043</v>
      </c>
      <c r="X136" s="493">
        <f t="shared" si="91"/>
        <v>37.9060089869281</v>
      </c>
      <c r="Y136" s="763">
        <f t="shared" si="92"/>
        <v>665.39557493271309</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6"/>
        <v>39298.860066796144</v>
      </c>
      <c r="I137" s="751">
        <f>ITECountywide!$B$9*E137</f>
        <v>311.78197606933963</v>
      </c>
      <c r="J137" s="752">
        <f t="shared" si="80"/>
        <v>1.67</v>
      </c>
      <c r="K137" s="753">
        <f t="shared" si="81"/>
        <v>0.85182987994952053</v>
      </c>
      <c r="L137" s="754">
        <f>Passby_Length_Adj!H132</f>
        <v>0.32930513595166166</v>
      </c>
      <c r="M137" s="754">
        <f>Passby_Length_Adj!J132</f>
        <v>0.67700000000000005</v>
      </c>
      <c r="N137" s="753">
        <v>0.5</v>
      </c>
      <c r="O137" s="755">
        <f t="shared" si="82"/>
        <v>0.11146978851963749</v>
      </c>
      <c r="P137" s="756">
        <f t="shared" si="83"/>
        <v>208.68683331577759</v>
      </c>
      <c r="Q137" s="757">
        <f t="shared" si="84"/>
        <v>124.96217563819017</v>
      </c>
      <c r="R137" s="758">
        <f t="shared" si="85"/>
        <v>261.71052631578948</v>
      </c>
      <c r="S137" s="767">
        <f t="shared" si="86"/>
        <v>32703.916755836875</v>
      </c>
      <c r="T137" s="756">
        <f t="shared" si="87"/>
        <v>15.839012223357818</v>
      </c>
      <c r="U137" s="760">
        <f t="shared" si="88"/>
        <v>405.42115030277023</v>
      </c>
      <c r="V137" s="767">
        <f t="shared" si="89"/>
        <v>6421.4705552533651</v>
      </c>
      <c r="W137" s="756">
        <f t="shared" si="90"/>
        <v>4.5763919848624717</v>
      </c>
      <c r="X137" s="760">
        <f t="shared" si="91"/>
        <v>37.9060089869281</v>
      </c>
      <c r="Y137" s="768">
        <f t="shared" si="92"/>
        <v>173.47275570590259</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1" style="11" customWidth="1"/>
    <col min="10" max="10" width="11" style="60" customWidth="1"/>
    <col min="11" max="11" width="11" style="12" customWidth="1"/>
    <col min="12" max="12" width="11.5703125" style="12" customWidth="1"/>
    <col min="13" max="14" width="8.5703125" style="12" customWidth="1"/>
    <col min="15" max="15" width="8.5703125" style="368" customWidth="1"/>
    <col min="16" max="16" width="8.5703125" style="12" customWidth="1"/>
    <col min="17" max="17" width="8.5703125" style="11" customWidth="1"/>
    <col min="18" max="18" width="8.5703125" style="13" customWidth="1"/>
    <col min="19" max="19" width="8.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4</v>
      </c>
      <c r="E4" s="396" t="s">
        <v>69</v>
      </c>
      <c r="F4" s="461">
        <f>'2045_24hr_all_productions'!$Q$42</f>
        <v>0.85662549911783825</v>
      </c>
      <c r="G4" s="461">
        <f>'2045_24hr_all_productions'!$S$42</f>
        <v>6.3313541592697989E-2</v>
      </c>
      <c r="H4" s="462">
        <f>'2045_24hr_all_productions'!$T$42</f>
        <v>5.9522704057944097E-2</v>
      </c>
      <c r="I4" s="461">
        <f>'2045_24hr_all_productions'!$R$42</f>
        <v>2.0538255231519666E-2</v>
      </c>
      <c r="J4" s="463">
        <f>+H4+I4</f>
        <v>8.006095928946376E-2</v>
      </c>
      <c r="K4" s="60"/>
      <c r="L4" s="395" t="s">
        <v>73</v>
      </c>
      <c r="M4" s="393">
        <f>ITECountywide!B4</f>
        <v>1.67</v>
      </c>
      <c r="O4" s="472" t="s">
        <v>388</v>
      </c>
      <c r="P4" s="603"/>
      <c r="Q4" s="604">
        <f>+RoadCapCost!P15</f>
        <v>261.71052631578948</v>
      </c>
      <c r="R4" s="604">
        <f>+TransitCapCost!AD13</f>
        <v>154.50490219883392</v>
      </c>
      <c r="S4" s="471">
        <f>+WalkBikeCapCost!$Z$7</f>
        <v>37.9060089869281</v>
      </c>
      <c r="T4" s="11"/>
    </row>
    <row r="5" spans="1:36" ht="17.100000000000001" customHeight="1" thickBot="1" x14ac:dyDescent="0.3">
      <c r="B5" s="960"/>
      <c r="C5" s="958"/>
      <c r="E5" s="396" t="s">
        <v>72</v>
      </c>
      <c r="F5" s="461">
        <f>'2045_24hr_all_attractions'!$Q$42</f>
        <v>0.85658336747234742</v>
      </c>
      <c r="G5" s="461">
        <f>'2045_24hr_all_attractions'!$S$42</f>
        <v>6.3312849924894166E-2</v>
      </c>
      <c r="H5" s="462">
        <f>'2045_24hr_all_attractions'!$T$42</f>
        <v>5.9565751741089717E-2</v>
      </c>
      <c r="I5" s="461">
        <f>'2045_24hr_all_attractions'!$R$42</f>
        <v>2.0538030861668714E-2</v>
      </c>
      <c r="J5" s="463">
        <f>+H5+I5</f>
        <v>8.0103782602758439E-2</v>
      </c>
      <c r="K5" s="60"/>
      <c r="S5" s="380"/>
      <c r="T5" s="11"/>
    </row>
    <row r="6" spans="1:36" ht="17.100000000000001" customHeight="1" x14ac:dyDescent="0.25">
      <c r="B6" s="955" t="s">
        <v>56</v>
      </c>
      <c r="C6" s="957" t="s">
        <v>393</v>
      </c>
      <c r="E6" s="396" t="s">
        <v>74</v>
      </c>
      <c r="F6" s="385">
        <f>'2045_24hr_all_productions'!$M$42</f>
        <v>8.7708058664116049</v>
      </c>
      <c r="G6" s="385">
        <f>'2045_24hr_all_productions'!$O$42</f>
        <v>7.2570589250280397</v>
      </c>
      <c r="H6" s="386">
        <f>'2045_24hr_all_productions'!$P$42</f>
        <v>0.84564008442690652</v>
      </c>
      <c r="I6" s="385">
        <f>'2045_24hr_all_productions'!$N$42</f>
        <v>3.3822021276595744</v>
      </c>
      <c r="J6" s="398">
        <f>+((H4/J4)*H6)+(I4/J4*I6)</f>
        <v>1.4963512314934846</v>
      </c>
      <c r="K6" s="60"/>
      <c r="O6" s="60"/>
      <c r="P6" s="11"/>
      <c r="S6" s="380"/>
    </row>
    <row r="7" spans="1:36" ht="17.100000000000001" customHeight="1" thickBot="1" x14ac:dyDescent="0.3">
      <c r="B7" s="956"/>
      <c r="C7" s="958"/>
      <c r="E7" s="399" t="s">
        <v>75</v>
      </c>
      <c r="F7" s="400">
        <f>'2045_24hr_all_attractions'!$M$42</f>
        <v>8.7594808027088558</v>
      </c>
      <c r="G7" s="400">
        <f>'2045_24hr_all_attractions'!$O$42</f>
        <v>7.4675411957553282</v>
      </c>
      <c r="H7" s="402">
        <f>'2045_24hr_all_attractions'!$P$42</f>
        <v>0.84334800550206324</v>
      </c>
      <c r="I7" s="400">
        <f>'2045_24hr_all_attractions'!$N$42</f>
        <v>3.3709601063829786</v>
      </c>
      <c r="J7" s="401">
        <f>+((H5/J5)*H7)+(I5/J5*I7)</f>
        <v>1.4914094783498122</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66</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11189.31186206541</v>
      </c>
      <c r="I12" s="487">
        <f>ITECountywide!$B$9*E12</f>
        <v>17.853918169193626</v>
      </c>
      <c r="J12" s="488">
        <f>IF(F12="Prod",$M$3,$M$4)</f>
        <v>1.67</v>
      </c>
      <c r="K12" s="372">
        <f>IF(F12="Prod",$F$4,$F$5)</f>
        <v>0.85658336747234742</v>
      </c>
      <c r="L12" s="488">
        <f>Passby_Length_Adj!H7</f>
        <v>1</v>
      </c>
      <c r="M12" s="488">
        <f>Passby_Length_Adj!J7</f>
        <v>1</v>
      </c>
      <c r="N12" s="372">
        <v>0.5</v>
      </c>
      <c r="O12" s="481">
        <f>L12*M12*N12</f>
        <v>0.5</v>
      </c>
      <c r="P12" s="489">
        <f>IF($F12="Prod",$I12*$O12*$F$4*$F$6,$I12*O12*$F$5*$F$7)</f>
        <v>66.98098760602403</v>
      </c>
      <c r="Q12" s="490">
        <f>+P12/J12</f>
        <v>40.108375811990442</v>
      </c>
      <c r="R12" s="491">
        <f>+$Q$4</f>
        <v>261.71052631578948</v>
      </c>
      <c r="S12" s="500">
        <f>+Q12*R12</f>
        <v>10496.784143427498</v>
      </c>
      <c r="T12" s="489">
        <f>IF($F12="Prod",$I12*$O12*$G$4*$G$6,$I12*$O12*$G$5*$G$7)</f>
        <v>4.2205887248685761</v>
      </c>
      <c r="U12" s="493">
        <f>+$R$4</f>
        <v>154.50490219883392</v>
      </c>
      <c r="V12" s="500">
        <f>+T12*U12</f>
        <v>652.10164815732048</v>
      </c>
      <c r="W12" s="489">
        <f>IF($F12="Prod",$I12*$O12*$J$4*$J$6,$I12*$O12*$J$5*$J$7)</f>
        <v>1.0664818471005919</v>
      </c>
      <c r="X12" s="493">
        <f>$S$4</f>
        <v>37.9060089869281</v>
      </c>
      <c r="Y12" s="763">
        <f>+W12*X12</f>
        <v>40.426070480590717</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5634.4149071923275</v>
      </c>
      <c r="I14" s="487">
        <f>ITECountywide!$B$9*E14</f>
        <v>8.9903994029645062</v>
      </c>
      <c r="J14" s="488">
        <f t="shared" ref="J14:J20" si="1">IF(F14="Prod",$M$3,$M$4)</f>
        <v>1.67</v>
      </c>
      <c r="K14" s="372">
        <f t="shared" ref="K14:K20" si="2">IF(F14="Prod",$F$4,$F$5)</f>
        <v>0.85658336747234742</v>
      </c>
      <c r="L14" s="488">
        <f>Passby_Length_Adj!H9</f>
        <v>1</v>
      </c>
      <c r="M14" s="488">
        <f>Passby_Length_Adj!J9</f>
        <v>1</v>
      </c>
      <c r="N14" s="372">
        <v>0.5</v>
      </c>
      <c r="O14" s="481">
        <f t="shared" ref="O14:O20" si="3">L14*M14*N14</f>
        <v>0.5</v>
      </c>
      <c r="P14" s="489">
        <f t="shared" ref="P14:P20" si="4">IF($F14="Prod",$I14*$O14*$F$4*$F$6,$I14*O14*$F$5*$F$7)</f>
        <v>33.728497312271998</v>
      </c>
      <c r="Q14" s="490">
        <f t="shared" ref="Q14:Q20" si="5">+P14/J14</f>
        <v>20.196704977408384</v>
      </c>
      <c r="R14" s="491">
        <f t="shared" ref="R14:R20" si="6">+$Q$4</f>
        <v>261.71052631578948</v>
      </c>
      <c r="S14" s="500">
        <f t="shared" ref="S14:S20" si="7">+Q14*R14</f>
        <v>5285.6902894822733</v>
      </c>
      <c r="T14" s="489">
        <f t="shared" ref="T14:T20" si="8">IF($F14="Prod",$I14*$O14*$G$4*$G$6,$I14*$O14*$G$5*$G$7)</f>
        <v>2.1252913782079332</v>
      </c>
      <c r="U14" s="493">
        <f t="shared" ref="U14:U20" si="9">+$R$4</f>
        <v>154.50490219883392</v>
      </c>
      <c r="V14" s="500">
        <f t="shared" ref="V14:V20" si="10">+T14*U14</f>
        <v>328.36793653404169</v>
      </c>
      <c r="W14" s="489">
        <f t="shared" ref="W14:W20" si="11">IF($F14="Prod",$I14*$O14*$J$4*$J$6,$I14*$O14*$J$5*$J$7)</f>
        <v>0.53703045295623708</v>
      </c>
      <c r="X14" s="493">
        <f t="shared" ref="X14:X20" si="12">$S$4</f>
        <v>37.9060089869281</v>
      </c>
      <c r="Y14" s="763">
        <f t="shared" ref="Y14:Y20" si="13">+W14*X14</f>
        <v>20.35668117601319</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3828.221418798013</v>
      </c>
      <c r="I15" s="487">
        <f>ITECountywide!$B$9*E15</f>
        <v>6.1083963685464484</v>
      </c>
      <c r="J15" s="488">
        <f t="shared" si="1"/>
        <v>1.67</v>
      </c>
      <c r="K15" s="372">
        <f t="shared" si="2"/>
        <v>0.85658336747234742</v>
      </c>
      <c r="L15" s="488">
        <f>Passby_Length_Adj!H10</f>
        <v>1</v>
      </c>
      <c r="M15" s="488">
        <f>Passby_Length_Adj!J10</f>
        <v>1</v>
      </c>
      <c r="N15" s="372">
        <v>0.5</v>
      </c>
      <c r="O15" s="481">
        <f t="shared" si="3"/>
        <v>0.5</v>
      </c>
      <c r="P15" s="489">
        <f t="shared" si="4"/>
        <v>22.916337891604158</v>
      </c>
      <c r="Q15" s="490">
        <f t="shared" si="5"/>
        <v>13.722358018924647</v>
      </c>
      <c r="R15" s="491">
        <f t="shared" si="6"/>
        <v>261.71052631578948</v>
      </c>
      <c r="S15" s="500">
        <f t="shared" si="7"/>
        <v>3591.2855394264634</v>
      </c>
      <c r="T15" s="489">
        <f t="shared" si="8"/>
        <v>1.4439983759195028</v>
      </c>
      <c r="U15" s="493">
        <f t="shared" si="9"/>
        <v>154.50490219883392</v>
      </c>
      <c r="V15" s="500">
        <f t="shared" si="10"/>
        <v>223.1048278467178</v>
      </c>
      <c r="W15" s="489">
        <f t="shared" si="11"/>
        <v>0.36487754565776592</v>
      </c>
      <c r="X15" s="493">
        <f t="shared" si="12"/>
        <v>37.9060089869281</v>
      </c>
      <c r="Y15" s="763">
        <f t="shared" si="13"/>
        <v>13.831051524831544</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4464.3650373519858</v>
      </c>
      <c r="I16" s="487">
        <f>ITECountywide!$B$9*E16</f>
        <v>7.1234414624295379</v>
      </c>
      <c r="J16" s="488">
        <f t="shared" si="1"/>
        <v>1.67</v>
      </c>
      <c r="K16" s="372">
        <f t="shared" si="2"/>
        <v>0.85658336747234742</v>
      </c>
      <c r="L16" s="488">
        <f>Passby_Length_Adj!H11</f>
        <v>1</v>
      </c>
      <c r="M16" s="488">
        <f>Passby_Length_Adj!J11</f>
        <v>1</v>
      </c>
      <c r="N16" s="372">
        <v>0.5</v>
      </c>
      <c r="O16" s="481">
        <f t="shared" si="3"/>
        <v>0.5</v>
      </c>
      <c r="P16" s="489">
        <f t="shared" si="4"/>
        <v>26.724394039763901</v>
      </c>
      <c r="Q16" s="490">
        <f t="shared" si="5"/>
        <v>16.00263116153527</v>
      </c>
      <c r="R16" s="491">
        <f t="shared" si="6"/>
        <v>261.71052631578948</v>
      </c>
      <c r="S16" s="500">
        <f t="shared" si="7"/>
        <v>4188.0570237228494</v>
      </c>
      <c r="T16" s="489">
        <f t="shared" si="8"/>
        <v>1.6839506282978176</v>
      </c>
      <c r="U16" s="493">
        <f t="shared" si="9"/>
        <v>154.50490219883392</v>
      </c>
      <c r="V16" s="500">
        <f t="shared" si="10"/>
        <v>260.17862713281926</v>
      </c>
      <c r="W16" s="489">
        <f t="shared" si="11"/>
        <v>0.42551001615282497</v>
      </c>
      <c r="X16" s="493">
        <f t="shared" si="12"/>
        <v>37.9060089869281</v>
      </c>
      <c r="Y16" s="763">
        <f t="shared" si="13"/>
        <v>16.129386496316904</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1976.5891005069857</v>
      </c>
      <c r="I17" s="487">
        <f>ITECountywide!$B$9*E17</f>
        <v>3.1538901131367418</v>
      </c>
      <c r="J17" s="488">
        <f t="shared" si="1"/>
        <v>1.67</v>
      </c>
      <c r="K17" s="372">
        <f t="shared" si="2"/>
        <v>0.85658336747234742</v>
      </c>
      <c r="L17" s="488">
        <f>Passby_Length_Adj!H12</f>
        <v>1</v>
      </c>
      <c r="M17" s="488">
        <f>Passby_Length_Adj!J12</f>
        <v>1</v>
      </c>
      <c r="N17" s="372">
        <v>0.5</v>
      </c>
      <c r="O17" s="481">
        <f t="shared" si="3"/>
        <v>0.5</v>
      </c>
      <c r="P17" s="489">
        <f t="shared" si="4"/>
        <v>11.832174460353482</v>
      </c>
      <c r="Q17" s="490">
        <f t="shared" si="5"/>
        <v>7.0851344073972946</v>
      </c>
      <c r="R17" s="491">
        <f t="shared" si="6"/>
        <v>261.71052631578948</v>
      </c>
      <c r="S17" s="500">
        <f t="shared" si="7"/>
        <v>1854.2542547780552</v>
      </c>
      <c r="T17" s="489">
        <f t="shared" si="8"/>
        <v>0.74556592703262159</v>
      </c>
      <c r="U17" s="493">
        <f t="shared" si="9"/>
        <v>154.50490219883392</v>
      </c>
      <c r="V17" s="500">
        <f t="shared" si="10"/>
        <v>115.19359063895814</v>
      </c>
      <c r="W17" s="489">
        <f t="shared" si="11"/>
        <v>0.18839374760964772</v>
      </c>
      <c r="X17" s="493">
        <f t="shared" si="12"/>
        <v>37.9060089869281</v>
      </c>
      <c r="Y17" s="763">
        <f t="shared" si="13"/>
        <v>7.141255089972371</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1715.3158286008902</v>
      </c>
      <c r="I18" s="487">
        <f>ITECountywide!$B$9*E18</f>
        <v>2.736996592434759</v>
      </c>
      <c r="J18" s="495">
        <f t="shared" si="1"/>
        <v>1.67</v>
      </c>
      <c r="K18" s="372">
        <f t="shared" si="2"/>
        <v>0.85658336747234742</v>
      </c>
      <c r="L18" s="488">
        <f>Passby_Length_Adj!H13</f>
        <v>1</v>
      </c>
      <c r="M18" s="488">
        <f>Passby_Length_Adj!J13</f>
        <v>1</v>
      </c>
      <c r="N18" s="372">
        <v>0.5</v>
      </c>
      <c r="O18" s="481">
        <f t="shared" si="3"/>
        <v>0.5</v>
      </c>
      <c r="P18" s="489">
        <f t="shared" si="4"/>
        <v>10.268151399502161</v>
      </c>
      <c r="Q18" s="490">
        <f t="shared" si="5"/>
        <v>6.1485936523965039</v>
      </c>
      <c r="R18" s="491">
        <f t="shared" si="6"/>
        <v>261.71052631578948</v>
      </c>
      <c r="S18" s="500">
        <f t="shared" si="7"/>
        <v>1609.1516808706115</v>
      </c>
      <c r="T18" s="489">
        <f t="shared" si="8"/>
        <v>0.64701410909152801</v>
      </c>
      <c r="U18" s="493">
        <f t="shared" si="9"/>
        <v>154.50490219883392</v>
      </c>
      <c r="V18" s="500">
        <f t="shared" si="10"/>
        <v>99.966851646452199</v>
      </c>
      <c r="W18" s="489">
        <f t="shared" si="11"/>
        <v>0.16349112579917705</v>
      </c>
      <c r="X18" s="493">
        <f t="shared" si="12"/>
        <v>37.9060089869281</v>
      </c>
      <c r="Y18" s="763">
        <f t="shared" si="13"/>
        <v>6.1972960838265978</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1124.6110399436297</v>
      </c>
      <c r="I19" s="487">
        <f>ITECountywide!$B$9*E19</f>
        <v>1.7944547195433187</v>
      </c>
      <c r="J19" s="488">
        <f t="shared" si="1"/>
        <v>1.67</v>
      </c>
      <c r="K19" s="372">
        <f t="shared" si="2"/>
        <v>0.85658336747234742</v>
      </c>
      <c r="L19" s="488">
        <f>Passby_Length_Adj!H14</f>
        <v>1</v>
      </c>
      <c r="M19" s="488">
        <f>Passby_Length_Adj!J14</f>
        <v>1</v>
      </c>
      <c r="N19" s="372">
        <v>0.5</v>
      </c>
      <c r="O19" s="481">
        <f t="shared" si="3"/>
        <v>0.5</v>
      </c>
      <c r="P19" s="489">
        <f t="shared" si="4"/>
        <v>6.7320992619252573</v>
      </c>
      <c r="Q19" s="490">
        <f t="shared" si="5"/>
        <v>4.0311971628294954</v>
      </c>
      <c r="R19" s="491">
        <f t="shared" si="6"/>
        <v>261.71052631578948</v>
      </c>
      <c r="S19" s="500">
        <f t="shared" si="7"/>
        <v>1055.0067311668245</v>
      </c>
      <c r="T19" s="489">
        <f t="shared" si="8"/>
        <v>0.424201303311664</v>
      </c>
      <c r="U19" s="493">
        <f t="shared" si="9"/>
        <v>154.50490219883392</v>
      </c>
      <c r="V19" s="500">
        <f t="shared" si="10"/>
        <v>65.541180880786527</v>
      </c>
      <c r="W19" s="489">
        <f t="shared" si="11"/>
        <v>0.10718954605376507</v>
      </c>
      <c r="X19" s="493">
        <f t="shared" si="12"/>
        <v>37.9060089869281</v>
      </c>
      <c r="Y19" s="763">
        <f t="shared" si="13"/>
        <v>4.063127896018762</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15040.252695811776</v>
      </c>
      <c r="I20" s="487">
        <f>ITECountywide!$B$9*E20</f>
        <v>23.998566148235899</v>
      </c>
      <c r="J20" s="488">
        <f t="shared" si="1"/>
        <v>1.67</v>
      </c>
      <c r="K20" s="372">
        <f t="shared" si="2"/>
        <v>0.85658336747234742</v>
      </c>
      <c r="L20" s="488">
        <f>Passby_Length_Adj!H15</f>
        <v>1</v>
      </c>
      <c r="M20" s="488">
        <f>Passby_Length_Adj!J15</f>
        <v>1</v>
      </c>
      <c r="N20" s="372">
        <v>0.5</v>
      </c>
      <c r="O20" s="481">
        <f t="shared" si="3"/>
        <v>0.5</v>
      </c>
      <c r="P20" s="489">
        <f t="shared" si="4"/>
        <v>90.03332750291959</v>
      </c>
      <c r="Q20" s="490">
        <f t="shared" si="5"/>
        <v>53.912172157436885</v>
      </c>
      <c r="R20" s="491">
        <f t="shared" si="6"/>
        <v>261.71052631578948</v>
      </c>
      <c r="S20" s="500">
        <f t="shared" si="7"/>
        <v>14109.382950150259</v>
      </c>
      <c r="T20" s="489">
        <f t="shared" si="8"/>
        <v>5.6731568240873047</v>
      </c>
      <c r="U20" s="493">
        <f t="shared" si="9"/>
        <v>154.50490219883392</v>
      </c>
      <c r="V20" s="500">
        <f t="shared" si="10"/>
        <v>876.53054026425627</v>
      </c>
      <c r="W20" s="489">
        <f t="shared" si="11"/>
        <v>1.4335248381331813</v>
      </c>
      <c r="X20" s="493">
        <f t="shared" si="12"/>
        <v>37.9060089869281</v>
      </c>
      <c r="Y20" s="763">
        <f t="shared" si="13"/>
        <v>54.339205397261019</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10719.564586841283</v>
      </c>
      <c r="I22" s="487">
        <f>ITECountywide!$B$9*E22</f>
        <v>17.110760154029219</v>
      </c>
      <c r="J22" s="488">
        <f t="shared" ref="J22:J35" si="14">IF(F22="Prod",$M$3,$M$4)</f>
        <v>1.67</v>
      </c>
      <c r="K22" s="372">
        <f t="shared" ref="K22:K35" si="15">IF(F22="Prod",$F$4,$F$5)</f>
        <v>0.85662549911783825</v>
      </c>
      <c r="L22" s="488">
        <f>Passby_Length_Adj!H17</f>
        <v>1</v>
      </c>
      <c r="M22" s="488">
        <f>Passby_Length_Adj!J17</f>
        <v>1</v>
      </c>
      <c r="N22" s="372">
        <v>0.5</v>
      </c>
      <c r="O22" s="481">
        <f t="shared" ref="O22:O35" si="16">L22*M22*N22</f>
        <v>0.5</v>
      </c>
      <c r="P22" s="489">
        <f t="shared" ref="P22:P35" si="17">IF($F22="Prod",$I22*$O22*$F$4*$F$6,$I22*O22*$F$5*$F$7)</f>
        <v>64.279102508843906</v>
      </c>
      <c r="Q22" s="490">
        <f t="shared" ref="Q22:Q35" si="18">+P22/J22</f>
        <v>38.49048054421791</v>
      </c>
      <c r="R22" s="491">
        <f t="shared" ref="R22:R35" si="19">+$Q$4</f>
        <v>261.71052631578948</v>
      </c>
      <c r="S22" s="500">
        <f t="shared" ref="S22:S35" si="20">+Q22*R22</f>
        <v>10073.363921374925</v>
      </c>
      <c r="T22" s="489">
        <f t="shared" ref="T22:T35" si="21">IF($F22="Prod",$I22*$O22*$G$4*$G$6,$I22*$O22*$G$5*$G$7)</f>
        <v>3.9309413574082734</v>
      </c>
      <c r="U22" s="493">
        <f t="shared" ref="U22:U35" si="22">+$R$4</f>
        <v>154.50490219883392</v>
      </c>
      <c r="V22" s="500">
        <f t="shared" ref="V22:V35" si="23">+T22*U22</f>
        <v>607.34970997571668</v>
      </c>
      <c r="W22" s="489">
        <f t="shared" ref="W22:W35" si="24">IF($F22="Prod",$I22*$O22*$J$4*$J$6,$I22*$O22*$J$5*$J$7)</f>
        <v>1.0249286730248917</v>
      </c>
      <c r="X22" s="493">
        <f t="shared" ref="X22:X35" si="25">$S$4</f>
        <v>37.9060089869281</v>
      </c>
      <c r="Y22" s="763">
        <f t="shared" ref="Y22:Y35" si="26">+W22*X22</f>
        <v>38.850955490641837</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8312.2047431862502</v>
      </c>
      <c r="I23" s="487">
        <f>ITECountywide!$B$9*E23</f>
        <v>13.268089441471812</v>
      </c>
      <c r="J23" s="488">
        <f t="shared" si="14"/>
        <v>1.67</v>
      </c>
      <c r="K23" s="372">
        <f t="shared" si="15"/>
        <v>0.85662549911783825</v>
      </c>
      <c r="L23" s="488">
        <f>Passby_Length_Adj!H18</f>
        <v>1</v>
      </c>
      <c r="M23" s="488">
        <f>Passby_Length_Adj!J18</f>
        <v>1</v>
      </c>
      <c r="N23" s="372">
        <v>0.5</v>
      </c>
      <c r="O23" s="481">
        <f t="shared" si="16"/>
        <v>0.5</v>
      </c>
      <c r="P23" s="489">
        <f t="shared" si="17"/>
        <v>49.843541352196766</v>
      </c>
      <c r="Q23" s="490">
        <f t="shared" si="18"/>
        <v>29.846431947423216</v>
      </c>
      <c r="R23" s="491">
        <f t="shared" si="19"/>
        <v>261.71052631578948</v>
      </c>
      <c r="S23" s="500">
        <f t="shared" si="20"/>
        <v>7811.1254136085236</v>
      </c>
      <c r="T23" s="489">
        <f t="shared" si="21"/>
        <v>3.0481452051089581</v>
      </c>
      <c r="U23" s="493">
        <f t="shared" si="22"/>
        <v>154.50490219883392</v>
      </c>
      <c r="V23" s="500">
        <f t="shared" si="23"/>
        <v>470.95337680320415</v>
      </c>
      <c r="W23" s="489">
        <f t="shared" si="24"/>
        <v>0.79475401340489493</v>
      </c>
      <c r="X23" s="493">
        <f t="shared" si="25"/>
        <v>37.9060089869281</v>
      </c>
      <c r="Y23" s="763">
        <f t="shared" si="26"/>
        <v>30.125952774523125</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6177.3762025865035</v>
      </c>
      <c r="I24" s="487">
        <f>ITECountywide!$B$9*E24</f>
        <v>9.8604380548642965</v>
      </c>
      <c r="J24" s="488">
        <f t="shared" si="14"/>
        <v>1.67</v>
      </c>
      <c r="K24" s="372">
        <f t="shared" si="15"/>
        <v>0.85662549911783825</v>
      </c>
      <c r="L24" s="488">
        <f>Passby_Length_Adj!H19</f>
        <v>1</v>
      </c>
      <c r="M24" s="488">
        <f>Passby_Length_Adj!J19</f>
        <v>1</v>
      </c>
      <c r="N24" s="372">
        <v>0.5</v>
      </c>
      <c r="O24" s="481">
        <f t="shared" si="16"/>
        <v>0.5</v>
      </c>
      <c r="P24" s="489">
        <f t="shared" si="17"/>
        <v>37.042194666113446</v>
      </c>
      <c r="Q24" s="490">
        <f t="shared" si="18"/>
        <v>22.180954889888291</v>
      </c>
      <c r="R24" s="491">
        <f t="shared" si="19"/>
        <v>261.71052631578948</v>
      </c>
      <c r="S24" s="500">
        <f t="shared" si="20"/>
        <v>5804.9893784194492</v>
      </c>
      <c r="T24" s="489">
        <f t="shared" si="21"/>
        <v>2.2652882398623952</v>
      </c>
      <c r="U24" s="493">
        <f t="shared" si="22"/>
        <v>154.50490219883392</v>
      </c>
      <c r="V24" s="500">
        <f t="shared" si="23"/>
        <v>349.99813795210798</v>
      </c>
      <c r="W24" s="489">
        <f t="shared" si="24"/>
        <v>0.59063686242112401</v>
      </c>
      <c r="X24" s="493">
        <f t="shared" si="25"/>
        <v>37.9060089869281</v>
      </c>
      <c r="Y24" s="763">
        <f t="shared" si="26"/>
        <v>22.388686214946141</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5053.1845774834446</v>
      </c>
      <c r="I25" s="487">
        <f>ITECountywide!$B$9*E25</f>
        <v>8.0659833353209791</v>
      </c>
      <c r="J25" s="488">
        <f t="shared" si="14"/>
        <v>1.67</v>
      </c>
      <c r="K25" s="372">
        <f t="shared" si="15"/>
        <v>0.85662549911783825</v>
      </c>
      <c r="L25" s="488">
        <f>Passby_Length_Adj!H20</f>
        <v>1</v>
      </c>
      <c r="M25" s="488">
        <f>Passby_Length_Adj!J20</f>
        <v>1</v>
      </c>
      <c r="N25" s="372">
        <v>0.5</v>
      </c>
      <c r="O25" s="481">
        <f t="shared" si="16"/>
        <v>0.5</v>
      </c>
      <c r="P25" s="489">
        <f t="shared" si="17"/>
        <v>30.301059975037653</v>
      </c>
      <c r="Q25" s="490">
        <f t="shared" si="18"/>
        <v>18.144347290441708</v>
      </c>
      <c r="R25" s="491">
        <f t="shared" si="19"/>
        <v>261.71052631578948</v>
      </c>
      <c r="S25" s="500">
        <f t="shared" si="20"/>
        <v>4748.5666790379682</v>
      </c>
      <c r="T25" s="489">
        <f t="shared" si="21"/>
        <v>1.8530390932697902</v>
      </c>
      <c r="U25" s="493">
        <f t="shared" si="22"/>
        <v>154.50490219883392</v>
      </c>
      <c r="V25" s="500">
        <f t="shared" si="23"/>
        <v>286.30362387626479</v>
      </c>
      <c r="W25" s="489">
        <f t="shared" si="24"/>
        <v>0.48314963929669158</v>
      </c>
      <c r="X25" s="493">
        <f t="shared" si="25"/>
        <v>37.9060089869281</v>
      </c>
      <c r="Y25" s="763">
        <f t="shared" si="26"/>
        <v>18.314274569211459</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6654.3059829332542</v>
      </c>
      <c r="I26" s="487">
        <f>ITECountywide!$B$9*E26</f>
        <v>10.621721875276615</v>
      </c>
      <c r="J26" s="488">
        <f t="shared" si="14"/>
        <v>1.67</v>
      </c>
      <c r="K26" s="372">
        <f t="shared" si="15"/>
        <v>0.85662549911783825</v>
      </c>
      <c r="L26" s="488">
        <f>Passby_Length_Adj!H22</f>
        <v>1</v>
      </c>
      <c r="M26" s="488">
        <f>Passby_Length_Adj!J22</f>
        <v>1</v>
      </c>
      <c r="N26" s="372">
        <v>0.5</v>
      </c>
      <c r="O26" s="481">
        <f t="shared" si="16"/>
        <v>0.5</v>
      </c>
      <c r="P26" s="489">
        <f t="shared" si="17"/>
        <v>39.902069989600143</v>
      </c>
      <c r="Q26" s="490">
        <f t="shared" si="18"/>
        <v>23.893455083592901</v>
      </c>
      <c r="R26" s="491">
        <f t="shared" si="19"/>
        <v>261.71052631578948</v>
      </c>
      <c r="S26" s="500">
        <f t="shared" si="20"/>
        <v>6253.1687054297736</v>
      </c>
      <c r="T26" s="489">
        <f t="shared" si="21"/>
        <v>2.4401818172047127</v>
      </c>
      <c r="U26" s="493">
        <f t="shared" si="22"/>
        <v>154.50490219883392</v>
      </c>
      <c r="V26" s="500">
        <f t="shared" si="23"/>
        <v>377.02005301458695</v>
      </c>
      <c r="W26" s="489">
        <f t="shared" si="24"/>
        <v>0.63623750253451972</v>
      </c>
      <c r="X26" s="493">
        <f t="shared" si="25"/>
        <v>37.9060089869281</v>
      </c>
      <c r="Y26" s="763">
        <f t="shared" si="26"/>
        <v>24.117224488894195</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3906.2820104591119</v>
      </c>
      <c r="I27" s="487">
        <f>ITECountywide!$B$9*E27</f>
        <v>6.2352770052818345</v>
      </c>
      <c r="J27" s="488">
        <f t="shared" si="14"/>
        <v>1.67</v>
      </c>
      <c r="K27" s="372">
        <f t="shared" si="15"/>
        <v>0.85662549911783825</v>
      </c>
      <c r="L27" s="488">
        <f>Passby_Length_Adj!H22</f>
        <v>1</v>
      </c>
      <c r="M27" s="488">
        <f>Passby_Length_Adj!J22</f>
        <v>1</v>
      </c>
      <c r="N27" s="372">
        <v>0.5</v>
      </c>
      <c r="O27" s="481">
        <f t="shared" si="16"/>
        <v>0.5</v>
      </c>
      <c r="P27" s="489">
        <f t="shared" si="17"/>
        <v>23.423740744748205</v>
      </c>
      <c r="Q27" s="490">
        <f t="shared" si="18"/>
        <v>14.026192062723476</v>
      </c>
      <c r="R27" s="491">
        <f t="shared" si="19"/>
        <v>261.71052631578948</v>
      </c>
      <c r="S27" s="500">
        <f t="shared" si="20"/>
        <v>3670.80210694171</v>
      </c>
      <c r="T27" s="489">
        <f t="shared" si="21"/>
        <v>1.4324616810894557</v>
      </c>
      <c r="U27" s="493">
        <f t="shared" si="22"/>
        <v>154.50490219883392</v>
      </c>
      <c r="V27" s="500">
        <f t="shared" si="23"/>
        <v>221.32235194030358</v>
      </c>
      <c r="W27" s="489">
        <f t="shared" si="24"/>
        <v>0.37349095711924019</v>
      </c>
      <c r="X27" s="493">
        <f t="shared" si="25"/>
        <v>37.9060089869281</v>
      </c>
      <c r="Y27" s="763">
        <f t="shared" si="26"/>
        <v>14.157551577098296</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5677.7354803184762</v>
      </c>
      <c r="I28" s="487">
        <f>ITECountywide!$B$9*E28</f>
        <v>9.0629026239561554</v>
      </c>
      <c r="J28" s="488">
        <f t="shared" si="14"/>
        <v>1.67</v>
      </c>
      <c r="K28" s="372">
        <f t="shared" si="15"/>
        <v>0.85662549911783825</v>
      </c>
      <c r="L28" s="488">
        <f>Passby_Length_Adj!H23</f>
        <v>1</v>
      </c>
      <c r="M28" s="488">
        <f>Passby_Length_Adj!J23</f>
        <v>1</v>
      </c>
      <c r="N28" s="372">
        <v>0.5</v>
      </c>
      <c r="O28" s="481">
        <f t="shared" si="16"/>
        <v>0.5</v>
      </c>
      <c r="P28" s="489">
        <f t="shared" si="17"/>
        <v>34.046134803413089</v>
      </c>
      <c r="Q28" s="490">
        <f t="shared" si="18"/>
        <v>20.386907067912031</v>
      </c>
      <c r="R28" s="491">
        <f t="shared" si="19"/>
        <v>261.71052631578948</v>
      </c>
      <c r="S28" s="500">
        <f t="shared" si="20"/>
        <v>5335.4681786943456</v>
      </c>
      <c r="T28" s="489">
        <f t="shared" si="21"/>
        <v>2.0820663969323485</v>
      </c>
      <c r="U28" s="493">
        <f t="shared" si="22"/>
        <v>154.50490219883392</v>
      </c>
      <c r="V28" s="500">
        <f t="shared" si="23"/>
        <v>321.68946502951104</v>
      </c>
      <c r="W28" s="489">
        <f t="shared" si="24"/>
        <v>0.54286476325470956</v>
      </c>
      <c r="X28" s="493">
        <f t="shared" si="25"/>
        <v>37.9060089869281</v>
      </c>
      <c r="Y28" s="763">
        <f t="shared" si="26"/>
        <v>20.577836594619615</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4848.7861001919791</v>
      </c>
      <c r="I29" s="487">
        <f>ITECountywide!$B$9*E29</f>
        <v>7.739718840858556</v>
      </c>
      <c r="J29" s="488">
        <f t="shared" si="14"/>
        <v>1.67</v>
      </c>
      <c r="K29" s="372">
        <f t="shared" si="15"/>
        <v>0.85662549911783825</v>
      </c>
      <c r="L29" s="488">
        <f>Passby_Length_Adj!H24</f>
        <v>1</v>
      </c>
      <c r="M29" s="488">
        <f>Passby_Length_Adj!J24</f>
        <v>1</v>
      </c>
      <c r="N29" s="372">
        <v>0.5</v>
      </c>
      <c r="O29" s="481">
        <f t="shared" si="16"/>
        <v>0.5</v>
      </c>
      <c r="P29" s="489">
        <f t="shared" si="17"/>
        <v>29.075399122114778</v>
      </c>
      <c r="Q29" s="490">
        <f t="shared" si="18"/>
        <v>17.410418635996873</v>
      </c>
      <c r="R29" s="491">
        <f t="shared" si="19"/>
        <v>261.71052631578948</v>
      </c>
      <c r="S29" s="500">
        <f t="shared" si="20"/>
        <v>4556.4898246049715</v>
      </c>
      <c r="T29" s="489">
        <f t="shared" si="21"/>
        <v>1.7780847029802254</v>
      </c>
      <c r="U29" s="493">
        <f t="shared" si="22"/>
        <v>154.50490219883392</v>
      </c>
      <c r="V29" s="500">
        <f t="shared" si="23"/>
        <v>274.72280313520235</v>
      </c>
      <c r="W29" s="489">
        <f t="shared" si="24"/>
        <v>0.46360650781952195</v>
      </c>
      <c r="X29" s="493">
        <f t="shared" si="25"/>
        <v>37.9060089869281</v>
      </c>
      <c r="Y29" s="763">
        <f t="shared" si="26"/>
        <v>17.573472451805152</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4201.5242554356728</v>
      </c>
      <c r="I30" s="487">
        <f>ITECountywide!$B$9*E30</f>
        <v>6.7065479417275551</v>
      </c>
      <c r="J30" s="488">
        <f t="shared" si="14"/>
        <v>1.67</v>
      </c>
      <c r="K30" s="372">
        <f t="shared" si="15"/>
        <v>0.85662549911783825</v>
      </c>
      <c r="L30" s="488">
        <f>Passby_Length_Adj!H25</f>
        <v>1</v>
      </c>
      <c r="M30" s="488">
        <f>Passby_Length_Adj!J25</f>
        <v>1</v>
      </c>
      <c r="N30" s="372">
        <v>0.5</v>
      </c>
      <c r="O30" s="481">
        <f t="shared" si="16"/>
        <v>0.5</v>
      </c>
      <c r="P30" s="489">
        <f t="shared" si="17"/>
        <v>25.194139754525686</v>
      </c>
      <c r="Q30" s="490">
        <f t="shared" si="18"/>
        <v>15.086311230254903</v>
      </c>
      <c r="R30" s="491">
        <f t="shared" si="19"/>
        <v>261.71052631578948</v>
      </c>
      <c r="S30" s="500">
        <f t="shared" si="20"/>
        <v>3948.2464522338164</v>
      </c>
      <c r="T30" s="489">
        <f t="shared" si="21"/>
        <v>1.5407291337299378</v>
      </c>
      <c r="U30" s="493">
        <f t="shared" si="22"/>
        <v>154.50490219883392</v>
      </c>
      <c r="V30" s="500">
        <f t="shared" si="23"/>
        <v>238.05020412183814</v>
      </c>
      <c r="W30" s="489">
        <f t="shared" si="24"/>
        <v>0.40171992480848506</v>
      </c>
      <c r="X30" s="493">
        <f t="shared" si="25"/>
        <v>37.9060089869281</v>
      </c>
      <c r="Y30" s="763">
        <f t="shared" si="26"/>
        <v>15.227599080018516</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764.12123655813286</v>
      </c>
      <c r="I31" s="487">
        <f>ITECountywide!$B$9*E31</f>
        <v>3.6614126600782866</v>
      </c>
      <c r="J31" s="488">
        <f t="shared" si="14"/>
        <v>1.67</v>
      </c>
      <c r="K31" s="372">
        <f t="shared" si="15"/>
        <v>0.85662549911783825</v>
      </c>
      <c r="L31" s="488">
        <f>Passby_Length_Adj!H26</f>
        <v>0.46525679758308158</v>
      </c>
      <c r="M31" s="488">
        <f>Passby_Length_Adj!J26</f>
        <v>0.71599999999999997</v>
      </c>
      <c r="N31" s="372">
        <v>0.5</v>
      </c>
      <c r="O31" s="481">
        <f t="shared" si="16"/>
        <v>0.16656193353474319</v>
      </c>
      <c r="P31" s="489">
        <f t="shared" si="17"/>
        <v>4.581998354130727</v>
      </c>
      <c r="Q31" s="490">
        <f t="shared" si="18"/>
        <v>2.7437115892998367</v>
      </c>
      <c r="R31" s="491">
        <f t="shared" si="19"/>
        <v>261.71052631578948</v>
      </c>
      <c r="S31" s="500">
        <f t="shared" si="20"/>
        <v>718.0582040943915</v>
      </c>
      <c r="T31" s="489">
        <f t="shared" si="21"/>
        <v>0.28020874789518063</v>
      </c>
      <c r="U31" s="493">
        <f t="shared" si="22"/>
        <v>154.50490219883392</v>
      </c>
      <c r="V31" s="500">
        <f t="shared" si="23"/>
        <v>43.293625188802594</v>
      </c>
      <c r="W31" s="489">
        <f t="shared" si="24"/>
        <v>7.3059848529392707E-2</v>
      </c>
      <c r="X31" s="493">
        <f t="shared" si="25"/>
        <v>37.9060089869281</v>
      </c>
      <c r="Y31" s="763">
        <f t="shared" si="26"/>
        <v>2.7694072749387657</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983.52238368868564</v>
      </c>
      <c r="I32" s="487">
        <f>ITECountywide!$B$9*E32</f>
        <v>4.7127093644572007</v>
      </c>
      <c r="J32" s="495">
        <f t="shared" si="14"/>
        <v>1.67</v>
      </c>
      <c r="K32" s="372">
        <f t="shared" si="15"/>
        <v>0.85662549911783825</v>
      </c>
      <c r="L32" s="488">
        <f>Passby_Length_Adj!H27</f>
        <v>0.46525679758308158</v>
      </c>
      <c r="M32" s="488">
        <f>Passby_Length_Adj!J27</f>
        <v>0.71599999999999997</v>
      </c>
      <c r="N32" s="372">
        <v>0.5</v>
      </c>
      <c r="O32" s="481">
        <f t="shared" si="16"/>
        <v>0.16656193353474319</v>
      </c>
      <c r="P32" s="489">
        <f t="shared" si="17"/>
        <v>5.8976216439306377</v>
      </c>
      <c r="Q32" s="490">
        <f t="shared" si="18"/>
        <v>3.5315099664255318</v>
      </c>
      <c r="R32" s="491">
        <f t="shared" si="19"/>
        <v>261.71052631578948</v>
      </c>
      <c r="S32" s="500">
        <f t="shared" si="20"/>
        <v>924.233332002682</v>
      </c>
      <c r="T32" s="489">
        <f t="shared" si="21"/>
        <v>0.36066472501359881</v>
      </c>
      <c r="U32" s="493">
        <f t="shared" si="22"/>
        <v>154.50490219883392</v>
      </c>
      <c r="V32" s="500">
        <f t="shared" si="23"/>
        <v>55.72446806479541</v>
      </c>
      <c r="W32" s="489">
        <f t="shared" si="24"/>
        <v>9.4037428800208447E-2</v>
      </c>
      <c r="X32" s="493">
        <f t="shared" si="25"/>
        <v>37.9060089869281</v>
      </c>
      <c r="Y32" s="763">
        <f t="shared" si="26"/>
        <v>3.5645836212083126</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907.86681571263284</v>
      </c>
      <c r="I33" s="487">
        <f>ITECountywide!$B$9*E33</f>
        <v>4.3501932594989539</v>
      </c>
      <c r="J33" s="495">
        <f t="shared" si="14"/>
        <v>1.67</v>
      </c>
      <c r="K33" s="372">
        <f t="shared" si="15"/>
        <v>0.85662549911783825</v>
      </c>
      <c r="L33" s="488">
        <f>Passby_Length_Adj!H28</f>
        <v>0.46525679758308158</v>
      </c>
      <c r="M33" s="488">
        <f>Passby_Length_Adj!J28</f>
        <v>0.71599999999999997</v>
      </c>
      <c r="N33" s="372">
        <v>0.5</v>
      </c>
      <c r="O33" s="481">
        <f t="shared" si="16"/>
        <v>0.16656193353474319</v>
      </c>
      <c r="P33" s="489">
        <f t="shared" si="17"/>
        <v>5.4439584405513575</v>
      </c>
      <c r="Q33" s="490">
        <f t="shared" si="18"/>
        <v>3.2598553536235673</v>
      </c>
      <c r="R33" s="491">
        <f t="shared" si="19"/>
        <v>261.71052631578948</v>
      </c>
      <c r="S33" s="500">
        <f t="shared" si="20"/>
        <v>853.13846031016783</v>
      </c>
      <c r="T33" s="489">
        <f t="shared" si="21"/>
        <v>0.33292128462793724</v>
      </c>
      <c r="U33" s="493">
        <f t="shared" si="22"/>
        <v>154.50490219883392</v>
      </c>
      <c r="V33" s="500">
        <f t="shared" si="23"/>
        <v>51.437970521349591</v>
      </c>
      <c r="W33" s="489">
        <f t="shared" si="24"/>
        <v>8.6803780430961625E-2</v>
      </c>
      <c r="X33" s="493">
        <f t="shared" si="25"/>
        <v>37.9060089869281</v>
      </c>
      <c r="Y33" s="763">
        <f t="shared" si="26"/>
        <v>3.2903848811153651</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9799.7714390296896</v>
      </c>
      <c r="I34" s="487">
        <f>ITECountywide!$B$9*E34</f>
        <v>15.642569928948324</v>
      </c>
      <c r="J34" s="495">
        <f t="shared" si="14"/>
        <v>1.67</v>
      </c>
      <c r="K34" s="372">
        <f t="shared" si="15"/>
        <v>0.85662549911783825</v>
      </c>
      <c r="L34" s="488">
        <f>Passby_Length_Adj!H29</f>
        <v>1</v>
      </c>
      <c r="M34" s="488">
        <f>Passby_Length_Adj!J29</f>
        <v>1</v>
      </c>
      <c r="N34" s="372">
        <v>0.5</v>
      </c>
      <c r="O34" s="481">
        <f t="shared" si="16"/>
        <v>0.5</v>
      </c>
      <c r="P34" s="489">
        <f t="shared" si="17"/>
        <v>58.763628670690991</v>
      </c>
      <c r="Q34" s="490">
        <f t="shared" si="18"/>
        <v>35.187801599216165</v>
      </c>
      <c r="R34" s="491">
        <f t="shared" si="19"/>
        <v>261.71052631578948</v>
      </c>
      <c r="S34" s="500">
        <f t="shared" si="20"/>
        <v>9209.0180764264405</v>
      </c>
      <c r="T34" s="489">
        <f t="shared" si="21"/>
        <v>3.5936466011052333</v>
      </c>
      <c r="U34" s="493">
        <f t="shared" si="22"/>
        <v>154.50490219883392</v>
      </c>
      <c r="V34" s="500">
        <f t="shared" si="23"/>
        <v>555.23601664093599</v>
      </c>
      <c r="W34" s="489">
        <f t="shared" si="24"/>
        <v>0.93698458137762886</v>
      </c>
      <c r="X34" s="493">
        <f t="shared" si="25"/>
        <v>37.9060089869281</v>
      </c>
      <c r="Y34" s="763">
        <f t="shared" si="26"/>
        <v>35.517345962313463</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8891.3337621787341</v>
      </c>
      <c r="I35" s="487">
        <f>ITECountywide!$B$9*E35</f>
        <v>14.192505509115339</v>
      </c>
      <c r="J35" s="495">
        <f t="shared" si="14"/>
        <v>1.67</v>
      </c>
      <c r="K35" s="372">
        <f t="shared" si="15"/>
        <v>0.85662549911783825</v>
      </c>
      <c r="L35" s="488">
        <f>Passby_Length_Adj!H30</f>
        <v>1</v>
      </c>
      <c r="M35" s="488">
        <f>Passby_Length_Adj!J30</f>
        <v>1</v>
      </c>
      <c r="N35" s="372">
        <v>0.5</v>
      </c>
      <c r="O35" s="481">
        <f t="shared" si="16"/>
        <v>0.5</v>
      </c>
      <c r="P35" s="489">
        <f t="shared" si="17"/>
        <v>53.316247102144892</v>
      </c>
      <c r="Q35" s="490">
        <f t="shared" si="18"/>
        <v>31.925896468350235</v>
      </c>
      <c r="R35" s="491">
        <f t="shared" si="19"/>
        <v>261.71052631578948</v>
      </c>
      <c r="S35" s="500">
        <f t="shared" si="20"/>
        <v>8355.3431678353445</v>
      </c>
      <c r="T35" s="489">
        <f t="shared" si="21"/>
        <v>3.2605159775960573</v>
      </c>
      <c r="U35" s="493">
        <f t="shared" si="22"/>
        <v>154.50490219883392</v>
      </c>
      <c r="V35" s="500">
        <f t="shared" si="23"/>
        <v>503.76570223621417</v>
      </c>
      <c r="W35" s="489">
        <f t="shared" si="24"/>
        <v>0.85012621925687515</v>
      </c>
      <c r="X35" s="493">
        <f t="shared" si="25"/>
        <v>37.9060089869281</v>
      </c>
      <c r="Y35" s="763">
        <f t="shared" si="26"/>
        <v>32.22489210717432</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5942.1961654176002</v>
      </c>
      <c r="I37" s="487">
        <f>ITECountywide!$B$9*E37</f>
        <v>15.153173187254691</v>
      </c>
      <c r="J37" s="495">
        <f>IF(F37="Prod",$M$3,$M$4)</f>
        <v>1.67</v>
      </c>
      <c r="K37" s="372">
        <f>IF(F37="Prod",$F$4,$F$5)</f>
        <v>0.85662549911783825</v>
      </c>
      <c r="L37" s="488">
        <f>Passby_Length_Adj!H32</f>
        <v>0.9441087613293051</v>
      </c>
      <c r="M37" s="488">
        <f>Passby_Length_Adj!J32</f>
        <v>0.66300000000000003</v>
      </c>
      <c r="N37" s="372">
        <v>0.5</v>
      </c>
      <c r="O37" s="481">
        <f>L37*M37*N37</f>
        <v>0.31297205438066467</v>
      </c>
      <c r="P37" s="489">
        <f>IF($F37="Prod",$I37*$O37*$F$4*$F$6,$I37*O37*$F$5*$F$7)</f>
        <v>35.631954390517684</v>
      </c>
      <c r="Q37" s="490">
        <f>+P37/J37</f>
        <v>21.336499635040532</v>
      </c>
      <c r="R37" s="491">
        <f>+$Q$4</f>
        <v>261.71052631578948</v>
      </c>
      <c r="S37" s="500">
        <f>+Q37*R37</f>
        <v>5583.9865492231074</v>
      </c>
      <c r="T37" s="489">
        <f>IF($F37="Prod",$I37*$O37*$G$4*$G$6,$I37*$O37*$G$5*$G$7)</f>
        <v>2.17904603039067</v>
      </c>
      <c r="U37" s="493">
        <f>+$R$4</f>
        <v>154.50490219883392</v>
      </c>
      <c r="V37" s="500">
        <f>+T37*U37</f>
        <v>336.67329381226773</v>
      </c>
      <c r="W37" s="489">
        <f>IF($F37="Prod",$I37*$O37*$J$4*$J$6,$I37*$O37*$J$5*$J$7)</f>
        <v>0.56815061669120348</v>
      </c>
      <c r="X37" s="493">
        <f>$S$4</f>
        <v>37.9060089869281</v>
      </c>
      <c r="Y37" s="763">
        <f>+W37*X37</f>
        <v>21.536322382225503</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3170.1190069093896</v>
      </c>
      <c r="I38" s="487">
        <f>ITECountywide!$B$9*E38</f>
        <v>8.0841091405688896</v>
      </c>
      <c r="J38" s="495">
        <f>IF(F38="Prod",$M$3,$M$4)</f>
        <v>1.67</v>
      </c>
      <c r="K38" s="372">
        <f>IF(F38="Prod",$F$4,$F$5)</f>
        <v>0.85662549911783825</v>
      </c>
      <c r="L38" s="488">
        <f>Passby_Length_Adj!H33</f>
        <v>0.9441087613293051</v>
      </c>
      <c r="M38" s="488">
        <f>Passby_Length_Adj!J33</f>
        <v>0.66300000000000003</v>
      </c>
      <c r="N38" s="372">
        <v>0.5</v>
      </c>
      <c r="O38" s="481">
        <f>L38*M38*N38</f>
        <v>0.31297205438066467</v>
      </c>
      <c r="P38" s="489">
        <f>IF($F38="Prod",$I38*$O38*$F$4*$F$6,$I38*O38*$F$5*$F$7)</f>
        <v>19.009391935611106</v>
      </c>
      <c r="Q38" s="490">
        <f>+P38/J38</f>
        <v>11.382869422521621</v>
      </c>
      <c r="R38" s="491">
        <f>+$Q$4</f>
        <v>261.71052631578948</v>
      </c>
      <c r="S38" s="500">
        <f>+Q38*R38</f>
        <v>2979.0167475520402</v>
      </c>
      <c r="T38" s="489">
        <f>IF($F38="Prod",$I38*$O38*$G$4*$G$6,$I38*$O38*$G$5*$G$7)</f>
        <v>1.16250541812708</v>
      </c>
      <c r="U38" s="493">
        <f>+$R$4</f>
        <v>154.50490219883392</v>
      </c>
      <c r="V38" s="500">
        <f>+T38*U38</f>
        <v>179.61278593333901</v>
      </c>
      <c r="W38" s="489">
        <f>IF($F38="Prod",$I38*$O38*$J$4*$J$6,$I38*$O38*$J$5*$J$7)</f>
        <v>0.30310427636875209</v>
      </c>
      <c r="X38" s="493">
        <f>$S$4</f>
        <v>37.9060089869281</v>
      </c>
      <c r="Y38" s="763">
        <f>+W38*X38</f>
        <v>11.489473424010255</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1910.3391132820645</v>
      </c>
      <c r="I39" s="487">
        <f>ITECountywide!$B$9*E39</f>
        <v>6.0721447580506238</v>
      </c>
      <c r="J39" s="495">
        <f>IF(F39="Prod",$M$3,$M$4)</f>
        <v>1.67</v>
      </c>
      <c r="K39" s="372">
        <f>IF(F39="Prod",$F$4,$F$5)</f>
        <v>0.85662549911783825</v>
      </c>
      <c r="L39" s="488">
        <f>Passby_Length_Adj!H34</f>
        <v>0.65558912386706947</v>
      </c>
      <c r="M39" s="488">
        <f>Passby_Length_Adj!J34</f>
        <v>0.76600000000000001</v>
      </c>
      <c r="N39" s="372">
        <v>0.5</v>
      </c>
      <c r="O39" s="481">
        <f>L39*M39*N39</f>
        <v>0.25109063444108759</v>
      </c>
      <c r="P39" s="489">
        <f>IF($F39="Prod",$I39*$O39*$F$4*$F$6,$I39*O39*$F$5*$F$7)</f>
        <v>11.455211887994752</v>
      </c>
      <c r="Q39" s="490">
        <f>+P39/J39</f>
        <v>6.8594083161645223</v>
      </c>
      <c r="R39" s="491">
        <f>+$Q$4</f>
        <v>261.71052631578948</v>
      </c>
      <c r="S39" s="500">
        <f>+Q39*R39</f>
        <v>1795.1793606383203</v>
      </c>
      <c r="T39" s="489">
        <f>IF($F39="Prod",$I39*$O39*$G$4*$G$6,$I39*$O39*$G$5*$G$7)</f>
        <v>0.70053507922264491</v>
      </c>
      <c r="U39" s="493">
        <f>+$R$4</f>
        <v>154.50490219883392</v>
      </c>
      <c r="V39" s="500">
        <f>+T39*U39</f>
        <v>108.23610390214712</v>
      </c>
      <c r="W39" s="489">
        <f>IF($F39="Prod",$I39*$O39*$J$4*$J$6,$I39*$O39*$J$5*$J$7)</f>
        <v>0.18265306548059002</v>
      </c>
      <c r="X39" s="493">
        <f>$S$4</f>
        <v>37.9060089869281</v>
      </c>
      <c r="Y39" s="763">
        <f>+W39*X39</f>
        <v>6.9236487415972121</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2857.3718403084636</v>
      </c>
      <c r="I40" s="487">
        <f>ITECountywide!$B$9*E40</f>
        <v>7.2865737096607477</v>
      </c>
      <c r="J40" s="495">
        <f>IF(F40="Prod",$M$3,$M$4)</f>
        <v>1.67</v>
      </c>
      <c r="K40" s="372">
        <f>IF(F40="Prod",$F$4,$F$5)</f>
        <v>0.85662549911783825</v>
      </c>
      <c r="L40" s="488">
        <f>Passby_Length_Adj!H35</f>
        <v>0.9441087613293051</v>
      </c>
      <c r="M40" s="488">
        <f>Passby_Length_Adj!J35</f>
        <v>0.66300000000000003</v>
      </c>
      <c r="N40" s="372">
        <v>0.5</v>
      </c>
      <c r="O40" s="481">
        <f>L40*M40*N40</f>
        <v>0.31297205438066467</v>
      </c>
      <c r="P40" s="489">
        <f>IF($F40="Prod",$I40*$O40*$F$4*$F$6,$I40*O40*$F$5*$F$7)</f>
        <v>17.134025915057546</v>
      </c>
      <c r="Q40" s="490">
        <f>+P40/J40</f>
        <v>10.259895757519489</v>
      </c>
      <c r="R40" s="491">
        <f>+$Q$4</f>
        <v>261.71052631578948</v>
      </c>
      <c r="S40" s="500">
        <f>+Q40*R40</f>
        <v>2685.1227186455612</v>
      </c>
      <c r="T40" s="489">
        <f>IF($F40="Prod",$I40*$O40*$G$4*$G$6,$I40*$O40*$G$5*$G$7)</f>
        <v>1.0478187849486233</v>
      </c>
      <c r="U40" s="493">
        <f>+$R$4</f>
        <v>154.50490219883392</v>
      </c>
      <c r="V40" s="500">
        <f>+T40*U40</f>
        <v>161.89313889058803</v>
      </c>
      <c r="W40" s="489">
        <f>IF($F40="Prod",$I40*$O40*$J$4*$J$6,$I40*$O40*$J$5*$J$7)</f>
        <v>0.27320161233237295</v>
      </c>
      <c r="X40" s="493">
        <f>$S$4</f>
        <v>37.9060089869281</v>
      </c>
      <c r="Y40" s="763">
        <f>+W40*X40</f>
        <v>10.355982772314176</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2584.6766439547941</v>
      </c>
      <c r="I42" s="487">
        <f>ITECountywide!$B$9*E42</f>
        <v>4.368319064746867</v>
      </c>
      <c r="J42" s="495">
        <f t="shared" ref="J42:J50" si="27">IF(F42="Prod",$M$3,$M$4)</f>
        <v>1.67</v>
      </c>
      <c r="K42" s="372">
        <f t="shared" ref="K42:K50" si="28">IF(F42="Prod",$F$4,$F$5)</f>
        <v>0.85658336747234742</v>
      </c>
      <c r="L42" s="488">
        <f>Passby_Length_Adj!H37</f>
        <v>0.9441087613293051</v>
      </c>
      <c r="M42" s="488">
        <f>Passby_Length_Adj!J37</f>
        <v>1</v>
      </c>
      <c r="N42" s="372">
        <v>0.5</v>
      </c>
      <c r="O42" s="481">
        <f t="shared" ref="O42:O50" si="29">L42*M42*N42</f>
        <v>0.47205438066465255</v>
      </c>
      <c r="P42" s="489">
        <f t="shared" ref="P42:P50" si="30">IF($F42="Prod",$I42*$O42*$F$4*$F$6,$I42*O42*$F$5*$F$7)</f>
        <v>15.472282512855015</v>
      </c>
      <c r="Q42" s="490">
        <f t="shared" ref="Q42:Q50" si="31">+P42/J42</f>
        <v>9.2648398280568962</v>
      </c>
      <c r="R42" s="491">
        <f t="shared" ref="R42:R50" si="32">+$Q$4</f>
        <v>261.71052631578948</v>
      </c>
      <c r="S42" s="500">
        <f t="shared" ref="S42:S50" si="33">+Q42*R42</f>
        <v>2424.7061076322589</v>
      </c>
      <c r="T42" s="489">
        <f t="shared" ref="T42:T50" si="34">IF($F42="Prod",$I42*$O42*$G$4*$G$6,$I42*$O42*$G$5*$G$7)</f>
        <v>0.97493547730048835</v>
      </c>
      <c r="U42" s="493">
        <f t="shared" ref="U42:U50" si="35">+$R$4</f>
        <v>154.50490219883392</v>
      </c>
      <c r="V42" s="500">
        <f t="shared" ref="V42:V50" si="36">+T42*U42</f>
        <v>150.63231057048543</v>
      </c>
      <c r="W42" s="489">
        <f t="shared" ref="W42:W50" si="37">IF($F42="Prod",$I42*$O42*$J$4*$J$6,$I42*$O42*$J$5*$J$7)</f>
        <v>0.24635212204138615</v>
      </c>
      <c r="X42" s="493">
        <f t="shared" ref="X42:X50" si="38">$S$4</f>
        <v>37.9060089869281</v>
      </c>
      <c r="Y42" s="763">
        <f t="shared" ref="Y42:Y50" si="39">+W42*X42</f>
        <v>9.3382257520495919</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22028.084803845286</v>
      </c>
      <c r="I43" s="487">
        <f>ITECountywide!$B$9*E43</f>
        <v>55.066196343157593</v>
      </c>
      <c r="J43" s="495">
        <f t="shared" si="27"/>
        <v>1.67</v>
      </c>
      <c r="K43" s="372">
        <f t="shared" si="28"/>
        <v>0.85658336747234742</v>
      </c>
      <c r="L43" s="488">
        <f>Passby_Length_Adj!H38</f>
        <v>0.63829555828418605</v>
      </c>
      <c r="M43" s="488">
        <f>Passby_Length_Adj!J38</f>
        <v>1</v>
      </c>
      <c r="N43" s="372">
        <v>0.5</v>
      </c>
      <c r="O43" s="481">
        <f t="shared" si="29"/>
        <v>0.31914777914209302</v>
      </c>
      <c r="P43" s="489">
        <f t="shared" si="30"/>
        <v>131.86359388489285</v>
      </c>
      <c r="Q43" s="490">
        <f t="shared" si="31"/>
        <v>78.960235859217278</v>
      </c>
      <c r="R43" s="491">
        <f t="shared" si="32"/>
        <v>261.71052631578948</v>
      </c>
      <c r="S43" s="500">
        <f t="shared" si="33"/>
        <v>20664.724884734627</v>
      </c>
      <c r="T43" s="489">
        <f t="shared" si="34"/>
        <v>8.3089547864650211</v>
      </c>
      <c r="U43" s="493">
        <f t="shared" si="35"/>
        <v>154.50490219883392</v>
      </c>
      <c r="V43" s="500">
        <f t="shared" si="36"/>
        <v>1283.7742466573111</v>
      </c>
      <c r="W43" s="489">
        <f t="shared" si="37"/>
        <v>2.0995529358100278</v>
      </c>
      <c r="X43" s="493">
        <f t="shared" si="38"/>
        <v>37.9060089869281</v>
      </c>
      <c r="Y43" s="763">
        <f t="shared" si="39"/>
        <v>79.585672453346191</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26118.730946474494</v>
      </c>
      <c r="I44" s="487">
        <f>ITECountywide!$B$9*E44</f>
        <v>141.54441318094723</v>
      </c>
      <c r="J44" s="495">
        <f t="shared" si="27"/>
        <v>1.67</v>
      </c>
      <c r="K44" s="372">
        <f t="shared" si="28"/>
        <v>0.85658336747234742</v>
      </c>
      <c r="L44" s="488">
        <f>Passby_Length_Adj!H39</f>
        <v>0.33534743202416922</v>
      </c>
      <c r="M44" s="488">
        <f>Passby_Length_Adj!J39</f>
        <v>0.878</v>
      </c>
      <c r="N44" s="372">
        <v>0.5</v>
      </c>
      <c r="O44" s="481">
        <f t="shared" si="29"/>
        <v>0.14721752265861029</v>
      </c>
      <c r="P44" s="489">
        <f t="shared" si="30"/>
        <v>156.35084761038698</v>
      </c>
      <c r="Q44" s="490">
        <f t="shared" si="31"/>
        <v>93.6232620421479</v>
      </c>
      <c r="R44" s="491">
        <f t="shared" si="32"/>
        <v>261.71052631578948</v>
      </c>
      <c r="S44" s="500">
        <f t="shared" si="33"/>
        <v>24502.193184451604</v>
      </c>
      <c r="T44" s="489">
        <f t="shared" si="34"/>
        <v>9.8519393059635316</v>
      </c>
      <c r="U44" s="493">
        <f t="shared" si="35"/>
        <v>154.50490219883392</v>
      </c>
      <c r="V44" s="500">
        <f t="shared" si="36"/>
        <v>1522.1729189367431</v>
      </c>
      <c r="W44" s="489">
        <f t="shared" si="37"/>
        <v>2.4894428510975284</v>
      </c>
      <c r="X44" s="493">
        <f t="shared" si="38"/>
        <v>37.9060089869281</v>
      </c>
      <c r="Y44" s="763">
        <f t="shared" si="39"/>
        <v>94.36484308614682</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73583.311668899827</v>
      </c>
      <c r="I45" s="487">
        <f>ITECountywide!$B$9*E45</f>
        <v>398.76771545407081</v>
      </c>
      <c r="J45" s="495">
        <f t="shared" si="27"/>
        <v>1.67</v>
      </c>
      <c r="K45" s="372">
        <f t="shared" si="28"/>
        <v>0.85658336747234742</v>
      </c>
      <c r="L45" s="488">
        <f>Passby_Length_Adj!H40</f>
        <v>0.33534743202416922</v>
      </c>
      <c r="M45" s="488">
        <f>Passby_Length_Adj!J40</f>
        <v>0.878</v>
      </c>
      <c r="N45" s="372">
        <v>0.5</v>
      </c>
      <c r="O45" s="481">
        <f t="shared" si="29"/>
        <v>0.14721752265861029</v>
      </c>
      <c r="P45" s="489">
        <f t="shared" si="30"/>
        <v>440.48132250333117</v>
      </c>
      <c r="Q45" s="490">
        <f t="shared" si="31"/>
        <v>263.76127096007855</v>
      </c>
      <c r="R45" s="491">
        <f t="shared" si="32"/>
        <v>261.71052631578948</v>
      </c>
      <c r="S45" s="500">
        <f t="shared" si="33"/>
        <v>69029.101044683717</v>
      </c>
      <c r="T45" s="489">
        <f t="shared" si="34"/>
        <v>27.755495547598628</v>
      </c>
      <c r="U45" s="493">
        <f t="shared" si="35"/>
        <v>154.50490219883392</v>
      </c>
      <c r="V45" s="500">
        <f t="shared" si="36"/>
        <v>4288.3601250618958</v>
      </c>
      <c r="W45" s="489">
        <f t="shared" si="37"/>
        <v>7.0134130777494716</v>
      </c>
      <c r="X45" s="493">
        <f t="shared" si="38"/>
        <v>37.9060089869281</v>
      </c>
      <c r="Y45" s="763">
        <f t="shared" si="39"/>
        <v>265.85049915421052</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38726.794251921543</v>
      </c>
      <c r="I46" s="487">
        <f>ITECountywide!$B$9*E46</f>
        <v>96.80992582909964</v>
      </c>
      <c r="J46" s="495">
        <f t="shared" si="27"/>
        <v>1.67</v>
      </c>
      <c r="K46" s="372">
        <f t="shared" si="28"/>
        <v>0.85658336747234742</v>
      </c>
      <c r="L46" s="488">
        <f>Passby_Length_Adj!H41</f>
        <v>0.63829555828418605</v>
      </c>
      <c r="M46" s="488">
        <f>Passby_Length_Adj!J41</f>
        <v>1</v>
      </c>
      <c r="N46" s="372">
        <v>0.5</v>
      </c>
      <c r="O46" s="481">
        <f t="shared" si="29"/>
        <v>0.31914777914209302</v>
      </c>
      <c r="P46" s="489">
        <f t="shared" si="30"/>
        <v>231.82470537827933</v>
      </c>
      <c r="Q46" s="490">
        <f t="shared" si="31"/>
        <v>138.81718884926906</v>
      </c>
      <c r="R46" s="491">
        <f t="shared" si="32"/>
        <v>261.71052631578948</v>
      </c>
      <c r="S46" s="500">
        <f t="shared" si="33"/>
        <v>36329.919555420551</v>
      </c>
      <c r="T46" s="489">
        <f t="shared" si="34"/>
        <v>14.607678576204636</v>
      </c>
      <c r="U46" s="493">
        <f t="shared" si="35"/>
        <v>154.50490219883392</v>
      </c>
      <c r="V46" s="500">
        <f t="shared" si="36"/>
        <v>2256.9579497684986</v>
      </c>
      <c r="W46" s="489">
        <f t="shared" si="37"/>
        <v>3.6911495161821457</v>
      </c>
      <c r="X46" s="493">
        <f t="shared" si="38"/>
        <v>37.9060089869281</v>
      </c>
      <c r="Y46" s="763">
        <f t="shared" si="39"/>
        <v>139.91674673249571</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21984.57969890023</v>
      </c>
      <c r="I47" s="487">
        <f>ITECountywide!$B$9*E47</f>
        <v>54.957441511670126</v>
      </c>
      <c r="J47" s="495">
        <f t="shared" si="27"/>
        <v>1.67</v>
      </c>
      <c r="K47" s="372">
        <f t="shared" si="28"/>
        <v>0.85658336747234742</v>
      </c>
      <c r="L47" s="488">
        <f>Passby_Length_Adj!H42</f>
        <v>0.63829555828418605</v>
      </c>
      <c r="M47" s="488">
        <f>Passby_Length_Adj!J42</f>
        <v>1</v>
      </c>
      <c r="N47" s="372">
        <v>0.5</v>
      </c>
      <c r="O47" s="481">
        <f t="shared" si="29"/>
        <v>0.31914777914209302</v>
      </c>
      <c r="P47" s="489">
        <f t="shared" si="30"/>
        <v>131.60316545720707</v>
      </c>
      <c r="Q47" s="490">
        <f t="shared" si="31"/>
        <v>78.804290692938366</v>
      </c>
      <c r="R47" s="491">
        <f t="shared" si="32"/>
        <v>261.71052631578948</v>
      </c>
      <c r="S47" s="500">
        <f t="shared" si="33"/>
        <v>20623.912393191371</v>
      </c>
      <c r="T47" s="489">
        <f t="shared" si="34"/>
        <v>8.2925447375121628</v>
      </c>
      <c r="U47" s="493">
        <f t="shared" si="35"/>
        <v>154.50490219883392</v>
      </c>
      <c r="V47" s="500">
        <f t="shared" si="36"/>
        <v>1281.2388136487716</v>
      </c>
      <c r="W47" s="489">
        <f t="shared" si="37"/>
        <v>2.0954063533166574</v>
      </c>
      <c r="X47" s="493">
        <f t="shared" si="38"/>
        <v>37.9060089869281</v>
      </c>
      <c r="Y47" s="763">
        <f t="shared" si="39"/>
        <v>79.42849206008745</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28060.792689559341</v>
      </c>
      <c r="I48" s="487">
        <f>ITECountywide!$B$9*E48</f>
        <v>70.146866309420645</v>
      </c>
      <c r="J48" s="495">
        <f t="shared" si="27"/>
        <v>1.67</v>
      </c>
      <c r="K48" s="372">
        <f t="shared" si="28"/>
        <v>0.85658336747234742</v>
      </c>
      <c r="L48" s="488">
        <f>Passby_Length_Adj!H43</f>
        <v>0.63829555828418605</v>
      </c>
      <c r="M48" s="488">
        <f>Passby_Length_Adj!J43</f>
        <v>1</v>
      </c>
      <c r="N48" s="372">
        <v>0.5</v>
      </c>
      <c r="O48" s="481">
        <f t="shared" si="29"/>
        <v>0.31914777914209302</v>
      </c>
      <c r="P48" s="489">
        <f t="shared" si="30"/>
        <v>167.9763358573191</v>
      </c>
      <c r="Q48" s="490">
        <f t="shared" si="31"/>
        <v>100.58463224989168</v>
      </c>
      <c r="R48" s="491">
        <f t="shared" si="32"/>
        <v>261.71052631578948</v>
      </c>
      <c r="S48" s="500">
        <f t="shared" si="33"/>
        <v>26324.057045399284</v>
      </c>
      <c r="T48" s="489">
        <f t="shared" si="34"/>
        <v>10.584481574595012</v>
      </c>
      <c r="U48" s="493">
        <f t="shared" si="35"/>
        <v>154.50490219883392</v>
      </c>
      <c r="V48" s="500">
        <f t="shared" si="36"/>
        <v>1635.354290508162</v>
      </c>
      <c r="W48" s="489">
        <f t="shared" si="37"/>
        <v>2.6745457082240978</v>
      </c>
      <c r="X48" s="493">
        <f t="shared" si="38"/>
        <v>37.9060089869281</v>
      </c>
      <c r="Y48" s="763">
        <f t="shared" si="39"/>
        <v>101.38135365189262</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2739.9515094394519</v>
      </c>
      <c r="I49" s="487">
        <f>ITECountywide!$B$9*E49</f>
        <v>7.2865737096607477</v>
      </c>
      <c r="J49" s="495">
        <f t="shared" si="27"/>
        <v>1.67</v>
      </c>
      <c r="K49" s="372">
        <f t="shared" si="28"/>
        <v>0.85658336747234742</v>
      </c>
      <c r="L49" s="488">
        <f>Passby_Length_Adj!H44</f>
        <v>0.63829555828418605</v>
      </c>
      <c r="M49" s="488">
        <f>Passby_Length_Adj!J44</f>
        <v>0.94</v>
      </c>
      <c r="N49" s="372">
        <v>0.5</v>
      </c>
      <c r="O49" s="481">
        <f t="shared" si="29"/>
        <v>0.29999891239356741</v>
      </c>
      <c r="P49" s="489">
        <f t="shared" si="30"/>
        <v>16.401782375649539</v>
      </c>
      <c r="Q49" s="490">
        <f t="shared" si="31"/>
        <v>9.8214265722452332</v>
      </c>
      <c r="R49" s="491">
        <f t="shared" si="32"/>
        <v>261.71052631578948</v>
      </c>
      <c r="S49" s="500">
        <f t="shared" si="33"/>
        <v>2570.3707173941802</v>
      </c>
      <c r="T49" s="489">
        <f t="shared" si="34"/>
        <v>1.0335048830511528</v>
      </c>
      <c r="U49" s="493">
        <f t="shared" si="35"/>
        <v>154.50490219883392</v>
      </c>
      <c r="V49" s="500">
        <f t="shared" si="36"/>
        <v>159.68157087783567</v>
      </c>
      <c r="W49" s="489">
        <f t="shared" si="37"/>
        <v>0.26115176543248625</v>
      </c>
      <c r="X49" s="493">
        <f t="shared" si="38"/>
        <v>37.9060089869281</v>
      </c>
      <c r="Y49" s="763">
        <f t="shared" si="39"/>
        <v>9.8992211674359627</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20896.952075273897</v>
      </c>
      <c r="I50" s="487">
        <f>ITECountywide!$B$9*E50</f>
        <v>52.238570724483274</v>
      </c>
      <c r="J50" s="495">
        <f t="shared" si="27"/>
        <v>1.67</v>
      </c>
      <c r="K50" s="372">
        <f t="shared" si="28"/>
        <v>0.85658336747234742</v>
      </c>
      <c r="L50" s="488">
        <f>Passby_Length_Adj!H45</f>
        <v>0.63829555828418605</v>
      </c>
      <c r="M50" s="488">
        <f>Passby_Length_Adj!J45</f>
        <v>1</v>
      </c>
      <c r="N50" s="372">
        <v>0.5</v>
      </c>
      <c r="O50" s="481">
        <f t="shared" si="29"/>
        <v>0.31914777914209302</v>
      </c>
      <c r="P50" s="489">
        <f t="shared" si="30"/>
        <v>125.09245476506293</v>
      </c>
      <c r="Q50" s="490">
        <f t="shared" si="31"/>
        <v>74.90566153596582</v>
      </c>
      <c r="R50" s="491">
        <f t="shared" si="32"/>
        <v>261.71052631578948</v>
      </c>
      <c r="S50" s="500">
        <f t="shared" si="33"/>
        <v>19603.600104610003</v>
      </c>
      <c r="T50" s="489">
        <f t="shared" si="34"/>
        <v>7.8822935136906489</v>
      </c>
      <c r="U50" s="493">
        <f t="shared" si="35"/>
        <v>154.50490219883392</v>
      </c>
      <c r="V50" s="500">
        <f t="shared" si="36"/>
        <v>1217.8529884352768</v>
      </c>
      <c r="W50" s="489">
        <f t="shared" si="37"/>
        <v>1.9917417909823896</v>
      </c>
      <c r="X50" s="493">
        <f t="shared" si="38"/>
        <v>37.9060089869281</v>
      </c>
      <c r="Y50" s="763">
        <f t="shared" si="39"/>
        <v>75.498982228618729</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1000.6185042788369</v>
      </c>
      <c r="I52" s="487">
        <f>ITECountywide!$B$9*E52</f>
        <v>3.4257771918554263</v>
      </c>
      <c r="J52" s="495">
        <f t="shared" ref="J52:J60" si="40">IF(F52="Prod",$M$3,$M$4)</f>
        <v>1.67</v>
      </c>
      <c r="K52" s="372">
        <f t="shared" ref="K52:K60" si="41">IF(F52="Prod",$F$4,$F$5)</f>
        <v>0.85658336747234742</v>
      </c>
      <c r="L52" s="488">
        <f>Passby_Length_Adj!H47</f>
        <v>0.87013619005702103</v>
      </c>
      <c r="M52" s="488">
        <f>Passby_Length_Adj!J47</f>
        <v>0.53561452513966479</v>
      </c>
      <c r="N52" s="372">
        <v>0.5</v>
      </c>
      <c r="O52" s="481">
        <f t="shared" ref="O52:O60" si="42">L52*M52*N52</f>
        <v>0.23302879112211422</v>
      </c>
      <c r="P52" s="489">
        <f t="shared" ref="P52:P60" si="43">IF($F52="Prod",$I52*$O52*$F$4*$F$6,$I52*O52*$F$5*$F$7)</f>
        <v>5.9898603649328939</v>
      </c>
      <c r="Q52" s="490">
        <f t="shared" ref="Q52:Q60" si="44">+P52/J52</f>
        <v>3.5867427334927511</v>
      </c>
      <c r="R52" s="491">
        <f t="shared" ref="R52:R60" si="45">+$Q$4</f>
        <v>261.71052631578948</v>
      </c>
      <c r="S52" s="500">
        <f t="shared" ref="S52:S60" si="46">+Q52*R52</f>
        <v>938.68832854172138</v>
      </c>
      <c r="T52" s="489">
        <f t="shared" ref="T52:T60" si="47">IF($F52="Prod",$I52*$O52*$G$4*$G$6,$I52*$O52*$G$5*$G$7)</f>
        <v>0.37743153726654355</v>
      </c>
      <c r="U52" s="493">
        <f t="shared" ref="U52:U60" si="48">+$R$4</f>
        <v>154.50490219883392</v>
      </c>
      <c r="V52" s="500">
        <f t="shared" ref="V52:V60" si="49">+T52*U52</f>
        <v>58.31502275212285</v>
      </c>
      <c r="W52" s="489">
        <f t="shared" ref="W52:W60" si="50">IF($F52="Prod",$I52*$O52*$J$4*$J$6,$I52*$O52*$J$5*$J$7)</f>
        <v>9.5371501289923319E-2</v>
      </c>
      <c r="X52" s="493">
        <f t="shared" ref="X52:X60" si="51">$S$4</f>
        <v>37.9060089869281</v>
      </c>
      <c r="Y52" s="763">
        <f t="shared" ref="Y52:Y60" si="52">+W52*X52</f>
        <v>3.6151529849926582</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1074.7383934846766</v>
      </c>
      <c r="I53" s="487">
        <f>ITECountywide!$B$9*E53</f>
        <v>3.6795384653261984</v>
      </c>
      <c r="J53" s="495">
        <f t="shared" si="40"/>
        <v>1.67</v>
      </c>
      <c r="K53" s="372">
        <f t="shared" si="41"/>
        <v>0.85658336747234742</v>
      </c>
      <c r="L53" s="488">
        <f>Passby_Length_Adj!H48</f>
        <v>0.87013619005702103</v>
      </c>
      <c r="M53" s="488">
        <f>Passby_Length_Adj!J48</f>
        <v>0.53561452513966479</v>
      </c>
      <c r="N53" s="372">
        <v>0.5</v>
      </c>
      <c r="O53" s="481">
        <f t="shared" si="42"/>
        <v>0.23302879112211422</v>
      </c>
      <c r="P53" s="489">
        <f t="shared" si="43"/>
        <v>6.4335537252982933</v>
      </c>
      <c r="Q53" s="490">
        <f t="shared" si="44"/>
        <v>3.8524273804181397</v>
      </c>
      <c r="R53" s="491">
        <f t="shared" si="45"/>
        <v>261.71052631578948</v>
      </c>
      <c r="S53" s="500">
        <f t="shared" si="46"/>
        <v>1008.2207973225895</v>
      </c>
      <c r="T53" s="489">
        <f t="shared" si="47"/>
        <v>0.40538942891591712</v>
      </c>
      <c r="U53" s="493">
        <f t="shared" si="48"/>
        <v>154.50490219883392</v>
      </c>
      <c r="V53" s="500">
        <f t="shared" si="49"/>
        <v>62.634654067094907</v>
      </c>
      <c r="W53" s="489">
        <f t="shared" si="50"/>
        <v>0.10243605694102874</v>
      </c>
      <c r="X53" s="493">
        <f t="shared" si="51"/>
        <v>37.9060089869281</v>
      </c>
      <c r="Y53" s="763">
        <f t="shared" si="52"/>
        <v>3.8829420949921141</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1916.1479988505594</v>
      </c>
      <c r="I54" s="487">
        <f>ITECountywide!$B$9*E54</f>
        <v>7.4497059568919601</v>
      </c>
      <c r="J54" s="495">
        <f t="shared" si="40"/>
        <v>1.67</v>
      </c>
      <c r="K54" s="372">
        <f t="shared" si="41"/>
        <v>0.85658336747234742</v>
      </c>
      <c r="L54" s="488">
        <f>Passby_Length_Adj!H49</f>
        <v>0.76624514210263772</v>
      </c>
      <c r="M54" s="488">
        <f>Passby_Length_Adj!J49</f>
        <v>0.53561452513966479</v>
      </c>
      <c r="N54" s="372">
        <v>0.5</v>
      </c>
      <c r="O54" s="481">
        <f t="shared" si="42"/>
        <v>0.20520601396393964</v>
      </c>
      <c r="P54" s="489">
        <f t="shared" si="43"/>
        <v>11.470364482148419</v>
      </c>
      <c r="Q54" s="490">
        <f t="shared" si="44"/>
        <v>6.8684817258373769</v>
      </c>
      <c r="R54" s="491">
        <f t="shared" si="45"/>
        <v>261.71052631578948</v>
      </c>
      <c r="S54" s="500">
        <f t="shared" si="46"/>
        <v>1797.5539674592819</v>
      </c>
      <c r="T54" s="489">
        <f t="shared" si="47"/>
        <v>0.72276764995227749</v>
      </c>
      <c r="U54" s="493">
        <f t="shared" si="48"/>
        <v>154.50490219883392</v>
      </c>
      <c r="V54" s="500">
        <f t="shared" si="49"/>
        <v>111.67114506835766</v>
      </c>
      <c r="W54" s="489">
        <f t="shared" si="50"/>
        <v>0.18263295208174096</v>
      </c>
      <c r="X54" s="493">
        <f t="shared" si="51"/>
        <v>37.9060089869281</v>
      </c>
      <c r="Y54" s="763">
        <f t="shared" si="52"/>
        <v>6.9228863229196822</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1156.2158241239383</v>
      </c>
      <c r="I55" s="487">
        <f>ITECountywide!$B$9*E55</f>
        <v>4.4951997014822531</v>
      </c>
      <c r="J55" s="495">
        <f t="shared" si="40"/>
        <v>1.67</v>
      </c>
      <c r="K55" s="372">
        <f t="shared" si="41"/>
        <v>0.85658336747234742</v>
      </c>
      <c r="L55" s="488">
        <f>Passby_Length_Adj!H50</f>
        <v>0.76624514210263772</v>
      </c>
      <c r="M55" s="488">
        <f>Passby_Length_Adj!J50</f>
        <v>0.53561452513966479</v>
      </c>
      <c r="N55" s="372">
        <v>0.5</v>
      </c>
      <c r="O55" s="481">
        <f t="shared" si="42"/>
        <v>0.20520601396393964</v>
      </c>
      <c r="P55" s="489">
        <f t="shared" si="43"/>
        <v>6.9212904904447887</v>
      </c>
      <c r="Q55" s="490">
        <f t="shared" si="44"/>
        <v>4.1444853236196337</v>
      </c>
      <c r="R55" s="491">
        <f t="shared" si="45"/>
        <v>261.71052631578948</v>
      </c>
      <c r="S55" s="500">
        <f t="shared" si="46"/>
        <v>1084.6554353525594</v>
      </c>
      <c r="T55" s="489">
        <f t="shared" si="47"/>
        <v>0.4361225722339776</v>
      </c>
      <c r="U55" s="493">
        <f t="shared" si="48"/>
        <v>154.50490219883392</v>
      </c>
      <c r="V55" s="500">
        <f t="shared" si="49"/>
        <v>67.383075369714589</v>
      </c>
      <c r="W55" s="489">
        <f t="shared" si="50"/>
        <v>0.11020187862839843</v>
      </c>
      <c r="X55" s="493">
        <f t="shared" si="51"/>
        <v>37.9060089869281</v>
      </c>
      <c r="Y55" s="763">
        <f t="shared" si="52"/>
        <v>4.1773134016644304</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2101.5458827229445</v>
      </c>
      <c r="I56" s="487">
        <f>ITECountywide!$B$9*E56</f>
        <v>3.3532739708637775</v>
      </c>
      <c r="J56" s="495">
        <f t="shared" si="40"/>
        <v>1.67</v>
      </c>
      <c r="K56" s="372">
        <f t="shared" si="41"/>
        <v>0.85658336747234742</v>
      </c>
      <c r="L56" s="488">
        <f>Passby_Length_Adj!H51</f>
        <v>1</v>
      </c>
      <c r="M56" s="488">
        <f>Passby_Length_Adj!J51</f>
        <v>1</v>
      </c>
      <c r="N56" s="372">
        <v>0.5</v>
      </c>
      <c r="O56" s="481">
        <f t="shared" si="42"/>
        <v>0.5</v>
      </c>
      <c r="P56" s="489">
        <f t="shared" si="43"/>
        <v>12.580185489456289</v>
      </c>
      <c r="Q56" s="490">
        <f t="shared" si="44"/>
        <v>7.533045203267239</v>
      </c>
      <c r="R56" s="491">
        <f t="shared" si="45"/>
        <v>261.71052631578948</v>
      </c>
      <c r="S56" s="500">
        <f t="shared" si="46"/>
        <v>1971.4772249077025</v>
      </c>
      <c r="T56" s="489">
        <f t="shared" si="47"/>
        <v>0.79269940517836213</v>
      </c>
      <c r="U56" s="493">
        <f t="shared" si="48"/>
        <v>154.50490219883392</v>
      </c>
      <c r="V56" s="500">
        <f t="shared" si="49"/>
        <v>122.47594407015666</v>
      </c>
      <c r="W56" s="489">
        <f t="shared" si="50"/>
        <v>0.20030369717117716</v>
      </c>
      <c r="X56" s="493">
        <f t="shared" si="51"/>
        <v>37.9060089869281</v>
      </c>
      <c r="Y56" s="763">
        <f t="shared" si="52"/>
        <v>7.5927137450855664</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536.14846683166502</v>
      </c>
      <c r="I57" s="487">
        <f>ITECountywide!$B$9*E57</f>
        <v>2.0844676035099154</v>
      </c>
      <c r="J57" s="495">
        <f t="shared" si="40"/>
        <v>1.67</v>
      </c>
      <c r="K57" s="372">
        <f t="shared" si="41"/>
        <v>0.85658336747234742</v>
      </c>
      <c r="L57" s="488">
        <f>Passby_Length_Adj!H52</f>
        <v>0.76624514210263772</v>
      </c>
      <c r="M57" s="488">
        <f>Passby_Length_Adj!J52</f>
        <v>0.53561452513966479</v>
      </c>
      <c r="N57" s="372">
        <v>0.5</v>
      </c>
      <c r="O57" s="481">
        <f t="shared" si="42"/>
        <v>0.20520601396393964</v>
      </c>
      <c r="P57" s="489">
        <f t="shared" si="43"/>
        <v>3.2094693806498009</v>
      </c>
      <c r="Q57" s="490">
        <f t="shared" si="44"/>
        <v>1.9218379524849107</v>
      </c>
      <c r="R57" s="491">
        <f t="shared" si="45"/>
        <v>261.71052631578948</v>
      </c>
      <c r="S57" s="500">
        <f t="shared" si="46"/>
        <v>502.96522203848519</v>
      </c>
      <c r="T57" s="489">
        <f t="shared" si="47"/>
        <v>0.20223425728591701</v>
      </c>
      <c r="U57" s="493">
        <f t="shared" si="48"/>
        <v>154.50490219883392</v>
      </c>
      <c r="V57" s="500">
        <f t="shared" si="49"/>
        <v>31.246184143214425</v>
      </c>
      <c r="W57" s="489">
        <f t="shared" si="50"/>
        <v>5.110167758978152E-2</v>
      </c>
      <c r="X57" s="493">
        <f t="shared" si="51"/>
        <v>37.9060089869281</v>
      </c>
      <c r="Y57" s="763">
        <f t="shared" si="52"/>
        <v>1.9370606499653606</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727.29705065860628</v>
      </c>
      <c r="I58" s="487">
        <f>ITECountywide!$B$9*E58</f>
        <v>2.8276256186743205</v>
      </c>
      <c r="J58" s="495">
        <f t="shared" si="40"/>
        <v>1.67</v>
      </c>
      <c r="K58" s="372">
        <f t="shared" si="41"/>
        <v>0.85658336747234742</v>
      </c>
      <c r="L58" s="488">
        <f>Passby_Length_Adj!H53</f>
        <v>0.76624514210263772</v>
      </c>
      <c r="M58" s="488">
        <f>Passby_Length_Adj!J53</f>
        <v>0.53561452513966479</v>
      </c>
      <c r="N58" s="372">
        <v>0.5</v>
      </c>
      <c r="O58" s="481">
        <f t="shared" si="42"/>
        <v>0.20520601396393964</v>
      </c>
      <c r="P58" s="489">
        <f t="shared" si="43"/>
        <v>4.3537149859249471</v>
      </c>
      <c r="Q58" s="490">
        <f t="shared" si="44"/>
        <v>2.6070149616317049</v>
      </c>
      <c r="R58" s="491">
        <f t="shared" si="45"/>
        <v>261.71052631578948</v>
      </c>
      <c r="S58" s="500">
        <f t="shared" si="46"/>
        <v>682.28325772177118</v>
      </c>
      <c r="T58" s="489">
        <f t="shared" si="47"/>
        <v>0.27433516640524397</v>
      </c>
      <c r="U58" s="493">
        <f t="shared" si="48"/>
        <v>154.50490219883392</v>
      </c>
      <c r="V58" s="500">
        <f t="shared" si="49"/>
        <v>42.386128055143047</v>
      </c>
      <c r="W58" s="489">
        <f t="shared" si="50"/>
        <v>6.9320536556573206E-2</v>
      </c>
      <c r="X58" s="493">
        <f t="shared" si="51"/>
        <v>37.9060089869281</v>
      </c>
      <c r="Y58" s="763">
        <f t="shared" si="52"/>
        <v>2.6276648816921417</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7113.4210959414841</v>
      </c>
      <c r="I59" s="487">
        <f>ITECountywide!$B$9*E59</f>
        <v>12.597434647299055</v>
      </c>
      <c r="J59" s="495">
        <f t="shared" si="40"/>
        <v>1.67</v>
      </c>
      <c r="K59" s="372">
        <f t="shared" si="41"/>
        <v>0.85658336747234742</v>
      </c>
      <c r="L59" s="488">
        <f>Passby_Length_Adj!H54</f>
        <v>0.90100368260427022</v>
      </c>
      <c r="M59" s="488">
        <f>Passby_Length_Adj!J54</f>
        <v>1</v>
      </c>
      <c r="N59" s="372">
        <v>0.5</v>
      </c>
      <c r="O59" s="481">
        <f t="shared" si="42"/>
        <v>0.45050184130213511</v>
      </c>
      <c r="P59" s="489">
        <f t="shared" si="43"/>
        <v>42.58206189417416</v>
      </c>
      <c r="Q59" s="490">
        <f t="shared" si="44"/>
        <v>25.49824065519411</v>
      </c>
      <c r="R59" s="491">
        <f t="shared" si="45"/>
        <v>261.71052631578948</v>
      </c>
      <c r="S59" s="500">
        <f t="shared" si="46"/>
        <v>6673.1579819975113</v>
      </c>
      <c r="T59" s="489">
        <f t="shared" si="47"/>
        <v>2.6831699073968838</v>
      </c>
      <c r="U59" s="493">
        <f t="shared" si="48"/>
        <v>154.50490219883392</v>
      </c>
      <c r="V59" s="500">
        <f t="shared" si="49"/>
        <v>414.5629041252098</v>
      </c>
      <c r="W59" s="489">
        <f t="shared" si="50"/>
        <v>0.67799830437505093</v>
      </c>
      <c r="X59" s="493">
        <f t="shared" si="51"/>
        <v>37.9060089869281</v>
      </c>
      <c r="Y59" s="763">
        <f t="shared" si="52"/>
        <v>25.700209818762694</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12142.431678713869</v>
      </c>
      <c r="I60" s="487">
        <f>ITECountywide!$B$9*E60</f>
        <v>86.315084590558413</v>
      </c>
      <c r="J60" s="495">
        <f t="shared" si="40"/>
        <v>1.67</v>
      </c>
      <c r="K60" s="372">
        <f t="shared" si="41"/>
        <v>0.85658336747234742</v>
      </c>
      <c r="L60" s="488">
        <f>Passby_Length_Adj!H55</f>
        <v>0.30664652567975825</v>
      </c>
      <c r="M60" s="488">
        <f>Passby_Length_Adj!J55</f>
        <v>0.73199999999999998</v>
      </c>
      <c r="N60" s="372">
        <v>0.5</v>
      </c>
      <c r="O60" s="481">
        <f t="shared" si="42"/>
        <v>0.11223262839879151</v>
      </c>
      <c r="P60" s="489">
        <f t="shared" si="43"/>
        <v>72.686513326727479</v>
      </c>
      <c r="Q60" s="490">
        <f t="shared" si="44"/>
        <v>43.524858279477534</v>
      </c>
      <c r="R60" s="491">
        <f t="shared" si="45"/>
        <v>261.71052631578948</v>
      </c>
      <c r="S60" s="500">
        <f t="shared" si="46"/>
        <v>11390.913568142212</v>
      </c>
      <c r="T60" s="489">
        <f t="shared" si="47"/>
        <v>4.5801038408278831</v>
      </c>
      <c r="U60" s="493">
        <f t="shared" si="48"/>
        <v>154.50490219883392</v>
      </c>
      <c r="V60" s="500">
        <f t="shared" si="49"/>
        <v>707.64849598761566</v>
      </c>
      <c r="W60" s="489">
        <f t="shared" si="50"/>
        <v>1.1573261273474913</v>
      </c>
      <c r="X60" s="493">
        <f t="shared" si="51"/>
        <v>37.9060089869281</v>
      </c>
      <c r="Y60" s="763">
        <f t="shared" si="52"/>
        <v>43.869614584040697</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12177.606412318903</v>
      </c>
      <c r="I62" s="487">
        <f>ITECountywide!$B$9*E62</f>
        <v>19.430863225761996</v>
      </c>
      <c r="J62" s="495">
        <f>IF(F62="Prod",$M$3,$M$4)</f>
        <v>1.67</v>
      </c>
      <c r="K62" s="372">
        <f>IF(F62="Prod",$F$4,$F$5)</f>
        <v>0.85658336747234742</v>
      </c>
      <c r="L62" s="488">
        <f>Passby_Length_Adj!H57</f>
        <v>1</v>
      </c>
      <c r="M62" s="488">
        <f>Passby_Length_Adj!J57</f>
        <v>1</v>
      </c>
      <c r="N62" s="372">
        <v>0.5</v>
      </c>
      <c r="O62" s="481">
        <f>L62*M62*N62</f>
        <v>0.5</v>
      </c>
      <c r="P62" s="489">
        <f>IF($F62="Prod",$I62*$O62*$F$4*$F$6,$I62*O62*$F$5*$F$7)</f>
        <v>72.897074836200758</v>
      </c>
      <c r="Q62" s="490">
        <f>+P62/J62</f>
        <v>43.65094301568908</v>
      </c>
      <c r="R62" s="491">
        <f>+$Q$4</f>
        <v>261.71052631578948</v>
      </c>
      <c r="S62" s="500">
        <f>+Q62*R62</f>
        <v>11423.911270816525</v>
      </c>
      <c r="T62" s="489">
        <f>IF($F62="Prod",$I62*$O62*$G$4*$G$6,$I62*$O62*$G$5*$G$7)</f>
        <v>4.5933716883848863</v>
      </c>
      <c r="U62" s="493">
        <f>+$R$4</f>
        <v>154.50490219883392</v>
      </c>
      <c r="V62" s="500">
        <f>+T62*U62</f>
        <v>709.69844347679953</v>
      </c>
      <c r="W62" s="489">
        <f>IF($F62="Prod",$I62*$O62*$J$4*$J$6,$I62*$O62*$J$5*$J$7)</f>
        <v>1.1606787209054157</v>
      </c>
      <c r="X62" s="493">
        <f>$S$4</f>
        <v>37.9060089869281</v>
      </c>
      <c r="Y62" s="763">
        <f>+W62*X62</f>
        <v>43.996698025576897</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1210.3761449865158</v>
      </c>
      <c r="I63" s="487">
        <f>ITECountywide!$B$9*E63</f>
        <v>5.5464964058611672</v>
      </c>
      <c r="J63" s="495">
        <f>IF(F63="Prod",$M$3,$M$4)</f>
        <v>1.67</v>
      </c>
      <c r="K63" s="372">
        <f>IF(F63="Prod",$F$4,$F$5)</f>
        <v>0.85658336747234742</v>
      </c>
      <c r="L63" s="488">
        <f>Passby_Length_Adj!H58</f>
        <v>0.39123867069486401</v>
      </c>
      <c r="M63" s="488">
        <f>Passby_Length_Adj!J58</f>
        <v>0.89</v>
      </c>
      <c r="N63" s="372">
        <v>0.5</v>
      </c>
      <c r="O63" s="481">
        <f>L63*M63*N63</f>
        <v>0.17410120845921448</v>
      </c>
      <c r="P63" s="489">
        <f>IF($F63="Prod",$I63*$O63*$F$4*$F$6,$I63*O63*$F$5*$F$7)</f>
        <v>7.2455027230784523</v>
      </c>
      <c r="Q63" s="490">
        <f>+P63/J63</f>
        <v>4.3386243850769182</v>
      </c>
      <c r="R63" s="491">
        <f>+$Q$4</f>
        <v>261.71052631578948</v>
      </c>
      <c r="S63" s="500">
        <f>+Q63*R63</f>
        <v>1135.4636713049988</v>
      </c>
      <c r="T63" s="489">
        <f>IF($F63="Prod",$I63*$O63*$G$4*$G$6,$I63*$O63*$G$5*$G$7)</f>
        <v>0.4565517498622132</v>
      </c>
      <c r="U63" s="493">
        <f>+$R$4</f>
        <v>154.50490219883392</v>
      </c>
      <c r="V63" s="500">
        <f>+T63*U63</f>
        <v>70.539483461167734</v>
      </c>
      <c r="W63" s="489">
        <f>IF($F63="Prod",$I63*$O63*$J$4*$J$6,$I63*$O63*$J$5*$J$7)</f>
        <v>0.1153640369224135</v>
      </c>
      <c r="X63" s="493">
        <f>$S$4</f>
        <v>37.9060089869281</v>
      </c>
      <c r="Y63" s="763">
        <f>+W63*X63</f>
        <v>4.372990220349311</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31057.797155725311</v>
      </c>
      <c r="I64" s="487">
        <f>ITECountywide!$B$9*E64</f>
        <v>69.168072826033367</v>
      </c>
      <c r="J64" s="495">
        <f>IF(F64="Prod",$M$3,$M$4)</f>
        <v>1.67</v>
      </c>
      <c r="K64" s="372">
        <f>IF(F64="Prod",$F$4,$F$5)</f>
        <v>0.85658336747234742</v>
      </c>
      <c r="L64" s="488">
        <f>Passby_Length_Adj!H59</f>
        <v>0.7703927492447129</v>
      </c>
      <c r="M64" s="488">
        <f>Passby_Length_Adj!J59</f>
        <v>0.93</v>
      </c>
      <c r="N64" s="372">
        <v>0.5</v>
      </c>
      <c r="O64" s="481">
        <f>L64*M64*N64</f>
        <v>0.3582326283987915</v>
      </c>
      <c r="P64" s="489">
        <f>IF($F64="Prod",$I64*$O64*$F$4*$F$6,$I64*O64*$F$5*$F$7)</f>
        <v>185.91687782076448</v>
      </c>
      <c r="Q64" s="490">
        <f>+P64/J64</f>
        <v>111.32747174896078</v>
      </c>
      <c r="R64" s="491">
        <f>+$Q$4</f>
        <v>261.71052631578948</v>
      </c>
      <c r="S64" s="500">
        <f>+Q64*R64</f>
        <v>29135.571224826708</v>
      </c>
      <c r="T64" s="489">
        <f>IF($F64="Prod",$I64*$O64*$G$4*$G$6,$I64*$O64*$G$5*$G$7)</f>
        <v>11.71494638013543</v>
      </c>
      <c r="U64" s="493">
        <f>+$R$4</f>
        <v>154.50490219883392</v>
      </c>
      <c r="V64" s="500">
        <f>+T64*U64</f>
        <v>1810.016644727408</v>
      </c>
      <c r="W64" s="489">
        <f>IF($F64="Prod",$I64*$O64*$J$4*$J$6,$I64*$O64*$J$5*$J$7)</f>
        <v>2.9601978464651912</v>
      </c>
      <c r="X64" s="493">
        <f>$S$4</f>
        <v>37.9060089869281</v>
      </c>
      <c r="Y64" s="763">
        <f>+W64*X64</f>
        <v>112.20928617119475</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14958.601916858985</v>
      </c>
      <c r="I65" s="487">
        <f>ITECountywide!$B$9*E65</f>
        <v>38.970481283011466</v>
      </c>
      <c r="J65" s="495">
        <f>IF(F65="Prod",$M$3,$M$4)</f>
        <v>1.67</v>
      </c>
      <c r="K65" s="372">
        <f>IF(F65="Prod",$F$4,$F$5)</f>
        <v>0.85658336747234742</v>
      </c>
      <c r="L65" s="488">
        <f>Passby_Length_Adj!H60</f>
        <v>0.61247081225203326</v>
      </c>
      <c r="M65" s="488">
        <f>Passby_Length_Adj!J60</f>
        <v>1</v>
      </c>
      <c r="N65" s="372">
        <v>0.5</v>
      </c>
      <c r="O65" s="481">
        <f>L65*M65*N65</f>
        <v>0.30623540612601663</v>
      </c>
      <c r="P65" s="489">
        <f>IF($F65="Prod",$I65*$O65*$F$4*$F$6,$I65*O65*$F$5*$F$7)</f>
        <v>89.544553047396505</v>
      </c>
      <c r="Q65" s="490">
        <f>+P65/J65</f>
        <v>53.6194928427524</v>
      </c>
      <c r="R65" s="491">
        <f>+$Q$4</f>
        <v>261.71052631578948</v>
      </c>
      <c r="S65" s="500">
        <f>+Q65*R65</f>
        <v>14032.785692662437</v>
      </c>
      <c r="T65" s="489">
        <f>IF($F65="Prod",$I65*$O65*$G$4*$G$6,$I65*$O65*$G$5*$G$7)</f>
        <v>5.6423582940907266</v>
      </c>
      <c r="U65" s="493">
        <f>+$R$4</f>
        <v>154.50490219883392</v>
      </c>
      <c r="V65" s="500">
        <f>+T65*U65</f>
        <v>871.77201639926716</v>
      </c>
      <c r="W65" s="489">
        <f>IF($F65="Prod",$I65*$O65*$J$4*$J$6,$I65*$O65*$J$5*$J$7)</f>
        <v>1.4257424941759986</v>
      </c>
      <c r="X65" s="493">
        <f>$S$4</f>
        <v>37.9060089869281</v>
      </c>
      <c r="Y65" s="763">
        <f>+W65*X65</f>
        <v>54.044207797280691</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17351.97822355642</v>
      </c>
      <c r="I66" s="487">
        <f>ITECountywide!$B$9*E66</f>
        <v>45.205758288293303</v>
      </c>
      <c r="J66" s="495">
        <f>IF(F66="Prod",$M$3,$M$4)</f>
        <v>1.67</v>
      </c>
      <c r="K66" s="372">
        <f>IF(F66="Prod",$F$4,$F$5)</f>
        <v>0.85658336747234742</v>
      </c>
      <c r="L66" s="488">
        <f>Passby_Length_Adj!H61</f>
        <v>0.61247081225203326</v>
      </c>
      <c r="M66" s="488">
        <f>Passby_Length_Adj!J61</f>
        <v>1</v>
      </c>
      <c r="N66" s="372">
        <v>0.5</v>
      </c>
      <c r="O66" s="481">
        <f>L66*M66*N66</f>
        <v>0.30623540612601663</v>
      </c>
      <c r="P66" s="489">
        <f>IF($F66="Prod",$I66*$O66*$F$4*$F$6,$I66*O66*$F$5*$F$7)</f>
        <v>103.87168153497994</v>
      </c>
      <c r="Q66" s="490">
        <f>+P66/J66</f>
        <v>62.198611697592781</v>
      </c>
      <c r="R66" s="491">
        <f>+$Q$4</f>
        <v>261.71052631578948</v>
      </c>
      <c r="S66" s="500">
        <f>+Q66*R66</f>
        <v>16278.031403488427</v>
      </c>
      <c r="T66" s="489">
        <f>IF($F66="Prod",$I66*$O66*$G$4*$G$6,$I66*$O66*$G$5*$G$7)</f>
        <v>6.5451356211452421</v>
      </c>
      <c r="U66" s="493">
        <f>+$R$4</f>
        <v>154.50490219883392</v>
      </c>
      <c r="V66" s="500">
        <f>+T66*U66</f>
        <v>1011.2555390231497</v>
      </c>
      <c r="W66" s="489">
        <f>IF($F66="Prod",$I66*$O66*$J$4*$J$6,$I66*$O66*$J$5*$J$7)</f>
        <v>1.6538612932441585</v>
      </c>
      <c r="X66" s="493">
        <f>$S$4</f>
        <v>37.9060089869281</v>
      </c>
      <c r="Y66" s="763">
        <f>+W66*X66</f>
        <v>62.691281044845603</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15587.568325337985</v>
      </c>
      <c r="I68" s="487">
        <f>ITECountywide!$B$9*E68</f>
        <v>20.049119939245994</v>
      </c>
      <c r="J68" s="495">
        <f t="shared" ref="J68:J87" si="53">IF(F68="Prod",$M$3,$M$4)</f>
        <v>1.67</v>
      </c>
      <c r="K68" s="372">
        <f t="shared" ref="K68:K87" si="54">IF(F68="Prod",$F$4,$F$5)</f>
        <v>0.85658336747234742</v>
      </c>
      <c r="L68" s="488">
        <f>Passby_Length_Adj!H63</f>
        <v>1.2405469854222484</v>
      </c>
      <c r="M68" s="488">
        <f>Passby_Length_Adj!J63</f>
        <v>1</v>
      </c>
      <c r="N68" s="372">
        <v>0.5</v>
      </c>
      <c r="O68" s="481">
        <f t="shared" ref="O68:O87" si="55">L68*M68*N68</f>
        <v>0.6202734927111242</v>
      </c>
      <c r="P68" s="489">
        <f t="shared" ref="P68:P87" si="56">IF($F68="Prod",$I68*$O68*$F$4*$F$6,$I68*O68*$F$5*$F$7)</f>
        <v>93.309645282761267</v>
      </c>
      <c r="Q68" s="490">
        <f t="shared" ref="Q68:Q87" si="57">+P68/J68</f>
        <v>55.874039091473811</v>
      </c>
      <c r="R68" s="491">
        <f t="shared" ref="R68:R87" si="58">+$Q$4</f>
        <v>261.71052631578948</v>
      </c>
      <c r="S68" s="500">
        <f t="shared" ref="S68:S87" si="59">+Q68*R68</f>
        <v>14622.824178018607</v>
      </c>
      <c r="T68" s="489">
        <f t="shared" ref="T68:T87" si="60">IF($F68="Prod",$I68*$O68*$G$4*$G$6,$I68*$O68*$G$5*$G$7)</f>
        <v>5.8796033154711145</v>
      </c>
      <c r="U68" s="493">
        <f t="shared" ref="U68:U87" si="61">+$R$4</f>
        <v>154.50490219883392</v>
      </c>
      <c r="V68" s="500">
        <f t="shared" ref="V68:V87" si="62">+T68*U68</f>
        <v>908.42753522480416</v>
      </c>
      <c r="W68" s="489">
        <f t="shared" ref="W68:W87" si="63">IF($F68="Prod",$I68*$O68*$J$4*$J$6,$I68*$O68*$J$5*$J$7)</f>
        <v>1.4856908864764249</v>
      </c>
      <c r="X68" s="493">
        <f t="shared" ref="X68:X87" si="64">$S$4</f>
        <v>37.9060089869281</v>
      </c>
      <c r="Y68" s="763">
        <f t="shared" ref="Y68:Y87" si="65">+W68*X68</f>
        <v>56.316612094572541</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15082.201284172272</v>
      </c>
      <c r="I69" s="487">
        <f>ITECountywide!$B$9*E69</f>
        <v>19.399104220937762</v>
      </c>
      <c r="J69" s="495">
        <f t="shared" si="53"/>
        <v>1.67</v>
      </c>
      <c r="K69" s="372">
        <f t="shared" si="54"/>
        <v>0.85658336747234742</v>
      </c>
      <c r="L69" s="488">
        <f>Passby_Length_Adj!H64</f>
        <v>1.2405469854222484</v>
      </c>
      <c r="M69" s="488">
        <f>Passby_Length_Adj!J64</f>
        <v>1</v>
      </c>
      <c r="N69" s="372">
        <v>0.5</v>
      </c>
      <c r="O69" s="481">
        <f t="shared" si="55"/>
        <v>0.6202734927111242</v>
      </c>
      <c r="P69" s="489">
        <f t="shared" si="56"/>
        <v>90.284438376555201</v>
      </c>
      <c r="Q69" s="490">
        <f t="shared" si="57"/>
        <v>54.062537950033054</v>
      </c>
      <c r="R69" s="491">
        <f t="shared" si="58"/>
        <v>261.71052631578948</v>
      </c>
      <c r="S69" s="500">
        <f t="shared" si="59"/>
        <v>14148.735260870493</v>
      </c>
      <c r="T69" s="489">
        <f t="shared" si="60"/>
        <v>5.6889797577262078</v>
      </c>
      <c r="U69" s="493">
        <f t="shared" si="61"/>
        <v>154.50490219883392</v>
      </c>
      <c r="V69" s="500">
        <f t="shared" si="62"/>
        <v>878.97526107863359</v>
      </c>
      <c r="W69" s="489">
        <f t="shared" si="63"/>
        <v>1.4375230650616517</v>
      </c>
      <c r="X69" s="493">
        <f t="shared" si="64"/>
        <v>37.9060089869281</v>
      </c>
      <c r="Y69" s="763">
        <f t="shared" si="65"/>
        <v>54.490762223143399</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14852.832042004438</v>
      </c>
      <c r="I70" s="487">
        <f>ITECountywide!$B$9*E70</f>
        <v>19.10408376934355</v>
      </c>
      <c r="J70" s="495">
        <f t="shared" si="53"/>
        <v>1.67</v>
      </c>
      <c r="K70" s="372">
        <f t="shared" si="54"/>
        <v>0.85658336747234742</v>
      </c>
      <c r="L70" s="488">
        <f>Passby_Length_Adj!H65</f>
        <v>1.2405469854222484</v>
      </c>
      <c r="M70" s="488">
        <f>Passby_Length_Adj!J65</f>
        <v>1</v>
      </c>
      <c r="N70" s="372">
        <v>0.5</v>
      </c>
      <c r="O70" s="481">
        <f t="shared" si="55"/>
        <v>0.6202734927111242</v>
      </c>
      <c r="P70" s="489">
        <f t="shared" si="56"/>
        <v>88.911397875384395</v>
      </c>
      <c r="Q70" s="490">
        <f t="shared" si="57"/>
        <v>53.240358009212216</v>
      </c>
      <c r="R70" s="491">
        <f t="shared" si="58"/>
        <v>261.71052631578948</v>
      </c>
      <c r="S70" s="500">
        <f t="shared" si="59"/>
        <v>13933.562115831986</v>
      </c>
      <c r="T70" s="489">
        <f t="shared" si="60"/>
        <v>5.60246208360478</v>
      </c>
      <c r="U70" s="493">
        <f t="shared" si="61"/>
        <v>154.50490219883392</v>
      </c>
      <c r="V70" s="500">
        <f t="shared" si="62"/>
        <v>865.60785630003181</v>
      </c>
      <c r="W70" s="489">
        <f t="shared" si="63"/>
        <v>1.4156612976830401</v>
      </c>
      <c r="X70" s="493">
        <f t="shared" si="64"/>
        <v>37.9060089869281</v>
      </c>
      <c r="Y70" s="763">
        <f t="shared" si="65"/>
        <v>53.662069872419615</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14703.659227768028</v>
      </c>
      <c r="I71" s="487">
        <f>ITECountywide!$B$9*E71</f>
        <v>18.912213967596532</v>
      </c>
      <c r="J71" s="495">
        <f t="shared" si="53"/>
        <v>1.67</v>
      </c>
      <c r="K71" s="372">
        <f t="shared" si="54"/>
        <v>0.85658336747234742</v>
      </c>
      <c r="L71" s="488">
        <f>Passby_Length_Adj!H66</f>
        <v>1.2405469854222484</v>
      </c>
      <c r="M71" s="488">
        <f>Passby_Length_Adj!J66</f>
        <v>1</v>
      </c>
      <c r="N71" s="372">
        <v>0.5</v>
      </c>
      <c r="O71" s="481">
        <f t="shared" si="55"/>
        <v>0.6202734927111242</v>
      </c>
      <c r="P71" s="489">
        <f t="shared" si="56"/>
        <v>88.018425854879794</v>
      </c>
      <c r="Q71" s="490">
        <f t="shared" si="57"/>
        <v>52.705644224478924</v>
      </c>
      <c r="R71" s="491">
        <f t="shared" si="58"/>
        <v>261.71052631578948</v>
      </c>
      <c r="S71" s="500">
        <f t="shared" si="59"/>
        <v>13793.621889801128</v>
      </c>
      <c r="T71" s="489">
        <f t="shared" si="60"/>
        <v>5.5461943608364477</v>
      </c>
      <c r="U71" s="493">
        <f t="shared" si="61"/>
        <v>154.50490219883392</v>
      </c>
      <c r="V71" s="500">
        <f t="shared" si="62"/>
        <v>856.91421729675949</v>
      </c>
      <c r="W71" s="489">
        <f t="shared" si="63"/>
        <v>1.4014432563570676</v>
      </c>
      <c r="X71" s="493">
        <f t="shared" si="64"/>
        <v>37.9060089869281</v>
      </c>
      <c r="Y71" s="763">
        <f t="shared" si="65"/>
        <v>53.123120670140786</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14547.165178588622</v>
      </c>
      <c r="I72" s="487">
        <f>ITECountywide!$B$9*E72</f>
        <v>18.710927410496026</v>
      </c>
      <c r="J72" s="495">
        <f t="shared" si="53"/>
        <v>1.67</v>
      </c>
      <c r="K72" s="372">
        <f t="shared" si="54"/>
        <v>0.85658336747234742</v>
      </c>
      <c r="L72" s="488">
        <f>Passby_Length_Adj!H67</f>
        <v>1.2405469854222484</v>
      </c>
      <c r="M72" s="488">
        <f>Passby_Length_Adj!J67</f>
        <v>1</v>
      </c>
      <c r="N72" s="372">
        <v>0.5</v>
      </c>
      <c r="O72" s="481">
        <f t="shared" si="55"/>
        <v>0.6202734927111242</v>
      </c>
      <c r="P72" s="489">
        <f t="shared" si="56"/>
        <v>87.081627765978595</v>
      </c>
      <c r="Q72" s="490">
        <f t="shared" si="57"/>
        <v>52.144687285017127</v>
      </c>
      <c r="R72" s="491">
        <f t="shared" si="58"/>
        <v>261.71052631578948</v>
      </c>
      <c r="S72" s="500">
        <f t="shared" si="59"/>
        <v>13646.813553934087</v>
      </c>
      <c r="T72" s="489">
        <f t="shared" si="60"/>
        <v>5.4871650811436643</v>
      </c>
      <c r="U72" s="493">
        <f t="shared" si="61"/>
        <v>154.50490219883392</v>
      </c>
      <c r="V72" s="500">
        <f t="shared" si="62"/>
        <v>847.79390421095843</v>
      </c>
      <c r="W72" s="489">
        <f t="shared" si="63"/>
        <v>1.3865274094590172</v>
      </c>
      <c r="X72" s="493">
        <f t="shared" si="64"/>
        <v>37.9060089869281</v>
      </c>
      <c r="Y72" s="763">
        <f t="shared" si="65"/>
        <v>52.557720443575647</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14401.062296477314</v>
      </c>
      <c r="I73" s="487">
        <f>ITECountywide!$B$9*E73</f>
        <v>18.523006232171017</v>
      </c>
      <c r="J73" s="495">
        <f t="shared" si="53"/>
        <v>1.67</v>
      </c>
      <c r="K73" s="372">
        <f t="shared" si="54"/>
        <v>0.85658336747234742</v>
      </c>
      <c r="L73" s="488">
        <f>Passby_Length_Adj!H68</f>
        <v>1.2405469854222484</v>
      </c>
      <c r="M73" s="488">
        <f>Passby_Length_Adj!J68</f>
        <v>1</v>
      </c>
      <c r="N73" s="372">
        <v>0.5</v>
      </c>
      <c r="O73" s="481">
        <f t="shared" si="55"/>
        <v>0.6202734927111242</v>
      </c>
      <c r="P73" s="489">
        <f t="shared" si="56"/>
        <v>86.207032843919151</v>
      </c>
      <c r="Q73" s="490">
        <f t="shared" si="57"/>
        <v>51.620977750849796</v>
      </c>
      <c r="R73" s="491">
        <f t="shared" si="58"/>
        <v>261.71052631578948</v>
      </c>
      <c r="S73" s="500">
        <f t="shared" si="59"/>
        <v>13509.753256110558</v>
      </c>
      <c r="T73" s="489">
        <f t="shared" si="60"/>
        <v>5.4320553313653646</v>
      </c>
      <c r="U73" s="493">
        <f t="shared" si="61"/>
        <v>154.50490219883392</v>
      </c>
      <c r="V73" s="500">
        <f t="shared" si="62"/>
        <v>839.27917771125999</v>
      </c>
      <c r="W73" s="489">
        <f t="shared" si="63"/>
        <v>1.3726019711924298</v>
      </c>
      <c r="X73" s="493">
        <f t="shared" si="64"/>
        <v>37.9060089869281</v>
      </c>
      <c r="Y73" s="763">
        <f t="shared" si="65"/>
        <v>52.029862655495471</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14292.894727787951</v>
      </c>
      <c r="I74" s="487">
        <f>ITECountywide!$B$9*E74</f>
        <v>18.383878402035741</v>
      </c>
      <c r="J74" s="495">
        <f t="shared" si="53"/>
        <v>1.67</v>
      </c>
      <c r="K74" s="372">
        <f t="shared" si="54"/>
        <v>0.85658336747234742</v>
      </c>
      <c r="L74" s="488">
        <f>Passby_Length_Adj!H69</f>
        <v>1.2405469854222484</v>
      </c>
      <c r="M74" s="488">
        <f>Passby_Length_Adj!J69</f>
        <v>1</v>
      </c>
      <c r="N74" s="372">
        <v>0.5</v>
      </c>
      <c r="O74" s="481">
        <f t="shared" si="55"/>
        <v>0.6202734927111242</v>
      </c>
      <c r="P74" s="489">
        <f t="shared" si="56"/>
        <v>85.5595246980144</v>
      </c>
      <c r="Q74" s="490">
        <f t="shared" si="57"/>
        <v>51.233248322164314</v>
      </c>
      <c r="R74" s="491">
        <f t="shared" si="58"/>
        <v>261.71052631578948</v>
      </c>
      <c r="S74" s="500">
        <f t="shared" si="59"/>
        <v>13408.280383261161</v>
      </c>
      <c r="T74" s="489">
        <f t="shared" si="60"/>
        <v>5.3912547149883627</v>
      </c>
      <c r="U74" s="493">
        <f t="shared" si="61"/>
        <v>154.50490219883392</v>
      </c>
      <c r="V74" s="500">
        <f t="shared" si="62"/>
        <v>832.97528246827926</v>
      </c>
      <c r="W74" s="489">
        <f t="shared" si="63"/>
        <v>1.3622922443857881</v>
      </c>
      <c r="X74" s="493">
        <f t="shared" si="64"/>
        <v>37.9060089869281</v>
      </c>
      <c r="Y74" s="763">
        <f t="shared" si="65"/>
        <v>51.639062058510135</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14207.108255586019</v>
      </c>
      <c r="I75" s="487">
        <f>ITECountywide!$B$9*E75</f>
        <v>18.273537697543336</v>
      </c>
      <c r="J75" s="495">
        <f t="shared" si="53"/>
        <v>1.67</v>
      </c>
      <c r="K75" s="372">
        <f t="shared" si="54"/>
        <v>0.85658336747234742</v>
      </c>
      <c r="L75" s="488">
        <f>Passby_Length_Adj!H70</f>
        <v>1.2405469854222484</v>
      </c>
      <c r="M75" s="488">
        <f>Passby_Length_Adj!J70</f>
        <v>1</v>
      </c>
      <c r="N75" s="372">
        <v>0.5</v>
      </c>
      <c r="O75" s="481">
        <f t="shared" si="55"/>
        <v>0.6202734927111242</v>
      </c>
      <c r="P75" s="489">
        <f t="shared" si="56"/>
        <v>85.04599332967328</v>
      </c>
      <c r="Q75" s="490">
        <f t="shared" si="57"/>
        <v>50.925744508786394</v>
      </c>
      <c r="R75" s="491">
        <f t="shared" si="58"/>
        <v>261.71052631578948</v>
      </c>
      <c r="S75" s="500">
        <f t="shared" si="59"/>
        <v>13327.803398417913</v>
      </c>
      <c r="T75" s="489">
        <f t="shared" si="60"/>
        <v>5.3588962087830598</v>
      </c>
      <c r="U75" s="493">
        <f t="shared" si="61"/>
        <v>154.50490219883392</v>
      </c>
      <c r="V75" s="500">
        <f t="shared" si="62"/>
        <v>827.97573463172853</v>
      </c>
      <c r="W75" s="489">
        <f t="shared" si="63"/>
        <v>1.3541157169587235</v>
      </c>
      <c r="X75" s="493">
        <f t="shared" si="64"/>
        <v>37.9060089869281</v>
      </c>
      <c r="Y75" s="763">
        <f t="shared" si="65"/>
        <v>51.329122536377959</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14136.085709374574</v>
      </c>
      <c r="I76" s="487">
        <f>ITECountywide!$B$9*E76</f>
        <v>18.182186723634896</v>
      </c>
      <c r="J76" s="495">
        <f t="shared" si="53"/>
        <v>1.67</v>
      </c>
      <c r="K76" s="372">
        <f t="shared" si="54"/>
        <v>0.85658336747234742</v>
      </c>
      <c r="L76" s="488">
        <f>Passby_Length_Adj!H71</f>
        <v>1.2405469854222484</v>
      </c>
      <c r="M76" s="488">
        <f>Passby_Length_Adj!J71</f>
        <v>1</v>
      </c>
      <c r="N76" s="372">
        <v>0.5</v>
      </c>
      <c r="O76" s="481">
        <f t="shared" si="55"/>
        <v>0.6202734927111242</v>
      </c>
      <c r="P76" s="489">
        <f t="shared" si="56"/>
        <v>84.620841153544816</v>
      </c>
      <c r="Q76" s="490">
        <f t="shared" si="57"/>
        <v>50.671162367392107</v>
      </c>
      <c r="R76" s="491">
        <f t="shared" si="58"/>
        <v>261.71052631578948</v>
      </c>
      <c r="S76" s="500">
        <f t="shared" si="59"/>
        <v>13261.176572203014</v>
      </c>
      <c r="T76" s="489">
        <f t="shared" si="60"/>
        <v>5.332106629455331</v>
      </c>
      <c r="U76" s="493">
        <f t="shared" si="61"/>
        <v>154.50490219883392</v>
      </c>
      <c r="V76" s="500">
        <f t="shared" si="62"/>
        <v>823.83661329774986</v>
      </c>
      <c r="W76" s="489">
        <f t="shared" si="63"/>
        <v>1.3473463769668546</v>
      </c>
      <c r="X76" s="493">
        <f t="shared" si="64"/>
        <v>37.9060089869281</v>
      </c>
      <c r="Y76" s="763">
        <f t="shared" si="65"/>
        <v>51.072523873810603</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6">+S77+V77+Y77</f>
        <v>14048.303164188781</v>
      </c>
      <c r="I77" s="487">
        <f>ITECountywide!$B$9*E77</f>
        <v>18.069278620185472</v>
      </c>
      <c r="J77" s="495">
        <f t="shared" si="53"/>
        <v>1.67</v>
      </c>
      <c r="K77" s="372">
        <f t="shared" si="54"/>
        <v>0.85658336747234742</v>
      </c>
      <c r="L77" s="488">
        <f>Passby_Length_Adj!H72</f>
        <v>1.2405469854222484</v>
      </c>
      <c r="M77" s="488">
        <f>Passby_Length_Adj!J72</f>
        <v>1</v>
      </c>
      <c r="N77" s="372">
        <v>0.5</v>
      </c>
      <c r="O77" s="481">
        <f t="shared" si="55"/>
        <v>0.6202734927111242</v>
      </c>
      <c r="P77" s="489">
        <f t="shared" si="56"/>
        <v>84.095360977141056</v>
      </c>
      <c r="Q77" s="490">
        <f t="shared" si="57"/>
        <v>50.356503579126382</v>
      </c>
      <c r="R77" s="491">
        <f t="shared" si="58"/>
        <v>261.71052631578948</v>
      </c>
      <c r="S77" s="500">
        <f t="shared" si="59"/>
        <v>13178.827055116102</v>
      </c>
      <c r="T77" s="489">
        <f t="shared" si="60"/>
        <v>5.298995208036513</v>
      </c>
      <c r="U77" s="493">
        <f t="shared" si="61"/>
        <v>154.50490219883392</v>
      </c>
      <c r="V77" s="500">
        <f t="shared" si="62"/>
        <v>818.72073636977109</v>
      </c>
      <c r="W77" s="489">
        <f t="shared" si="63"/>
        <v>1.3389795987335724</v>
      </c>
      <c r="X77" s="493">
        <f t="shared" si="64"/>
        <v>37.9060089869281</v>
      </c>
      <c r="Y77" s="763">
        <f t="shared" si="65"/>
        <v>50.755372702908176</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6"/>
        <v>22815.354146177357</v>
      </c>
      <c r="I78" s="487">
        <f>ITECountywide!$B$9*E78</f>
        <v>29.345678696370033</v>
      </c>
      <c r="J78" s="495">
        <f t="shared" si="53"/>
        <v>1.67</v>
      </c>
      <c r="K78" s="372">
        <f t="shared" si="54"/>
        <v>0.85658336747234742</v>
      </c>
      <c r="L78" s="488">
        <f>Passby_Length_Adj!H73</f>
        <v>1.2405469854222484</v>
      </c>
      <c r="M78" s="488">
        <f>Passby_Length_Adj!J73</f>
        <v>1</v>
      </c>
      <c r="N78" s="372">
        <v>0.5</v>
      </c>
      <c r="O78" s="481">
        <f t="shared" si="55"/>
        <v>0.6202734927111242</v>
      </c>
      <c r="P78" s="489">
        <f t="shared" si="56"/>
        <v>136.57631247843943</v>
      </c>
      <c r="Q78" s="490">
        <f t="shared" si="57"/>
        <v>81.782223040981705</v>
      </c>
      <c r="R78" s="491">
        <f t="shared" si="58"/>
        <v>261.71052631578948</v>
      </c>
      <c r="S78" s="500">
        <f t="shared" si="59"/>
        <v>21403.268635330609</v>
      </c>
      <c r="T78" s="489">
        <f t="shared" si="60"/>
        <v>8.6059113956508266</v>
      </c>
      <c r="U78" s="493">
        <f t="shared" si="61"/>
        <v>154.50490219883392</v>
      </c>
      <c r="V78" s="500">
        <f t="shared" si="62"/>
        <v>1329.6554985168614</v>
      </c>
      <c r="W78" s="489">
        <f t="shared" si="63"/>
        <v>2.1745895844195338</v>
      </c>
      <c r="X78" s="493">
        <f t="shared" si="64"/>
        <v>37.9060089869281</v>
      </c>
      <c r="Y78" s="763">
        <f t="shared" si="65"/>
        <v>82.430012329887091</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6"/>
        <v>11203.339435584308</v>
      </c>
      <c r="I79" s="487">
        <f>ITECountywide!$B$9*E79</f>
        <v>14.410015172090286</v>
      </c>
      <c r="J79" s="495">
        <f t="shared" si="53"/>
        <v>1.67</v>
      </c>
      <c r="K79" s="372">
        <f t="shared" si="54"/>
        <v>0.85658336747234742</v>
      </c>
      <c r="L79" s="488">
        <f>Passby_Length_Adj!H74</f>
        <v>1.2405469854222484</v>
      </c>
      <c r="M79" s="488">
        <f>Passby_Length_Adj!J74</f>
        <v>1</v>
      </c>
      <c r="N79" s="372">
        <v>0.5</v>
      </c>
      <c r="O79" s="481">
        <f t="shared" si="55"/>
        <v>0.6202734927111242</v>
      </c>
      <c r="P79" s="489">
        <f t="shared" si="56"/>
        <v>67.064958876071245</v>
      </c>
      <c r="Q79" s="490">
        <f t="shared" si="57"/>
        <v>40.158658009623501</v>
      </c>
      <c r="R79" s="491">
        <f t="shared" si="58"/>
        <v>261.71052631578948</v>
      </c>
      <c r="S79" s="500">
        <f t="shared" si="59"/>
        <v>10509.943523834361</v>
      </c>
      <c r="T79" s="489">
        <f t="shared" si="60"/>
        <v>4.2258799008909254</v>
      </c>
      <c r="U79" s="493">
        <f t="shared" si="61"/>
        <v>154.50490219883392</v>
      </c>
      <c r="V79" s="500">
        <f t="shared" si="62"/>
        <v>652.91916079117038</v>
      </c>
      <c r="W79" s="489">
        <f t="shared" si="63"/>
        <v>1.067818850903971</v>
      </c>
      <c r="X79" s="493">
        <f t="shared" si="64"/>
        <v>37.9060089869281</v>
      </c>
      <c r="Y79" s="763">
        <f t="shared" si="65"/>
        <v>40.47675095877716</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6"/>
        <v>15853.782220166475</v>
      </c>
      <c r="I80" s="487">
        <f>ITECountywide!$B$9*E80</f>
        <v>20.391530903901348</v>
      </c>
      <c r="J80" s="495">
        <f t="shared" si="53"/>
        <v>1.67</v>
      </c>
      <c r="K80" s="372">
        <f t="shared" si="54"/>
        <v>0.85658336747234742</v>
      </c>
      <c r="L80" s="488">
        <f>Passby_Length_Adj!H75</f>
        <v>1.2405469854222484</v>
      </c>
      <c r="M80" s="488">
        <f>Passby_Length_Adj!J75</f>
        <v>1</v>
      </c>
      <c r="N80" s="372">
        <v>0.5</v>
      </c>
      <c r="O80" s="481">
        <f t="shared" si="55"/>
        <v>0.6202734927111242</v>
      </c>
      <c r="P80" s="489">
        <f t="shared" si="56"/>
        <v>94.903243692553644</v>
      </c>
      <c r="Q80" s="490">
        <f t="shared" si="57"/>
        <v>56.828289636259669</v>
      </c>
      <c r="R80" s="491">
        <f t="shared" si="58"/>
        <v>261.71052631578948</v>
      </c>
      <c r="S80" s="500">
        <f t="shared" si="59"/>
        <v>14872.561590331643</v>
      </c>
      <c r="T80" s="489">
        <f t="shared" si="60"/>
        <v>5.9800187276758363</v>
      </c>
      <c r="U80" s="493">
        <f t="shared" si="61"/>
        <v>154.50490219883392</v>
      </c>
      <c r="V80" s="500">
        <f t="shared" si="62"/>
        <v>923.94220866675028</v>
      </c>
      <c r="W80" s="489">
        <f t="shared" si="63"/>
        <v>1.5110644116565628</v>
      </c>
      <c r="X80" s="493">
        <f t="shared" si="64"/>
        <v>37.9060089869281</v>
      </c>
      <c r="Y80" s="763">
        <f t="shared" si="65"/>
        <v>57.278421168080889</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6"/>
        <v>32398.027112110554</v>
      </c>
      <c r="I81" s="487">
        <f>ITECountywide!$B$9*E81</f>
        <v>63.077802262734835</v>
      </c>
      <c r="J81" s="495">
        <f t="shared" si="53"/>
        <v>1.67</v>
      </c>
      <c r="K81" s="372">
        <f t="shared" si="54"/>
        <v>0.85658336747234742</v>
      </c>
      <c r="L81" s="488">
        <f>Passby_Length_Adj!H76</f>
        <v>0.892749244712991</v>
      </c>
      <c r="M81" s="488">
        <f>Passby_Length_Adj!J76</f>
        <v>0.91800000000000004</v>
      </c>
      <c r="N81" s="372">
        <v>0.5</v>
      </c>
      <c r="O81" s="481">
        <f t="shared" si="55"/>
        <v>0.40977190332326291</v>
      </c>
      <c r="P81" s="489">
        <f t="shared" si="56"/>
        <v>193.93970596287789</v>
      </c>
      <c r="Q81" s="490">
        <f t="shared" si="57"/>
        <v>116.13156045681312</v>
      </c>
      <c r="R81" s="491">
        <f t="shared" si="58"/>
        <v>261.71052631578948</v>
      </c>
      <c r="S81" s="500">
        <f t="shared" si="59"/>
        <v>30392.851809026488</v>
      </c>
      <c r="T81" s="489">
        <f t="shared" si="60"/>
        <v>12.220478758925212</v>
      </c>
      <c r="U81" s="493">
        <f t="shared" si="61"/>
        <v>154.50490219883392</v>
      </c>
      <c r="V81" s="500">
        <f t="shared" si="62"/>
        <v>1888.1238754706671</v>
      </c>
      <c r="W81" s="489">
        <f t="shared" si="63"/>
        <v>3.0879385812883102</v>
      </c>
      <c r="X81" s="493">
        <f t="shared" si="64"/>
        <v>37.9060089869281</v>
      </c>
      <c r="Y81" s="763">
        <f t="shared" si="65"/>
        <v>117.0514276133967</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6"/>
        <v>31834.394698094278</v>
      </c>
      <c r="I82" s="487">
        <f>ITECountywide!$B$9*E82</f>
        <v>40.946194055033907</v>
      </c>
      <c r="J82" s="495">
        <f t="shared" si="53"/>
        <v>1.67</v>
      </c>
      <c r="K82" s="372">
        <f t="shared" si="54"/>
        <v>0.85658336747234742</v>
      </c>
      <c r="L82" s="488">
        <f>Passby_Length_Adj!H77</f>
        <v>1.2405469854222484</v>
      </c>
      <c r="M82" s="488">
        <f>Passby_Length_Adj!J77</f>
        <v>1</v>
      </c>
      <c r="N82" s="372">
        <v>0.5</v>
      </c>
      <c r="O82" s="481">
        <f t="shared" si="55"/>
        <v>0.6202734927111242</v>
      </c>
      <c r="P82" s="489">
        <f t="shared" si="56"/>
        <v>190.56571333464771</v>
      </c>
      <c r="Q82" s="490">
        <f t="shared" si="57"/>
        <v>114.11120558960941</v>
      </c>
      <c r="R82" s="491">
        <f t="shared" si="58"/>
        <v>261.71052631578948</v>
      </c>
      <c r="S82" s="500">
        <f t="shared" si="59"/>
        <v>29864.103673385936</v>
      </c>
      <c r="T82" s="489">
        <f t="shared" si="60"/>
        <v>12.007877605173078</v>
      </c>
      <c r="U82" s="493">
        <f t="shared" si="61"/>
        <v>154.50490219883392</v>
      </c>
      <c r="V82" s="500">
        <f t="shared" si="62"/>
        <v>1855.2759550028345</v>
      </c>
      <c r="W82" s="489">
        <f t="shared" si="63"/>
        <v>3.0342173386063775</v>
      </c>
      <c r="X82" s="493">
        <f t="shared" si="64"/>
        <v>37.9060089869281</v>
      </c>
      <c r="Y82" s="763">
        <f t="shared" si="65"/>
        <v>115.01506970550641</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6"/>
        <v>7799.3454645576376</v>
      </c>
      <c r="I83" s="487">
        <f>ITECountywide!$B$9*E83</f>
        <v>20.319027682909702</v>
      </c>
      <c r="J83" s="495">
        <f t="shared" si="53"/>
        <v>1.67</v>
      </c>
      <c r="K83" s="372">
        <f t="shared" si="54"/>
        <v>0.85658336747234742</v>
      </c>
      <c r="L83" s="488">
        <f>Passby_Length_Adj!H78</f>
        <v>0.61247081225203326</v>
      </c>
      <c r="M83" s="488">
        <f>Passby_Length_Adj!J78</f>
        <v>1</v>
      </c>
      <c r="N83" s="372">
        <v>0.5</v>
      </c>
      <c r="O83" s="481">
        <f t="shared" si="55"/>
        <v>0.30623540612601663</v>
      </c>
      <c r="P83" s="489">
        <f t="shared" si="56"/>
        <v>46.688113472619293</v>
      </c>
      <c r="Q83" s="490">
        <f t="shared" si="57"/>
        <v>27.956954175221135</v>
      </c>
      <c r="R83" s="491">
        <f t="shared" si="58"/>
        <v>261.71052631578948</v>
      </c>
      <c r="S83" s="500">
        <f t="shared" si="59"/>
        <v>7316.6291913835312</v>
      </c>
      <c r="T83" s="489">
        <f t="shared" si="60"/>
        <v>2.9418993710119552</v>
      </c>
      <c r="U83" s="493">
        <f t="shared" si="61"/>
        <v>154.50490219883392</v>
      </c>
      <c r="V83" s="500">
        <f t="shared" si="62"/>
        <v>454.53787459701317</v>
      </c>
      <c r="W83" s="489">
        <f t="shared" si="63"/>
        <v>0.74337550510292771</v>
      </c>
      <c r="X83" s="493">
        <f t="shared" si="64"/>
        <v>37.9060089869281</v>
      </c>
      <c r="Y83" s="763">
        <f t="shared" si="65"/>
        <v>28.178398577093795</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6"/>
        <v>47885.468430333938</v>
      </c>
      <c r="I84" s="487">
        <f>ITECountywide!$B$9*E84</f>
        <v>61.591486232406027</v>
      </c>
      <c r="J84" s="495">
        <f t="shared" si="53"/>
        <v>1.67</v>
      </c>
      <c r="K84" s="372">
        <f t="shared" si="54"/>
        <v>0.85658336747234742</v>
      </c>
      <c r="L84" s="488">
        <f>Passby_Length_Adj!H79</f>
        <v>1.2405469854222484</v>
      </c>
      <c r="M84" s="488">
        <f>Passby_Length_Adj!J79</f>
        <v>1</v>
      </c>
      <c r="N84" s="372">
        <v>0.5</v>
      </c>
      <c r="O84" s="481">
        <f t="shared" si="55"/>
        <v>0.6202734927111242</v>
      </c>
      <c r="P84" s="489">
        <f t="shared" si="56"/>
        <v>286.64997517093093</v>
      </c>
      <c r="Q84" s="490">
        <f t="shared" si="57"/>
        <v>171.64669171912033</v>
      </c>
      <c r="R84" s="491">
        <f t="shared" si="58"/>
        <v>261.71052631578948</v>
      </c>
      <c r="S84" s="500">
        <f t="shared" si="59"/>
        <v>44921.746030175047</v>
      </c>
      <c r="T84" s="489">
        <f t="shared" si="60"/>
        <v>18.062314343682214</v>
      </c>
      <c r="U84" s="493">
        <f t="shared" si="61"/>
        <v>154.50490219883392</v>
      </c>
      <c r="V84" s="500">
        <f t="shared" si="62"/>
        <v>2790.7161111552155</v>
      </c>
      <c r="W84" s="489">
        <f t="shared" si="63"/>
        <v>4.5640861073857781</v>
      </c>
      <c r="X84" s="493">
        <f t="shared" si="64"/>
        <v>37.9060089869281</v>
      </c>
      <c r="Y84" s="763">
        <f t="shared" si="65"/>
        <v>173.006289003679</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6"/>
        <v>15600.121704643811</v>
      </c>
      <c r="I85" s="487">
        <f>ITECountywide!$B$9*E85</f>
        <v>20.065266409438927</v>
      </c>
      <c r="J85" s="495">
        <f t="shared" si="53"/>
        <v>1.67</v>
      </c>
      <c r="K85" s="372">
        <f t="shared" si="54"/>
        <v>0.85658336747234742</v>
      </c>
      <c r="L85" s="488">
        <f>Passby_Length_Adj!H80</f>
        <v>1.2405469854222484</v>
      </c>
      <c r="M85" s="488">
        <f>Passby_Length_Adj!J80</f>
        <v>1</v>
      </c>
      <c r="N85" s="372">
        <v>0.5</v>
      </c>
      <c r="O85" s="481">
        <f t="shared" si="55"/>
        <v>0.6202734927111242</v>
      </c>
      <c r="P85" s="489">
        <f t="shared" si="56"/>
        <v>93.384791793472786</v>
      </c>
      <c r="Q85" s="490">
        <f t="shared" si="57"/>
        <v>55.919037002079513</v>
      </c>
      <c r="R85" s="491">
        <f t="shared" si="58"/>
        <v>261.71052631578948</v>
      </c>
      <c r="S85" s="500">
        <f t="shared" si="59"/>
        <v>14634.600604886336</v>
      </c>
      <c r="T85" s="489">
        <f t="shared" si="60"/>
        <v>5.8843384280330229</v>
      </c>
      <c r="U85" s="493">
        <f t="shared" si="61"/>
        <v>154.50490219883392</v>
      </c>
      <c r="V85" s="500">
        <f t="shared" si="62"/>
        <v>909.15913332808236</v>
      </c>
      <c r="W85" s="489">
        <f t="shared" si="63"/>
        <v>1.4868873810700578</v>
      </c>
      <c r="X85" s="493">
        <f t="shared" si="64"/>
        <v>37.9060089869281</v>
      </c>
      <c r="Y85" s="763">
        <f t="shared" si="65"/>
        <v>56.3619664293916</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6"/>
        <v>15867.874471028845</v>
      </c>
      <c r="I86" s="487">
        <f>ITECountywide!$B$9*E86</f>
        <v>20.40965670914926</v>
      </c>
      <c r="J86" s="495">
        <f t="shared" si="53"/>
        <v>1.67</v>
      </c>
      <c r="K86" s="372">
        <f t="shared" si="54"/>
        <v>0.85658336747234742</v>
      </c>
      <c r="L86" s="488">
        <f>Passby_Length_Adj!H81</f>
        <v>1.2405469854222484</v>
      </c>
      <c r="M86" s="488">
        <f>Passby_Length_Adj!J81</f>
        <v>1</v>
      </c>
      <c r="N86" s="372">
        <v>0.5</v>
      </c>
      <c r="O86" s="481">
        <f t="shared" si="55"/>
        <v>0.6202734927111242</v>
      </c>
      <c r="P86" s="489">
        <f t="shared" si="56"/>
        <v>94.987602131391469</v>
      </c>
      <c r="Q86" s="490">
        <f t="shared" si="57"/>
        <v>56.878803671491902</v>
      </c>
      <c r="R86" s="491">
        <f t="shared" si="58"/>
        <v>261.71052631578948</v>
      </c>
      <c r="S86" s="500">
        <f t="shared" si="59"/>
        <v>14885.781645078605</v>
      </c>
      <c r="T86" s="489">
        <f t="shared" si="60"/>
        <v>5.9853342998782146</v>
      </c>
      <c r="U86" s="493">
        <f t="shared" si="61"/>
        <v>154.50490219883392</v>
      </c>
      <c r="V86" s="500">
        <f t="shared" si="62"/>
        <v>924.76349063000964</v>
      </c>
      <c r="W86" s="489">
        <f t="shared" si="63"/>
        <v>1.5124075800224794</v>
      </c>
      <c r="X86" s="493">
        <f t="shared" si="64"/>
        <v>37.9060089869281</v>
      </c>
      <c r="Y86" s="763">
        <f t="shared" si="65"/>
        <v>57.329335320230285</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6"/>
        <v>17530.760072788522</v>
      </c>
      <c r="I87" s="487">
        <f>ITECountywide!$B$9*E87</f>
        <v>22.548501728402911</v>
      </c>
      <c r="J87" s="495">
        <f t="shared" si="53"/>
        <v>1.67</v>
      </c>
      <c r="K87" s="372">
        <f t="shared" si="54"/>
        <v>0.85658336747234742</v>
      </c>
      <c r="L87" s="488">
        <f>Passby_Length_Adj!H82</f>
        <v>1.2405469854222484</v>
      </c>
      <c r="M87" s="488">
        <f>Passby_Length_Adj!J82</f>
        <v>1</v>
      </c>
      <c r="N87" s="372">
        <v>0.5</v>
      </c>
      <c r="O87" s="481">
        <f t="shared" si="55"/>
        <v>0.6202734927111242</v>
      </c>
      <c r="P87" s="489">
        <f t="shared" si="56"/>
        <v>104.94189791425485</v>
      </c>
      <c r="Q87" s="490">
        <f t="shared" si="57"/>
        <v>62.839459828895123</v>
      </c>
      <c r="R87" s="491">
        <f t="shared" si="58"/>
        <v>261.71052631578948</v>
      </c>
      <c r="S87" s="500">
        <f t="shared" si="59"/>
        <v>16445.748105220053</v>
      </c>
      <c r="T87" s="489">
        <f t="shared" si="60"/>
        <v>6.6125718197588803</v>
      </c>
      <c r="U87" s="493">
        <f t="shared" si="61"/>
        <v>154.50490219883392</v>
      </c>
      <c r="V87" s="500">
        <f t="shared" si="62"/>
        <v>1021.674762294611</v>
      </c>
      <c r="W87" s="489">
        <f t="shared" si="63"/>
        <v>1.6709014472006789</v>
      </c>
      <c r="X87" s="493">
        <f t="shared" si="64"/>
        <v>37.9060089869281</v>
      </c>
      <c r="Y87" s="763">
        <f t="shared" si="65"/>
        <v>63.3372052738601</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6"/>
        <v>17942.917641889431</v>
      </c>
      <c r="I89" s="487">
        <f>ITECountywide!$B$9*E89</f>
        <v>32.717078472481724</v>
      </c>
      <c r="J89" s="495">
        <f t="shared" ref="J89:J126" si="67">IF(F89="Prod",$M$3,$M$4)</f>
        <v>1.67</v>
      </c>
      <c r="K89" s="372">
        <f t="shared" ref="K89:K126" si="68">IF(F89="Prod",$F$4,$F$5)</f>
        <v>0.85658336747234742</v>
      </c>
      <c r="L89" s="488">
        <f>Passby_Length_Adj!H84</f>
        <v>0.87508191706880245</v>
      </c>
      <c r="M89" s="488">
        <f>Passby_Length_Adj!J84</f>
        <v>1</v>
      </c>
      <c r="N89" s="372">
        <v>0.5</v>
      </c>
      <c r="O89" s="481">
        <f t="shared" ref="O89:O126" si="69">L89*M89*N89</f>
        <v>0.43754095853440123</v>
      </c>
      <c r="P89" s="489">
        <f t="shared" ref="P89:P126" si="70">IF($F89="Prod",$I89*$O89*$F$4*$F$6,$I89*O89*$F$5*$F$7)</f>
        <v>107.40913820284403</v>
      </c>
      <c r="Q89" s="490">
        <f t="shared" ref="Q89:Q126" si="71">+P89/J89</f>
        <v>64.316849223259908</v>
      </c>
      <c r="R89" s="491">
        <f t="shared" ref="R89:R126" si="72">+$Q$4</f>
        <v>261.71052631578948</v>
      </c>
      <c r="S89" s="500">
        <f t="shared" ref="S89:S126" si="73">+Q89*R89</f>
        <v>16832.396461192628</v>
      </c>
      <c r="T89" s="489">
        <f t="shared" ref="T89:T126" si="74">IF($F89="Prod",$I89*$O89*$G$4*$G$6,$I89*$O89*$G$5*$G$7)</f>
        <v>6.7680369288255076</v>
      </c>
      <c r="U89" s="493">
        <f t="shared" ref="U89:U126" si="75">+$R$4</f>
        <v>154.50490219883392</v>
      </c>
      <c r="V89" s="500">
        <f t="shared" ref="V89:V126" si="76">+T89*U89</f>
        <v>1045.6948837662812</v>
      </c>
      <c r="W89" s="489">
        <f t="shared" ref="W89:W126" si="77">IF($F89="Prod",$I89*$O89*$J$4*$J$6,$I89*$O89*$J$5*$J$7)</f>
        <v>1.7101852361422878</v>
      </c>
      <c r="X89" s="493">
        <f t="shared" ref="X89:X126" si="78">$S$4</f>
        <v>37.9060089869281</v>
      </c>
      <c r="Y89" s="763">
        <f t="shared" ref="Y89:Y126" si="79">+W89*X89</f>
        <v>64.826296930521309</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6"/>
        <v>49499.908102880545</v>
      </c>
      <c r="I90" s="487">
        <f>ITECountywide!$B$9*E90</f>
        <v>91.897832606915415</v>
      </c>
      <c r="J90" s="495">
        <f t="shared" si="67"/>
        <v>1.67</v>
      </c>
      <c r="K90" s="372">
        <f t="shared" si="68"/>
        <v>0.85658336747234742</v>
      </c>
      <c r="L90" s="488">
        <f>Passby_Length_Adj!H85</f>
        <v>0.8594671567024027</v>
      </c>
      <c r="M90" s="488">
        <f>Passby_Length_Adj!J85</f>
        <v>1</v>
      </c>
      <c r="N90" s="372">
        <v>0.5</v>
      </c>
      <c r="O90" s="481">
        <f t="shared" si="69"/>
        <v>0.42973357835120135</v>
      </c>
      <c r="P90" s="489">
        <f t="shared" si="70"/>
        <v>296.31426597188073</v>
      </c>
      <c r="Q90" s="490">
        <f t="shared" si="71"/>
        <v>177.43369219873099</v>
      </c>
      <c r="R90" s="491">
        <f t="shared" si="72"/>
        <v>261.71052631578948</v>
      </c>
      <c r="S90" s="500">
        <f t="shared" si="73"/>
        <v>46436.264971483681</v>
      </c>
      <c r="T90" s="489">
        <f t="shared" si="74"/>
        <v>18.671278144399171</v>
      </c>
      <c r="U90" s="493">
        <f t="shared" si="75"/>
        <v>154.50490219883392</v>
      </c>
      <c r="V90" s="500">
        <f t="shared" si="76"/>
        <v>2884.8040036276193</v>
      </c>
      <c r="W90" s="489">
        <f t="shared" si="77"/>
        <v>4.717962469510173</v>
      </c>
      <c r="X90" s="493">
        <f t="shared" si="78"/>
        <v>37.9060089869281</v>
      </c>
      <c r="Y90" s="763">
        <f t="shared" si="79"/>
        <v>178.83912776924211</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6"/>
        <v>8923.6520721958223</v>
      </c>
      <c r="I91" s="487">
        <f>ITECountywide!$B$9*E91</f>
        <v>16.566985996591853</v>
      </c>
      <c r="J91" s="495">
        <f t="shared" si="67"/>
        <v>1.67</v>
      </c>
      <c r="K91" s="372">
        <f t="shared" si="68"/>
        <v>0.85658336747234742</v>
      </c>
      <c r="L91" s="488">
        <f>Passby_Length_Adj!H86</f>
        <v>0.8594671567024027</v>
      </c>
      <c r="M91" s="488">
        <f>Passby_Length_Adj!J86</f>
        <v>1</v>
      </c>
      <c r="N91" s="372">
        <v>0.5</v>
      </c>
      <c r="O91" s="481">
        <f t="shared" si="69"/>
        <v>0.42973357835120135</v>
      </c>
      <c r="P91" s="489">
        <f t="shared" si="70"/>
        <v>53.41839035469409</v>
      </c>
      <c r="Q91" s="490">
        <f t="shared" si="71"/>
        <v>31.987060092631193</v>
      </c>
      <c r="R91" s="491">
        <f t="shared" si="72"/>
        <v>261.71052631578948</v>
      </c>
      <c r="S91" s="500">
        <f t="shared" si="73"/>
        <v>8371.3503321372955</v>
      </c>
      <c r="T91" s="489">
        <f t="shared" si="74"/>
        <v>3.3659858429942497</v>
      </c>
      <c r="U91" s="493">
        <f t="shared" si="75"/>
        <v>154.50490219883392</v>
      </c>
      <c r="V91" s="500">
        <f t="shared" si="76"/>
        <v>520.06131347448604</v>
      </c>
      <c r="W91" s="489">
        <f t="shared" si="77"/>
        <v>0.85053603493733709</v>
      </c>
      <c r="X91" s="493">
        <f t="shared" si="78"/>
        <v>37.9060089869281</v>
      </c>
      <c r="Y91" s="763">
        <f t="shared" si="79"/>
        <v>32.24042658404089</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6"/>
        <v>66488.042244697514</v>
      </c>
      <c r="I92" s="710">
        <f>ITECountywide!$B$9*E92</f>
        <v>123.43673373828283</v>
      </c>
      <c r="J92" s="711">
        <f t="shared" si="67"/>
        <v>1.67</v>
      </c>
      <c r="K92" s="712">
        <f t="shared" si="68"/>
        <v>0.85658336747234742</v>
      </c>
      <c r="L92" s="713">
        <f>Passby_Length_Adj!H87</f>
        <v>0.8594671567024027</v>
      </c>
      <c r="M92" s="713">
        <f>Passby_Length_Adj!J87</f>
        <v>1</v>
      </c>
      <c r="N92" s="712">
        <v>0.5</v>
      </c>
      <c r="O92" s="714">
        <f t="shared" si="69"/>
        <v>0.42973357835120135</v>
      </c>
      <c r="P92" s="715">
        <f t="shared" si="70"/>
        <v>398.00791938234863</v>
      </c>
      <c r="Q92" s="716">
        <f t="shared" si="71"/>
        <v>238.32809543853213</v>
      </c>
      <c r="R92" s="717">
        <f t="shared" si="72"/>
        <v>261.71052631578948</v>
      </c>
      <c r="S92" s="721">
        <f t="shared" si="73"/>
        <v>62372.971293057948</v>
      </c>
      <c r="T92" s="715">
        <f t="shared" si="74"/>
        <v>25.079172418808355</v>
      </c>
      <c r="U92" s="719">
        <f t="shared" si="75"/>
        <v>154.50490219883392</v>
      </c>
      <c r="V92" s="721">
        <f t="shared" si="76"/>
        <v>3874.855081795678</v>
      </c>
      <c r="W92" s="715">
        <f t="shared" si="77"/>
        <v>6.3371448554959136</v>
      </c>
      <c r="X92" s="719">
        <f t="shared" si="78"/>
        <v>37.9060089869281</v>
      </c>
      <c r="Y92" s="764">
        <f t="shared" si="79"/>
        <v>240.21586984389327</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6"/>
        <v>21525.28985542935</v>
      </c>
      <c r="I94" s="693">
        <f>ITECountywide!$B$9*E94</f>
        <v>284.21511603055654</v>
      </c>
      <c r="J94" s="694">
        <f t="shared" si="67"/>
        <v>1.67</v>
      </c>
      <c r="K94" s="695">
        <f t="shared" si="68"/>
        <v>0.85658336747234742</v>
      </c>
      <c r="L94" s="696">
        <f>Passby_Length_Adj!H89</f>
        <v>0.30211480362537763</v>
      </c>
      <c r="M94" s="696">
        <f>Passby_Length_Adj!J89</f>
        <v>0.4</v>
      </c>
      <c r="N94" s="695">
        <v>0.5</v>
      </c>
      <c r="O94" s="697">
        <f t="shared" si="69"/>
        <v>6.0422960725075525E-2</v>
      </c>
      <c r="P94" s="698">
        <f t="shared" si="70"/>
        <v>128.85378393202211</v>
      </c>
      <c r="Q94" s="699">
        <f t="shared" si="71"/>
        <v>77.157954450312644</v>
      </c>
      <c r="R94" s="700">
        <f t="shared" si="72"/>
        <v>261.71052631578948</v>
      </c>
      <c r="S94" s="704">
        <f t="shared" si="73"/>
        <v>20193.048868641032</v>
      </c>
      <c r="T94" s="698">
        <f t="shared" si="74"/>
        <v>8.1193014175747003</v>
      </c>
      <c r="U94" s="702">
        <f t="shared" si="75"/>
        <v>154.50490219883392</v>
      </c>
      <c r="V94" s="704">
        <f t="shared" si="76"/>
        <v>1254.4718714452326</v>
      </c>
      <c r="W94" s="698">
        <f t="shared" si="77"/>
        <v>2.0516302671142528</v>
      </c>
      <c r="X94" s="702">
        <f t="shared" si="78"/>
        <v>37.9060089869281</v>
      </c>
      <c r="Y94" s="765">
        <f t="shared" si="79"/>
        <v>77.769115343086568</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6"/>
        <v>17440.079548702925</v>
      </c>
      <c r="I95" s="487">
        <f>ITECountywide!$B$9*E95</f>
        <v>160.19124330117839</v>
      </c>
      <c r="J95" s="495">
        <f t="shared" si="67"/>
        <v>1.67</v>
      </c>
      <c r="K95" s="372">
        <f t="shared" si="68"/>
        <v>0.85658336747234742</v>
      </c>
      <c r="L95" s="488">
        <f>Passby_Length_Adj!H90</f>
        <v>0.34743202416918428</v>
      </c>
      <c r="M95" s="488">
        <f>Passby_Length_Adj!J90</f>
        <v>0.5</v>
      </c>
      <c r="N95" s="372">
        <v>0.5</v>
      </c>
      <c r="O95" s="481">
        <f t="shared" si="69"/>
        <v>8.6858006042296071E-2</v>
      </c>
      <c r="P95" s="489">
        <f t="shared" si="70"/>
        <v>104.39906997856409</v>
      </c>
      <c r="Q95" s="490">
        <f t="shared" si="71"/>
        <v>62.514413160816822</v>
      </c>
      <c r="R95" s="491">
        <f t="shared" si="72"/>
        <v>261.71052631578948</v>
      </c>
      <c r="S95" s="500">
        <f t="shared" si="73"/>
        <v>16360.679970640087</v>
      </c>
      <c r="T95" s="489">
        <f t="shared" si="74"/>
        <v>6.578367285803723</v>
      </c>
      <c r="U95" s="493">
        <f t="shared" si="75"/>
        <v>154.50490219883392</v>
      </c>
      <c r="V95" s="500">
        <f t="shared" si="76"/>
        <v>1016.3899941211127</v>
      </c>
      <c r="W95" s="489">
        <f t="shared" si="77"/>
        <v>1.6622584552084076</v>
      </c>
      <c r="X95" s="493">
        <f t="shared" si="78"/>
        <v>37.9060089869281</v>
      </c>
      <c r="Y95" s="763">
        <f t="shared" si="79"/>
        <v>63.009583941727122</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66"/>
        <v>16288.170640402204</v>
      </c>
      <c r="I96" s="487">
        <f>ITECountywide!$B$9*E96</f>
        <v>119.48075804939616</v>
      </c>
      <c r="J96" s="495">
        <f t="shared" si="67"/>
        <v>1.67</v>
      </c>
      <c r="K96" s="372">
        <f t="shared" si="68"/>
        <v>0.85658336747234742</v>
      </c>
      <c r="L96" s="488">
        <f>Passby_Length_Adj!H91</f>
        <v>0.36253776435045315</v>
      </c>
      <c r="M96" s="488">
        <f>Passby_Length_Adj!J91</f>
        <v>0.6</v>
      </c>
      <c r="N96" s="372">
        <v>0.5</v>
      </c>
      <c r="O96" s="481">
        <f t="shared" si="69"/>
        <v>0.10876132930513595</v>
      </c>
      <c r="P96" s="489">
        <f t="shared" si="70"/>
        <v>97.503561366301909</v>
      </c>
      <c r="Q96" s="490">
        <f t="shared" si="71"/>
        <v>58.385366087605938</v>
      </c>
      <c r="R96" s="491">
        <f t="shared" si="72"/>
        <v>261.71052631578948</v>
      </c>
      <c r="S96" s="500">
        <f t="shared" si="73"/>
        <v>15280.064887927396</v>
      </c>
      <c r="T96" s="489">
        <f t="shared" si="74"/>
        <v>6.143869274631812</v>
      </c>
      <c r="U96" s="493">
        <f t="shared" si="75"/>
        <v>154.50490219883392</v>
      </c>
      <c r="V96" s="500">
        <f t="shared" si="76"/>
        <v>949.25792139940881</v>
      </c>
      <c r="W96" s="489">
        <f t="shared" si="77"/>
        <v>1.5524670797100562</v>
      </c>
      <c r="X96" s="493">
        <f t="shared" si="78"/>
        <v>37.9060089869281</v>
      </c>
      <c r="Y96" s="763">
        <f t="shared" si="79"/>
        <v>58.847831075399412</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6"/>
        <v>15052.582642114936</v>
      </c>
      <c r="I97" s="487">
        <f>ITECountywide!$B$9*E97</f>
        <v>93.94431278308474</v>
      </c>
      <c r="J97" s="495">
        <f t="shared" si="67"/>
        <v>1.67</v>
      </c>
      <c r="K97" s="372">
        <f t="shared" si="68"/>
        <v>0.85658336747234742</v>
      </c>
      <c r="L97" s="488">
        <f>Passby_Length_Adj!H92</f>
        <v>0.37764350453172207</v>
      </c>
      <c r="M97" s="488">
        <f>Passby_Length_Adj!J92</f>
        <v>0.67700000000000005</v>
      </c>
      <c r="N97" s="372">
        <v>0.5</v>
      </c>
      <c r="O97" s="481">
        <f t="shared" si="69"/>
        <v>0.12783232628398794</v>
      </c>
      <c r="P97" s="489">
        <f t="shared" si="70"/>
        <v>90.107136508396948</v>
      </c>
      <c r="Q97" s="490">
        <f t="shared" si="71"/>
        <v>53.956369166704761</v>
      </c>
      <c r="R97" s="491">
        <f t="shared" si="72"/>
        <v>261.71052631578948</v>
      </c>
      <c r="S97" s="500">
        <f t="shared" si="73"/>
        <v>14120.949772707338</v>
      </c>
      <c r="T97" s="489">
        <f t="shared" si="74"/>
        <v>5.6778076581141752</v>
      </c>
      <c r="U97" s="493">
        <f t="shared" si="75"/>
        <v>154.50490219883392</v>
      </c>
      <c r="V97" s="500">
        <f t="shared" si="76"/>
        <v>877.24911692072089</v>
      </c>
      <c r="W97" s="489">
        <f t="shared" si="77"/>
        <v>1.4347000367575602</v>
      </c>
      <c r="X97" s="493">
        <f t="shared" si="78"/>
        <v>37.9060089869281</v>
      </c>
      <c r="Y97" s="763">
        <f t="shared" si="79"/>
        <v>54.383752486878151</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6"/>
        <v>14004.254928144601</v>
      </c>
      <c r="I98" s="487">
        <f>ITECountywide!$B$9*E98</f>
        <v>81.278704137667205</v>
      </c>
      <c r="J98" s="495">
        <f t="shared" si="67"/>
        <v>1.67</v>
      </c>
      <c r="K98" s="372">
        <f t="shared" si="68"/>
        <v>0.85658336747234742</v>
      </c>
      <c r="L98" s="488">
        <f>Passby_Length_Adj!H93</f>
        <v>0.39274924471299094</v>
      </c>
      <c r="M98" s="488">
        <f>Passby_Length_Adj!J93</f>
        <v>0.7</v>
      </c>
      <c r="N98" s="372">
        <v>0.5</v>
      </c>
      <c r="O98" s="481">
        <f t="shared" si="69"/>
        <v>0.13746223564954682</v>
      </c>
      <c r="P98" s="489">
        <f t="shared" si="70"/>
        <v>83.831681280935143</v>
      </c>
      <c r="Q98" s="490">
        <f t="shared" si="71"/>
        <v>50.19861154547015</v>
      </c>
      <c r="R98" s="491">
        <f t="shared" si="72"/>
        <v>261.71052631578948</v>
      </c>
      <c r="S98" s="500">
        <f t="shared" si="73"/>
        <v>13137.50504788686</v>
      </c>
      <c r="T98" s="489">
        <f t="shared" si="74"/>
        <v>5.2823802909897637</v>
      </c>
      <c r="U98" s="493">
        <f t="shared" si="75"/>
        <v>154.50490219883392</v>
      </c>
      <c r="V98" s="500">
        <f t="shared" si="76"/>
        <v>816.1536502364213</v>
      </c>
      <c r="W98" s="489">
        <f t="shared" si="77"/>
        <v>1.3347812490301214</v>
      </c>
      <c r="X98" s="493">
        <f t="shared" si="78"/>
        <v>37.9060089869281</v>
      </c>
      <c r="Y98" s="763">
        <f t="shared" si="79"/>
        <v>50.596230021318895</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6"/>
        <v>13431.481216941052</v>
      </c>
      <c r="I99" s="487">
        <f>ITECountywide!$B$9*E99</f>
        <v>72.982006524219813</v>
      </c>
      <c r="J99" s="495">
        <f t="shared" si="67"/>
        <v>1.67</v>
      </c>
      <c r="K99" s="372">
        <f t="shared" si="68"/>
        <v>0.85658336747234742</v>
      </c>
      <c r="L99" s="488">
        <f>Passby_Length_Adj!H94</f>
        <v>0.40785498489425986</v>
      </c>
      <c r="M99" s="488">
        <f>Passby_Length_Adj!J94</f>
        <v>0.72</v>
      </c>
      <c r="N99" s="372">
        <v>0.5</v>
      </c>
      <c r="O99" s="481">
        <f t="shared" si="69"/>
        <v>0.14682779456193354</v>
      </c>
      <c r="P99" s="489">
        <f t="shared" si="70"/>
        <v>80.402967404325096</v>
      </c>
      <c r="Q99" s="490">
        <f t="shared" si="71"/>
        <v>48.145489463667722</v>
      </c>
      <c r="R99" s="491">
        <f t="shared" si="72"/>
        <v>261.71052631578948</v>
      </c>
      <c r="S99" s="500">
        <f t="shared" si="73"/>
        <v>12600.181387267776</v>
      </c>
      <c r="T99" s="489">
        <f t="shared" si="74"/>
        <v>5.0663310560406023</v>
      </c>
      <c r="U99" s="493">
        <f t="shared" si="75"/>
        <v>154.50490219883392</v>
      </c>
      <c r="V99" s="500">
        <f t="shared" si="76"/>
        <v>782.77298432046825</v>
      </c>
      <c r="W99" s="489">
        <f t="shared" si="77"/>
        <v>1.2801887260023235</v>
      </c>
      <c r="X99" s="493">
        <f t="shared" si="78"/>
        <v>37.9060089869281</v>
      </c>
      <c r="Y99" s="763">
        <f t="shared" si="79"/>
        <v>48.52684535280811</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6"/>
        <v>13209.645697814398</v>
      </c>
      <c r="I100" s="487">
        <f>ITECountywide!$B$9*E100</f>
        <v>67.342551831206222</v>
      </c>
      <c r="J100" s="495">
        <f t="shared" si="67"/>
        <v>1.67</v>
      </c>
      <c r="K100" s="372">
        <f t="shared" si="68"/>
        <v>0.85658336747234742</v>
      </c>
      <c r="L100" s="488">
        <f>Passby_Length_Adj!H95</f>
        <v>0.42296072507552868</v>
      </c>
      <c r="M100" s="488">
        <f>Passby_Length_Adj!J95</f>
        <v>0.74</v>
      </c>
      <c r="N100" s="372">
        <v>0.5</v>
      </c>
      <c r="O100" s="481">
        <f t="shared" si="69"/>
        <v>0.15649546827794561</v>
      </c>
      <c r="P100" s="489">
        <f t="shared" si="70"/>
        <v>79.075024958858592</v>
      </c>
      <c r="Q100" s="490">
        <f t="shared" si="71"/>
        <v>47.350314346621914</v>
      </c>
      <c r="R100" s="491">
        <f t="shared" si="72"/>
        <v>261.71052631578948</v>
      </c>
      <c r="S100" s="500">
        <f t="shared" si="73"/>
        <v>12392.075688872499</v>
      </c>
      <c r="T100" s="489">
        <f t="shared" si="74"/>
        <v>4.9826550889799694</v>
      </c>
      <c r="U100" s="493">
        <f t="shared" si="75"/>
        <v>154.50490219883392</v>
      </c>
      <c r="V100" s="500">
        <f t="shared" si="76"/>
        <v>769.84463721337227</v>
      </c>
      <c r="W100" s="489">
        <f t="shared" si="77"/>
        <v>1.2590450169782865</v>
      </c>
      <c r="X100" s="493">
        <f t="shared" si="78"/>
        <v>37.9060089869281</v>
      </c>
      <c r="Y100" s="763">
        <f t="shared" si="79"/>
        <v>47.725371728525971</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6"/>
        <v>13177.25505912995</v>
      </c>
      <c r="I101" s="487">
        <f>ITECountywide!$B$9*E101</f>
        <v>63.154094551514092</v>
      </c>
      <c r="J101" s="495">
        <f t="shared" si="67"/>
        <v>1.67</v>
      </c>
      <c r="K101" s="372">
        <f t="shared" si="68"/>
        <v>0.85658336747234742</v>
      </c>
      <c r="L101" s="488">
        <f>Passby_Length_Adj!H96</f>
        <v>0.43806646525679754</v>
      </c>
      <c r="M101" s="488">
        <f>Passby_Length_Adj!J96</f>
        <v>0.76</v>
      </c>
      <c r="N101" s="372">
        <v>0.5</v>
      </c>
      <c r="O101" s="481">
        <f t="shared" si="69"/>
        <v>0.16646525679758306</v>
      </c>
      <c r="P101" s="489">
        <f t="shared" si="70"/>
        <v>78.881129481190342</v>
      </c>
      <c r="Q101" s="490">
        <f t="shared" si="71"/>
        <v>47.234209270173857</v>
      </c>
      <c r="R101" s="491">
        <f t="shared" si="72"/>
        <v>261.71052631578948</v>
      </c>
      <c r="S101" s="500">
        <f t="shared" si="73"/>
        <v>12361.689768207343</v>
      </c>
      <c r="T101" s="489">
        <f t="shared" si="74"/>
        <v>4.9704373971229439</v>
      </c>
      <c r="U101" s="493">
        <f t="shared" si="75"/>
        <v>154.50490219883392</v>
      </c>
      <c r="V101" s="500">
        <f t="shared" si="76"/>
        <v>767.9569439279071</v>
      </c>
      <c r="W101" s="489">
        <f t="shared" si="77"/>
        <v>1.2559577826068797</v>
      </c>
      <c r="X101" s="493">
        <f t="shared" si="78"/>
        <v>37.9060089869281</v>
      </c>
      <c r="Y101" s="763">
        <f t="shared" si="79"/>
        <v>47.608346994698671</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6"/>
        <v>12951.316220919414</v>
      </c>
      <c r="I102" s="487">
        <f>ITECountywide!$B$9*E102</f>
        <v>58.463687032601783</v>
      </c>
      <c r="J102" s="495">
        <f t="shared" si="67"/>
        <v>1.67</v>
      </c>
      <c r="K102" s="372">
        <f t="shared" si="68"/>
        <v>0.85658336747234742</v>
      </c>
      <c r="L102" s="488">
        <f>Passby_Length_Adj!H97</f>
        <v>0.45317220543806647</v>
      </c>
      <c r="M102" s="488">
        <f>Passby_Length_Adj!J97</f>
        <v>0.78</v>
      </c>
      <c r="N102" s="372">
        <v>0.5</v>
      </c>
      <c r="O102" s="481">
        <f t="shared" si="69"/>
        <v>0.17673716012084592</v>
      </c>
      <c r="P102" s="489">
        <f t="shared" si="70"/>
        <v>77.528623919770965</v>
      </c>
      <c r="Q102" s="490">
        <f t="shared" si="71"/>
        <v>46.424325700461658</v>
      </c>
      <c r="R102" s="491">
        <f t="shared" si="72"/>
        <v>261.71052631578948</v>
      </c>
      <c r="S102" s="500">
        <f t="shared" si="73"/>
        <v>12149.734712923453</v>
      </c>
      <c r="T102" s="489">
        <f t="shared" si="74"/>
        <v>4.8852136653316967</v>
      </c>
      <c r="U102" s="493">
        <f t="shared" si="75"/>
        <v>154.50490219883392</v>
      </c>
      <c r="V102" s="500">
        <f t="shared" si="76"/>
        <v>754.78945958248073</v>
      </c>
      <c r="W102" s="489">
        <f t="shared" si="77"/>
        <v>1.2344229757772081</v>
      </c>
      <c r="X102" s="493">
        <f t="shared" si="78"/>
        <v>37.9060089869281</v>
      </c>
      <c r="Y102" s="763">
        <f t="shared" si="79"/>
        <v>46.792048413481375</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6"/>
        <v>13482.665083048856</v>
      </c>
      <c r="I103" s="487">
        <f>ITECountywide!$B$9*E103</f>
        <v>53.946089751997178</v>
      </c>
      <c r="J103" s="495">
        <f t="shared" si="67"/>
        <v>1.67</v>
      </c>
      <c r="K103" s="372">
        <f t="shared" si="68"/>
        <v>0.85658336747234742</v>
      </c>
      <c r="L103" s="488">
        <f>Passby_Length_Adj!H98</f>
        <v>0.49848942598187307</v>
      </c>
      <c r="M103" s="488">
        <f>Passby_Length_Adj!J98</f>
        <v>0.8</v>
      </c>
      <c r="N103" s="372">
        <v>0.5</v>
      </c>
      <c r="O103" s="481">
        <f t="shared" si="69"/>
        <v>0.19939577039274925</v>
      </c>
      <c r="P103" s="489">
        <f t="shared" si="70"/>
        <v>80.709362108812513</v>
      </c>
      <c r="Q103" s="490">
        <f t="shared" si="71"/>
        <v>48.328959346594324</v>
      </c>
      <c r="R103" s="491">
        <f t="shared" si="72"/>
        <v>261.71052631578948</v>
      </c>
      <c r="S103" s="500">
        <f t="shared" si="73"/>
        <v>12648.197386891594</v>
      </c>
      <c r="T103" s="489">
        <f t="shared" si="74"/>
        <v>5.0856375201782358</v>
      </c>
      <c r="U103" s="493">
        <f t="shared" si="75"/>
        <v>154.50490219883392</v>
      </c>
      <c r="V103" s="500">
        <f t="shared" si="76"/>
        <v>785.75592767385854</v>
      </c>
      <c r="W103" s="489">
        <f t="shared" si="77"/>
        <v>1.2850671908034932</v>
      </c>
      <c r="X103" s="493">
        <f t="shared" si="78"/>
        <v>37.9060089869281</v>
      </c>
      <c r="Y103" s="763">
        <f t="shared" si="79"/>
        <v>48.71176848340366</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6"/>
        <v>13190.088192216881</v>
      </c>
      <c r="I104" s="487">
        <f>ITECountywide!$B$9*E104</f>
        <v>50.590842791664826</v>
      </c>
      <c r="J104" s="495">
        <f t="shared" si="67"/>
        <v>1.67</v>
      </c>
      <c r="K104" s="372">
        <f t="shared" si="68"/>
        <v>0.85658336747234742</v>
      </c>
      <c r="L104" s="488">
        <f>Passby_Length_Adj!H99</f>
        <v>0.51359516616314194</v>
      </c>
      <c r="M104" s="488">
        <f>Passby_Length_Adj!J99</f>
        <v>0.81</v>
      </c>
      <c r="N104" s="372">
        <v>0.5</v>
      </c>
      <c r="O104" s="481">
        <f t="shared" si="69"/>
        <v>0.2080060422960725</v>
      </c>
      <c r="P104" s="489">
        <f t="shared" si="70"/>
        <v>78.957950642208871</v>
      </c>
      <c r="Q104" s="490">
        <f t="shared" si="71"/>
        <v>47.280209965394533</v>
      </c>
      <c r="R104" s="491">
        <f t="shared" si="72"/>
        <v>261.71052631578948</v>
      </c>
      <c r="S104" s="500">
        <f t="shared" si="73"/>
        <v>12373.728634364437</v>
      </c>
      <c r="T104" s="489">
        <f t="shared" si="74"/>
        <v>4.9752780323183101</v>
      </c>
      <c r="U104" s="493">
        <f t="shared" si="75"/>
        <v>154.50490219883392</v>
      </c>
      <c r="V104" s="500">
        <f t="shared" si="76"/>
        <v>768.70484579534741</v>
      </c>
      <c r="W104" s="489">
        <f t="shared" si="77"/>
        <v>1.2571809412467814</v>
      </c>
      <c r="X104" s="493">
        <f t="shared" si="78"/>
        <v>37.9060089869281</v>
      </c>
      <c r="Y104" s="763">
        <f t="shared" si="79"/>
        <v>47.654712057095225</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6"/>
        <v>13030.150943481025</v>
      </c>
      <c r="I105" s="487">
        <f>ITECountywide!$B$9*E105</f>
        <v>47.957407840094127</v>
      </c>
      <c r="J105" s="495">
        <f t="shared" si="67"/>
        <v>1.67</v>
      </c>
      <c r="K105" s="372">
        <f t="shared" si="68"/>
        <v>0.85658336747234742</v>
      </c>
      <c r="L105" s="488">
        <f>Passby_Length_Adj!H100</f>
        <v>0.52870090634441091</v>
      </c>
      <c r="M105" s="488">
        <f>Passby_Length_Adj!J100</f>
        <v>0.82</v>
      </c>
      <c r="N105" s="372">
        <v>0.5</v>
      </c>
      <c r="O105" s="481">
        <f t="shared" si="69"/>
        <v>0.21676737160120846</v>
      </c>
      <c r="P105" s="489">
        <f t="shared" si="70"/>
        <v>78.0005410170793</v>
      </c>
      <c r="Q105" s="490">
        <f t="shared" si="71"/>
        <v>46.706910788670243</v>
      </c>
      <c r="R105" s="491">
        <f t="shared" si="72"/>
        <v>261.71052631578948</v>
      </c>
      <c r="S105" s="500">
        <f t="shared" si="73"/>
        <v>12223.690205087514</v>
      </c>
      <c r="T105" s="489">
        <f t="shared" si="74"/>
        <v>4.9149499838178858</v>
      </c>
      <c r="U105" s="493">
        <f t="shared" si="75"/>
        <v>154.50490219883392</v>
      </c>
      <c r="V105" s="500">
        <f t="shared" si="76"/>
        <v>759.3838665619428</v>
      </c>
      <c r="W105" s="489">
        <f t="shared" si="77"/>
        <v>1.2419369142186065</v>
      </c>
      <c r="X105" s="493">
        <f t="shared" si="78"/>
        <v>37.9060089869281</v>
      </c>
      <c r="Y105" s="763">
        <f t="shared" si="79"/>
        <v>47.076871831568255</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6"/>
        <v>30205.462173839518</v>
      </c>
      <c r="I106" s="487">
        <f>ITECountywide!$B$9*E106</f>
        <v>48.196516154198832</v>
      </c>
      <c r="J106" s="495">
        <f t="shared" si="67"/>
        <v>1.67</v>
      </c>
      <c r="K106" s="372">
        <f t="shared" si="68"/>
        <v>0.85658336747234742</v>
      </c>
      <c r="L106" s="488">
        <f>Passby_Length_Adj!H101</f>
        <v>1</v>
      </c>
      <c r="M106" s="488">
        <f>Passby_Length_Adj!J101</f>
        <v>1</v>
      </c>
      <c r="N106" s="372">
        <v>0.5</v>
      </c>
      <c r="O106" s="481">
        <f t="shared" si="69"/>
        <v>0.5</v>
      </c>
      <c r="P106" s="489">
        <f t="shared" si="70"/>
        <v>180.81466603494201</v>
      </c>
      <c r="Q106" s="490">
        <f t="shared" si="71"/>
        <v>108.27225511074373</v>
      </c>
      <c r="R106" s="491">
        <f t="shared" si="72"/>
        <v>261.71052631578948</v>
      </c>
      <c r="S106" s="500">
        <f t="shared" si="73"/>
        <v>28335.98887043017</v>
      </c>
      <c r="T106" s="489">
        <f t="shared" si="74"/>
        <v>11.39344712632035</v>
      </c>
      <c r="U106" s="493">
        <f t="shared" si="75"/>
        <v>154.50490219883392</v>
      </c>
      <c r="V106" s="500">
        <f t="shared" si="76"/>
        <v>1760.3434339597111</v>
      </c>
      <c r="W106" s="489">
        <f t="shared" si="77"/>
        <v>2.8789596258278922</v>
      </c>
      <c r="X106" s="493">
        <f t="shared" si="78"/>
        <v>37.9060089869281</v>
      </c>
      <c r="Y106" s="763">
        <f t="shared" si="79"/>
        <v>109.12986944963524</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6"/>
        <v>17250.666445754017</v>
      </c>
      <c r="I107" s="487">
        <f>ITECountywide!$B$9*E107</f>
        <v>50.462241810187869</v>
      </c>
      <c r="J107" s="495">
        <f t="shared" si="67"/>
        <v>1.67</v>
      </c>
      <c r="K107" s="372">
        <f t="shared" si="68"/>
        <v>0.85658336747234742</v>
      </c>
      <c r="L107" s="488">
        <f>Passby_Length_Adj!H102</f>
        <v>0.69486404833836857</v>
      </c>
      <c r="M107" s="488">
        <f>Passby_Length_Adj!J102</f>
        <v>0.78500000000000003</v>
      </c>
      <c r="N107" s="372">
        <v>0.5</v>
      </c>
      <c r="O107" s="481">
        <f t="shared" si="69"/>
        <v>0.27273413897280968</v>
      </c>
      <c r="P107" s="489">
        <f t="shared" si="70"/>
        <v>103.26521323585843</v>
      </c>
      <c r="Q107" s="490">
        <f t="shared" si="71"/>
        <v>61.835457027460137</v>
      </c>
      <c r="R107" s="491">
        <f t="shared" si="72"/>
        <v>261.71052631578948</v>
      </c>
      <c r="S107" s="500">
        <f t="shared" si="73"/>
        <v>16182.990003633975</v>
      </c>
      <c r="T107" s="489">
        <f t="shared" si="74"/>
        <v>6.5069209970146131</v>
      </c>
      <c r="U107" s="493">
        <f t="shared" si="75"/>
        <v>154.50490219883392</v>
      </c>
      <c r="V107" s="500">
        <f t="shared" si="76"/>
        <v>1005.3511922592817</v>
      </c>
      <c r="W107" s="489">
        <f t="shared" si="77"/>
        <v>1.6442050093496987</v>
      </c>
      <c r="X107" s="493">
        <f t="shared" si="78"/>
        <v>37.9060089869281</v>
      </c>
      <c r="Y107" s="763">
        <f t="shared" si="79"/>
        <v>62.325249860761879</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6"/>
        <v>34290.656648995246</v>
      </c>
      <c r="I108" s="487">
        <f>ITECountywide!$B$9*E108</f>
        <v>100.30820624194673</v>
      </c>
      <c r="J108" s="495">
        <f t="shared" si="67"/>
        <v>1.67</v>
      </c>
      <c r="K108" s="372">
        <f t="shared" si="68"/>
        <v>0.85658336747234742</v>
      </c>
      <c r="L108" s="488">
        <f>Passby_Length_Adj!H103</f>
        <v>0.69486404833836857</v>
      </c>
      <c r="M108" s="488">
        <f>Passby_Length_Adj!J103</f>
        <v>0.78500000000000003</v>
      </c>
      <c r="N108" s="372">
        <v>0.5</v>
      </c>
      <c r="O108" s="481">
        <f t="shared" si="69"/>
        <v>0.27273413897280968</v>
      </c>
      <c r="P108" s="489">
        <f t="shared" si="70"/>
        <v>205.26928521811803</v>
      </c>
      <c r="Q108" s="490">
        <f t="shared" si="71"/>
        <v>122.91573965156769</v>
      </c>
      <c r="R108" s="491">
        <f t="shared" si="72"/>
        <v>261.71052631578948</v>
      </c>
      <c r="S108" s="500">
        <f t="shared" si="73"/>
        <v>32168.342916706333</v>
      </c>
      <c r="T108" s="489">
        <f t="shared" si="74"/>
        <v>12.934375286450747</v>
      </c>
      <c r="U108" s="493">
        <f t="shared" si="75"/>
        <v>154.50490219883392</v>
      </c>
      <c r="V108" s="500">
        <f t="shared" si="76"/>
        <v>1998.4243886360871</v>
      </c>
      <c r="W108" s="489">
        <f t="shared" si="77"/>
        <v>3.2683299287863625</v>
      </c>
      <c r="X108" s="493">
        <f t="shared" si="78"/>
        <v>37.9060089869281</v>
      </c>
      <c r="Y108" s="763">
        <f t="shared" si="79"/>
        <v>123.88934365282194</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6"/>
        <v>27844.918719805773</v>
      </c>
      <c r="I109" s="487">
        <f>ITECountywide!$B$9*E109</f>
        <v>51.694796567045906</v>
      </c>
      <c r="J109" s="495">
        <f t="shared" si="67"/>
        <v>1.67</v>
      </c>
      <c r="K109" s="372">
        <f t="shared" si="68"/>
        <v>0.85658336747234742</v>
      </c>
      <c r="L109" s="488">
        <f>Passby_Length_Adj!H104</f>
        <v>0.8594671567024027</v>
      </c>
      <c r="M109" s="488">
        <f>Passby_Length_Adj!J104</f>
        <v>1</v>
      </c>
      <c r="N109" s="372">
        <v>0.5</v>
      </c>
      <c r="O109" s="481">
        <f t="shared" si="69"/>
        <v>0.42973357835120135</v>
      </c>
      <c r="P109" s="489">
        <f t="shared" si="70"/>
        <v>166.68408018773249</v>
      </c>
      <c r="Q109" s="490">
        <f t="shared" si="71"/>
        <v>99.810826459720062</v>
      </c>
      <c r="R109" s="491">
        <f t="shared" si="72"/>
        <v>261.71052631578948</v>
      </c>
      <c r="S109" s="500">
        <f t="shared" si="73"/>
        <v>26121.543924787264</v>
      </c>
      <c r="T109" s="489">
        <f t="shared" si="74"/>
        <v>10.50305429345689</v>
      </c>
      <c r="U109" s="493">
        <f t="shared" si="75"/>
        <v>154.50490219883392</v>
      </c>
      <c r="V109" s="500">
        <f t="shared" si="76"/>
        <v>1622.7733763995993</v>
      </c>
      <c r="W109" s="489">
        <f t="shared" si="77"/>
        <v>2.6539702096731781</v>
      </c>
      <c r="X109" s="493">
        <f t="shared" si="78"/>
        <v>37.9060089869281</v>
      </c>
      <c r="Y109" s="763">
        <f t="shared" si="79"/>
        <v>100.60141861891094</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6"/>
        <v>21342.752934368855</v>
      </c>
      <c r="I110" s="487">
        <f>ITECountywide!$B$9*E110</f>
        <v>193.54734843720766</v>
      </c>
      <c r="J110" s="495">
        <f t="shared" si="67"/>
        <v>1.67</v>
      </c>
      <c r="K110" s="372">
        <f t="shared" si="68"/>
        <v>0.85658336747234742</v>
      </c>
      <c r="L110" s="488">
        <f>Passby_Length_Adj!H105</f>
        <v>0.31419939577039274</v>
      </c>
      <c r="M110" s="488">
        <f>Passby_Length_Adj!J105</f>
        <v>0.56000000000000005</v>
      </c>
      <c r="N110" s="372">
        <v>0.5</v>
      </c>
      <c r="O110" s="481">
        <f t="shared" si="69"/>
        <v>8.7975830815709977E-2</v>
      </c>
      <c r="P110" s="489">
        <f t="shared" si="70"/>
        <v>127.7610890998541</v>
      </c>
      <c r="Q110" s="490">
        <f t="shared" si="71"/>
        <v>76.503646167577315</v>
      </c>
      <c r="R110" s="491">
        <f t="shared" si="72"/>
        <v>261.71052631578948</v>
      </c>
      <c r="S110" s="500">
        <f t="shared" si="73"/>
        <v>20021.809503593591</v>
      </c>
      <c r="T110" s="489">
        <f t="shared" si="74"/>
        <v>8.0504488124817932</v>
      </c>
      <c r="U110" s="493">
        <f t="shared" si="75"/>
        <v>154.50490219883392</v>
      </c>
      <c r="V110" s="500">
        <f t="shared" si="76"/>
        <v>1243.8338064292182</v>
      </c>
      <c r="W110" s="489">
        <f t="shared" si="77"/>
        <v>2.0342322076860722</v>
      </c>
      <c r="X110" s="493">
        <f t="shared" si="78"/>
        <v>37.9060089869281</v>
      </c>
      <c r="Y110" s="763">
        <f t="shared" si="79"/>
        <v>77.109624346046843</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6"/>
        <v>193049.57331886445</v>
      </c>
      <c r="I111" s="487">
        <f>ITECountywide!$B$9*E111</f>
        <v>1381.6938824378594</v>
      </c>
      <c r="J111" s="495">
        <f t="shared" si="67"/>
        <v>1.67</v>
      </c>
      <c r="K111" s="372">
        <f t="shared" si="68"/>
        <v>0.85658336747234742</v>
      </c>
      <c r="L111" s="488">
        <f>Passby_Length_Adj!H106</f>
        <v>0.32930513595166166</v>
      </c>
      <c r="M111" s="488">
        <f>Passby_Length_Adj!J106</f>
        <v>0.67700000000000005</v>
      </c>
      <c r="N111" s="372">
        <v>0.5</v>
      </c>
      <c r="O111" s="481">
        <f t="shared" si="69"/>
        <v>0.11146978851963749</v>
      </c>
      <c r="P111" s="489">
        <f t="shared" si="70"/>
        <v>1155.6252285412884</v>
      </c>
      <c r="Q111" s="490">
        <f t="shared" si="71"/>
        <v>691.99115481514275</v>
      </c>
      <c r="R111" s="491">
        <f t="shared" si="72"/>
        <v>261.71052631578948</v>
      </c>
      <c r="S111" s="500">
        <f t="shared" si="73"/>
        <v>181101.36933254197</v>
      </c>
      <c r="T111" s="489">
        <f t="shared" si="74"/>
        <v>72.817959007167232</v>
      </c>
      <c r="U111" s="493">
        <f t="shared" si="75"/>
        <v>154.50490219883392</v>
      </c>
      <c r="V111" s="500">
        <f t="shared" si="76"/>
        <v>11250.731634721071</v>
      </c>
      <c r="W111" s="489">
        <f t="shared" si="77"/>
        <v>18.400047122922903</v>
      </c>
      <c r="X111" s="493">
        <f t="shared" si="78"/>
        <v>37.9060089869281</v>
      </c>
      <c r="Y111" s="763">
        <f t="shared" si="79"/>
        <v>697.47235160141611</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6"/>
        <v>158080.42145358029</v>
      </c>
      <c r="I112" s="487">
        <f>ITECountywide!$B$9*E112</f>
        <v>1131.4127635746866</v>
      </c>
      <c r="J112" s="495">
        <f t="shared" si="67"/>
        <v>1.67</v>
      </c>
      <c r="K112" s="372">
        <f t="shared" si="68"/>
        <v>0.85658336747234742</v>
      </c>
      <c r="L112" s="488">
        <f>Passby_Length_Adj!H107</f>
        <v>0.32930513595166166</v>
      </c>
      <c r="M112" s="488">
        <f>Passby_Length_Adj!J107</f>
        <v>0.67700000000000005</v>
      </c>
      <c r="N112" s="372">
        <v>0.5</v>
      </c>
      <c r="O112" s="481">
        <f t="shared" si="69"/>
        <v>0.11146978851963749</v>
      </c>
      <c r="P112" s="489">
        <f t="shared" si="70"/>
        <v>946.29436382362428</v>
      </c>
      <c r="Q112" s="490">
        <f t="shared" si="71"/>
        <v>566.64333163091271</v>
      </c>
      <c r="R112" s="491">
        <f t="shared" si="72"/>
        <v>261.71052631578948</v>
      </c>
      <c r="S112" s="500">
        <f t="shared" si="73"/>
        <v>148296.52455445859</v>
      </c>
      <c r="T112" s="489">
        <f t="shared" si="74"/>
        <v>59.627656520273121</v>
      </c>
      <c r="U112" s="493">
        <f t="shared" si="75"/>
        <v>154.50490219883392</v>
      </c>
      <c r="V112" s="500">
        <f t="shared" si="76"/>
        <v>9212.7652390104595</v>
      </c>
      <c r="W112" s="489">
        <f t="shared" si="77"/>
        <v>15.067048084861833</v>
      </c>
      <c r="X112" s="493">
        <f t="shared" si="78"/>
        <v>37.9060089869281</v>
      </c>
      <c r="Y112" s="763">
        <f t="shared" si="79"/>
        <v>571.13166011125043</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6"/>
        <v>40810.575122295988</v>
      </c>
      <c r="I113" s="487">
        <f>ITECountywide!$B$9*E113</f>
        <v>75.765865936273457</v>
      </c>
      <c r="J113" s="495">
        <f t="shared" si="67"/>
        <v>1.67</v>
      </c>
      <c r="K113" s="372">
        <f t="shared" si="68"/>
        <v>0.85658336747234742</v>
      </c>
      <c r="L113" s="488">
        <f>Passby_Length_Adj!H108</f>
        <v>0.8594671567024027</v>
      </c>
      <c r="M113" s="488">
        <f>Passby_Length_Adj!J108</f>
        <v>1</v>
      </c>
      <c r="N113" s="372">
        <v>0.5</v>
      </c>
      <c r="O113" s="481">
        <f t="shared" si="69"/>
        <v>0.42973357835120135</v>
      </c>
      <c r="P113" s="489">
        <f t="shared" si="70"/>
        <v>244.29854669871031</v>
      </c>
      <c r="Q113" s="490">
        <f t="shared" si="71"/>
        <v>146.28655490940739</v>
      </c>
      <c r="R113" s="491">
        <f t="shared" si="72"/>
        <v>261.71052631578948</v>
      </c>
      <c r="S113" s="500">
        <f t="shared" si="73"/>
        <v>38284.731278264648</v>
      </c>
      <c r="T113" s="489">
        <f t="shared" si="74"/>
        <v>15.393677050017462</v>
      </c>
      <c r="U113" s="493">
        <f t="shared" si="75"/>
        <v>154.50490219883392</v>
      </c>
      <c r="V113" s="500">
        <f t="shared" si="76"/>
        <v>2378.3985670933821</v>
      </c>
      <c r="W113" s="489">
        <f t="shared" si="77"/>
        <v>3.8897599847243631</v>
      </c>
      <c r="X113" s="493">
        <f t="shared" si="78"/>
        <v>37.9060089869281</v>
      </c>
      <c r="Y113" s="763">
        <f t="shared" si="79"/>
        <v>147.44527693795501</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6"/>
        <v>28069.474515933241</v>
      </c>
      <c r="I114" s="487">
        <f>ITECountywide!$B$9*E114</f>
        <v>52.111690087747888</v>
      </c>
      <c r="J114" s="495">
        <f t="shared" si="67"/>
        <v>1.67</v>
      </c>
      <c r="K114" s="372">
        <f t="shared" si="68"/>
        <v>0.85658336747234742</v>
      </c>
      <c r="L114" s="488">
        <f>Passby_Length_Adj!H109</f>
        <v>0.8594671567024027</v>
      </c>
      <c r="M114" s="488">
        <f>Passby_Length_Adj!J109</f>
        <v>1</v>
      </c>
      <c r="N114" s="372">
        <v>0.5</v>
      </c>
      <c r="O114" s="481">
        <f t="shared" si="69"/>
        <v>0.42973357835120135</v>
      </c>
      <c r="P114" s="489">
        <f t="shared" si="70"/>
        <v>168.02830664085937</v>
      </c>
      <c r="Q114" s="490">
        <f t="shared" si="71"/>
        <v>100.61575247955652</v>
      </c>
      <c r="R114" s="491">
        <f t="shared" si="72"/>
        <v>261.71052631578948</v>
      </c>
      <c r="S114" s="500">
        <f t="shared" si="73"/>
        <v>26332.201537083936</v>
      </c>
      <c r="T114" s="489">
        <f t="shared" si="74"/>
        <v>10.587756344210575</v>
      </c>
      <c r="U114" s="493">
        <f t="shared" si="75"/>
        <v>154.50490219883392</v>
      </c>
      <c r="V114" s="500">
        <f t="shared" si="76"/>
        <v>1635.8602584673383</v>
      </c>
      <c r="W114" s="489">
        <f t="shared" si="77"/>
        <v>2.6753731952350583</v>
      </c>
      <c r="X114" s="493">
        <f t="shared" si="78"/>
        <v>37.9060089869281</v>
      </c>
      <c r="Y114" s="763">
        <f t="shared" si="79"/>
        <v>101.41272038196666</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6"/>
        <v>30012.37031721001</v>
      </c>
      <c r="I115" s="487">
        <f>ITECountywide!$B$9*E115</f>
        <v>55.718725332082435</v>
      </c>
      <c r="J115" s="495">
        <f t="shared" si="67"/>
        <v>1.67</v>
      </c>
      <c r="K115" s="372">
        <f t="shared" si="68"/>
        <v>0.85658336747234742</v>
      </c>
      <c r="L115" s="488">
        <f>Passby_Length_Adj!H110</f>
        <v>0.8594671567024027</v>
      </c>
      <c r="M115" s="488">
        <f>Passby_Length_Adj!J110</f>
        <v>1</v>
      </c>
      <c r="N115" s="372">
        <v>0.5</v>
      </c>
      <c r="O115" s="481">
        <f t="shared" si="69"/>
        <v>0.42973357835120135</v>
      </c>
      <c r="P115" s="489">
        <f t="shared" si="70"/>
        <v>179.65878769182666</v>
      </c>
      <c r="Q115" s="490">
        <f t="shared" si="71"/>
        <v>107.58011239031536</v>
      </c>
      <c r="R115" s="491">
        <f t="shared" si="72"/>
        <v>261.71052631578948</v>
      </c>
      <c r="S115" s="500">
        <f t="shared" si="73"/>
        <v>28154.84783478122</v>
      </c>
      <c r="T115" s="489">
        <f t="shared" si="74"/>
        <v>11.32061321812289</v>
      </c>
      <c r="U115" s="493">
        <f t="shared" si="75"/>
        <v>154.50490219883392</v>
      </c>
      <c r="V115" s="500">
        <f t="shared" si="76"/>
        <v>1749.0902380969037</v>
      </c>
      <c r="W115" s="489">
        <f t="shared" si="77"/>
        <v>2.8605555485748071</v>
      </c>
      <c r="X115" s="493">
        <f t="shared" si="78"/>
        <v>37.9060089869281</v>
      </c>
      <c r="Y115" s="763">
        <f t="shared" si="79"/>
        <v>108.43224433188368</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6"/>
        <v>40078.327961010771</v>
      </c>
      <c r="I116" s="487">
        <f>ITECountywide!$B$9*E116</f>
        <v>74.406430542680027</v>
      </c>
      <c r="J116" s="495">
        <f t="shared" si="67"/>
        <v>1.67</v>
      </c>
      <c r="K116" s="372">
        <f t="shared" si="68"/>
        <v>0.85658336747234742</v>
      </c>
      <c r="L116" s="488">
        <f>Passby_Length_Adj!H111</f>
        <v>0.8594671567024027</v>
      </c>
      <c r="M116" s="488">
        <f>Passby_Length_Adj!J111</f>
        <v>1</v>
      </c>
      <c r="N116" s="372">
        <v>0.5</v>
      </c>
      <c r="O116" s="481">
        <f t="shared" si="69"/>
        <v>0.42973357835120135</v>
      </c>
      <c r="P116" s="489">
        <f t="shared" si="70"/>
        <v>239.91519956894876</v>
      </c>
      <c r="Q116" s="490">
        <f t="shared" si="71"/>
        <v>143.66179614907114</v>
      </c>
      <c r="R116" s="491">
        <f t="shared" si="72"/>
        <v>261.71052631578948</v>
      </c>
      <c r="S116" s="500">
        <f t="shared" si="73"/>
        <v>37597.804281645069</v>
      </c>
      <c r="T116" s="489">
        <f t="shared" si="74"/>
        <v>15.117474710603274</v>
      </c>
      <c r="U116" s="493">
        <f t="shared" si="75"/>
        <v>154.50490219883392</v>
      </c>
      <c r="V116" s="500">
        <f t="shared" si="76"/>
        <v>2335.723951655104</v>
      </c>
      <c r="W116" s="489">
        <f t="shared" si="77"/>
        <v>3.81996764050084</v>
      </c>
      <c r="X116" s="493">
        <f t="shared" si="78"/>
        <v>37.9060089869281</v>
      </c>
      <c r="Y116" s="763">
        <f t="shared" si="79"/>
        <v>144.79972771059937</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6"/>
        <v>140200.92314740914</v>
      </c>
      <c r="I117" s="487">
        <f>ITECountywide!$B$9*E117</f>
        <v>260.28656336002075</v>
      </c>
      <c r="J117" s="495">
        <f t="shared" si="67"/>
        <v>1.67</v>
      </c>
      <c r="K117" s="372">
        <f t="shared" si="68"/>
        <v>0.85658336747234742</v>
      </c>
      <c r="L117" s="488">
        <f>Passby_Length_Adj!H112</f>
        <v>0.8594671567024027</v>
      </c>
      <c r="M117" s="488">
        <f>Passby_Length_Adj!J112</f>
        <v>1</v>
      </c>
      <c r="N117" s="372">
        <v>0.5</v>
      </c>
      <c r="O117" s="481">
        <f t="shared" si="69"/>
        <v>0.42973357835120135</v>
      </c>
      <c r="P117" s="489">
        <f t="shared" si="70"/>
        <v>839.26486377834453</v>
      </c>
      <c r="Q117" s="490">
        <f t="shared" si="71"/>
        <v>502.55381064571532</v>
      </c>
      <c r="R117" s="491">
        <f t="shared" si="72"/>
        <v>261.71052631578948</v>
      </c>
      <c r="S117" s="500">
        <f t="shared" si="73"/>
        <v>131523.62228609575</v>
      </c>
      <c r="T117" s="489">
        <f t="shared" si="74"/>
        <v>52.883541253170037</v>
      </c>
      <c r="U117" s="493">
        <f t="shared" si="75"/>
        <v>154.50490219883392</v>
      </c>
      <c r="V117" s="500">
        <f t="shared" si="76"/>
        <v>8170.7663692490351</v>
      </c>
      <c r="W117" s="489">
        <f t="shared" si="77"/>
        <v>13.362907507330586</v>
      </c>
      <c r="X117" s="493">
        <f t="shared" si="78"/>
        <v>37.9060089869281</v>
      </c>
      <c r="Y117" s="763">
        <f t="shared" si="79"/>
        <v>506.53449206436215</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6"/>
        <v>19526.590967605734</v>
      </c>
      <c r="I118" s="487">
        <f>ITECountywide!$B$9*E118</f>
        <v>36.251610495824622</v>
      </c>
      <c r="J118" s="495">
        <f t="shared" si="67"/>
        <v>1.67</v>
      </c>
      <c r="K118" s="372">
        <f t="shared" si="68"/>
        <v>0.85658336747234742</v>
      </c>
      <c r="L118" s="488">
        <f>Passby_Length_Adj!H113</f>
        <v>0.8594671567024027</v>
      </c>
      <c r="M118" s="488">
        <f>Passby_Length_Adj!J113</f>
        <v>1</v>
      </c>
      <c r="N118" s="372">
        <v>0.5</v>
      </c>
      <c r="O118" s="481">
        <f t="shared" si="69"/>
        <v>0.42973357835120135</v>
      </c>
      <c r="P118" s="489">
        <f t="shared" si="70"/>
        <v>116.88925679364132</v>
      </c>
      <c r="Q118" s="490">
        <f t="shared" si="71"/>
        <v>69.993566942300191</v>
      </c>
      <c r="R118" s="491">
        <f t="shared" si="72"/>
        <v>261.71052631578948</v>
      </c>
      <c r="S118" s="500">
        <f t="shared" si="73"/>
        <v>18318.053243188828</v>
      </c>
      <c r="T118" s="489">
        <f t="shared" si="74"/>
        <v>7.3653957177117055</v>
      </c>
      <c r="U118" s="493">
        <f t="shared" si="75"/>
        <v>154.50490219883392</v>
      </c>
      <c r="V118" s="500">
        <f t="shared" si="76"/>
        <v>1137.9897450207573</v>
      </c>
      <c r="W118" s="489">
        <f t="shared" si="77"/>
        <v>1.8611291792939539</v>
      </c>
      <c r="X118" s="493">
        <f t="shared" si="78"/>
        <v>37.9060089869281</v>
      </c>
      <c r="Y118" s="763">
        <f t="shared" si="79"/>
        <v>70.547979396150737</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6"/>
        <v>22338.420066940958</v>
      </c>
      <c r="I119" s="487">
        <f>ITECountywide!$B$9*E119</f>
        <v>41.471842407223363</v>
      </c>
      <c r="J119" s="495">
        <f t="shared" si="67"/>
        <v>1.67</v>
      </c>
      <c r="K119" s="372">
        <f t="shared" si="68"/>
        <v>0.85658336747234742</v>
      </c>
      <c r="L119" s="488">
        <f>Passby_Length_Adj!H114</f>
        <v>0.8594671567024027</v>
      </c>
      <c r="M119" s="488">
        <f>Passby_Length_Adj!J114</f>
        <v>1</v>
      </c>
      <c r="N119" s="372">
        <v>0.5</v>
      </c>
      <c r="O119" s="481">
        <f t="shared" si="69"/>
        <v>0.42973357835120135</v>
      </c>
      <c r="P119" s="489">
        <f t="shared" si="70"/>
        <v>133.72130977192566</v>
      </c>
      <c r="Q119" s="490">
        <f t="shared" si="71"/>
        <v>80.072640581991422</v>
      </c>
      <c r="R119" s="491">
        <f t="shared" si="72"/>
        <v>261.71052631578948</v>
      </c>
      <c r="S119" s="500">
        <f t="shared" si="73"/>
        <v>20955.852910208017</v>
      </c>
      <c r="T119" s="489">
        <f t="shared" si="74"/>
        <v>8.4260127010621897</v>
      </c>
      <c r="U119" s="493">
        <f t="shared" si="75"/>
        <v>154.50490219883392</v>
      </c>
      <c r="V119" s="500">
        <f t="shared" si="76"/>
        <v>1301.8602683037461</v>
      </c>
      <c r="W119" s="489">
        <f t="shared" si="77"/>
        <v>2.129131781112283</v>
      </c>
      <c r="X119" s="493">
        <f t="shared" si="78"/>
        <v>37.9060089869281</v>
      </c>
      <c r="Y119" s="763">
        <f t="shared" si="79"/>
        <v>80.706888429196425</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6"/>
        <v>64828.282012451033</v>
      </c>
      <c r="I120" s="487">
        <f>ITECountywide!$B$9*E120</f>
        <v>120.35534684613775</v>
      </c>
      <c r="J120" s="495">
        <f t="shared" si="67"/>
        <v>1.67</v>
      </c>
      <c r="K120" s="372">
        <f t="shared" si="68"/>
        <v>0.85658336747234742</v>
      </c>
      <c r="L120" s="488">
        <f>Passby_Length_Adj!H115</f>
        <v>0.8594671567024027</v>
      </c>
      <c r="M120" s="488">
        <f>Passby_Length_Adj!J115</f>
        <v>1</v>
      </c>
      <c r="N120" s="372">
        <v>0.5</v>
      </c>
      <c r="O120" s="481">
        <f t="shared" si="69"/>
        <v>0.42973357835120135</v>
      </c>
      <c r="P120" s="489">
        <f t="shared" si="70"/>
        <v>388.07233255488916</v>
      </c>
      <c r="Q120" s="490">
        <f t="shared" si="71"/>
        <v>232.37864224843662</v>
      </c>
      <c r="R120" s="491">
        <f t="shared" si="72"/>
        <v>261.71052631578948</v>
      </c>
      <c r="S120" s="500">
        <f t="shared" si="73"/>
        <v>60815.936767386898</v>
      </c>
      <c r="T120" s="489">
        <f t="shared" si="74"/>
        <v>24.453113782802863</v>
      </c>
      <c r="U120" s="493">
        <f t="shared" si="75"/>
        <v>154.50490219883392</v>
      </c>
      <c r="V120" s="500">
        <f t="shared" si="76"/>
        <v>3778.1259534689138</v>
      </c>
      <c r="W120" s="489">
        <f t="shared" si="77"/>
        <v>6.1789488752559274</v>
      </c>
      <c r="X120" s="493">
        <f t="shared" si="78"/>
        <v>37.9060089869281</v>
      </c>
      <c r="Y120" s="763">
        <f t="shared" si="79"/>
        <v>234.21929159522045</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6"/>
        <v>55211.435960905212</v>
      </c>
      <c r="I121" s="487">
        <f>ITECountywide!$B$9*E121</f>
        <v>102.5014286769441</v>
      </c>
      <c r="J121" s="495">
        <f t="shared" si="67"/>
        <v>1.67</v>
      </c>
      <c r="K121" s="372">
        <f t="shared" si="68"/>
        <v>0.85658336747234742</v>
      </c>
      <c r="L121" s="488">
        <f>Passby_Length_Adj!H116</f>
        <v>0.8594671567024027</v>
      </c>
      <c r="M121" s="488">
        <f>Passby_Length_Adj!J116</f>
        <v>1</v>
      </c>
      <c r="N121" s="372">
        <v>0.5</v>
      </c>
      <c r="O121" s="481">
        <f t="shared" si="69"/>
        <v>0.42973357835120135</v>
      </c>
      <c r="P121" s="489">
        <f t="shared" si="70"/>
        <v>330.50437358402081</v>
      </c>
      <c r="Q121" s="490">
        <f t="shared" si="71"/>
        <v>197.90681052935378</v>
      </c>
      <c r="R121" s="491">
        <f t="shared" si="72"/>
        <v>261.71052631578948</v>
      </c>
      <c r="S121" s="500">
        <f t="shared" si="73"/>
        <v>51794.295545116402</v>
      </c>
      <c r="T121" s="489">
        <f t="shared" si="74"/>
        <v>20.825656391829845</v>
      </c>
      <c r="U121" s="493">
        <f t="shared" si="75"/>
        <v>154.50490219883392</v>
      </c>
      <c r="V121" s="500">
        <f t="shared" si="76"/>
        <v>3217.6660040461907</v>
      </c>
      <c r="W121" s="489">
        <f t="shared" si="77"/>
        <v>5.2623427544536545</v>
      </c>
      <c r="X121" s="493">
        <f t="shared" si="78"/>
        <v>37.9060089869281</v>
      </c>
      <c r="Y121" s="763">
        <f t="shared" si="79"/>
        <v>199.47441174261621</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6"/>
        <v>10417.077163364171</v>
      </c>
      <c r="I122" s="487">
        <f>ITECountywide!$B$9*E122</f>
        <v>163.27725367319408</v>
      </c>
      <c r="J122" s="495">
        <f t="shared" si="67"/>
        <v>1.67</v>
      </c>
      <c r="K122" s="372">
        <f t="shared" si="68"/>
        <v>0.85658336747234742</v>
      </c>
      <c r="L122" s="488">
        <f>Passby_Length_Adj!H117</f>
        <v>0.31419939577039274</v>
      </c>
      <c r="M122" s="488">
        <f>Passby_Length_Adj!J117</f>
        <v>0.32400000000000001</v>
      </c>
      <c r="N122" s="372">
        <v>0.5</v>
      </c>
      <c r="O122" s="481">
        <f t="shared" si="69"/>
        <v>5.0900302114803626E-2</v>
      </c>
      <c r="P122" s="489">
        <f t="shared" si="70"/>
        <v>62.358268763231699</v>
      </c>
      <c r="Q122" s="490">
        <f t="shared" si="71"/>
        <v>37.340280696545932</v>
      </c>
      <c r="R122" s="491">
        <f t="shared" si="72"/>
        <v>261.71052631578948</v>
      </c>
      <c r="S122" s="500">
        <f t="shared" si="73"/>
        <v>9772.3445138723509</v>
      </c>
      <c r="T122" s="489">
        <f t="shared" si="74"/>
        <v>3.9293031567774293</v>
      </c>
      <c r="U122" s="493">
        <f t="shared" si="75"/>
        <v>154.50490219883392</v>
      </c>
      <c r="V122" s="500">
        <f t="shared" si="76"/>
        <v>607.09659994746607</v>
      </c>
      <c r="W122" s="489">
        <f t="shared" si="77"/>
        <v>0.99287818871493272</v>
      </c>
      <c r="X122" s="493">
        <f t="shared" si="78"/>
        <v>37.9060089869281</v>
      </c>
      <c r="Y122" s="763">
        <f t="shared" si="79"/>
        <v>37.636049544353135</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6"/>
        <v>12623.536225053649</v>
      </c>
      <c r="I123" s="487">
        <f>ITECountywide!$B$9*E123</f>
        <v>197.86129008621077</v>
      </c>
      <c r="J123" s="495">
        <f t="shared" si="67"/>
        <v>1.67</v>
      </c>
      <c r="K123" s="372">
        <f t="shared" si="68"/>
        <v>0.85658336747234742</v>
      </c>
      <c r="L123" s="488">
        <f>Passby_Length_Adj!H118</f>
        <v>0.31419939577039274</v>
      </c>
      <c r="M123" s="488">
        <f>Passby_Length_Adj!J118</f>
        <v>0.32400000000000001</v>
      </c>
      <c r="N123" s="372">
        <v>0.5</v>
      </c>
      <c r="O123" s="481">
        <f t="shared" si="69"/>
        <v>5.0900302114803626E-2</v>
      </c>
      <c r="P123" s="489">
        <f t="shared" si="70"/>
        <v>75.566481107841625</v>
      </c>
      <c r="Q123" s="490">
        <f t="shared" si="71"/>
        <v>45.249389884935105</v>
      </c>
      <c r="R123" s="491">
        <f t="shared" si="72"/>
        <v>261.71052631578948</v>
      </c>
      <c r="S123" s="500">
        <f t="shared" si="73"/>
        <v>11842.241642254727</v>
      </c>
      <c r="T123" s="489">
        <f t="shared" si="74"/>
        <v>4.7615756282618138</v>
      </c>
      <c r="U123" s="493">
        <f t="shared" si="75"/>
        <v>154.50490219883392</v>
      </c>
      <c r="V123" s="500">
        <f t="shared" si="76"/>
        <v>735.68677675694266</v>
      </c>
      <c r="W123" s="489">
        <f t="shared" si="77"/>
        <v>1.2031814285093478</v>
      </c>
      <c r="X123" s="493">
        <f t="shared" si="78"/>
        <v>37.9060089869281</v>
      </c>
      <c r="Y123" s="763">
        <f t="shared" si="79"/>
        <v>45.607806041980325</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6"/>
        <v>246718.47687569843</v>
      </c>
      <c r="I124" s="487">
        <f>ITECountywide!$B$9*E124</f>
        <v>458.03909861474403</v>
      </c>
      <c r="J124" s="495">
        <f t="shared" si="67"/>
        <v>1.67</v>
      </c>
      <c r="K124" s="372">
        <f t="shared" si="68"/>
        <v>0.85658336747234742</v>
      </c>
      <c r="L124" s="488">
        <f>Passby_Length_Adj!H119</f>
        <v>0.8594671567024027</v>
      </c>
      <c r="M124" s="488">
        <f>Passby_Length_Adj!J119</f>
        <v>1</v>
      </c>
      <c r="N124" s="372">
        <v>0.5</v>
      </c>
      <c r="O124" s="481">
        <f t="shared" si="69"/>
        <v>0.42973357835120135</v>
      </c>
      <c r="P124" s="489">
        <f t="shared" si="70"/>
        <v>1476.8957595876579</v>
      </c>
      <c r="Q124" s="490">
        <f t="shared" si="71"/>
        <v>884.36871831596284</v>
      </c>
      <c r="R124" s="491">
        <f t="shared" si="72"/>
        <v>261.71052631578948</v>
      </c>
      <c r="S124" s="500">
        <f t="shared" si="73"/>
        <v>231448.6027276908</v>
      </c>
      <c r="T124" s="489">
        <f t="shared" si="74"/>
        <v>93.061774893287392</v>
      </c>
      <c r="U124" s="493">
        <f t="shared" si="75"/>
        <v>154.50490219883392</v>
      </c>
      <c r="V124" s="500">
        <f t="shared" si="76"/>
        <v>14378.500428337265</v>
      </c>
      <c r="W124" s="489">
        <f t="shared" si="77"/>
        <v>23.515367180379105</v>
      </c>
      <c r="X124" s="493">
        <f t="shared" si="78"/>
        <v>37.9060089869281</v>
      </c>
      <c r="Y124" s="763">
        <f t="shared" si="79"/>
        <v>891.37371967036449</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6"/>
        <v>3568.3404832430574</v>
      </c>
      <c r="I125" s="487">
        <f>ITECountywide!$B$9*E125</f>
        <v>11.419257306184756</v>
      </c>
      <c r="J125" s="495">
        <f t="shared" si="67"/>
        <v>1.67</v>
      </c>
      <c r="K125" s="372">
        <f t="shared" si="68"/>
        <v>0.85658336747234742</v>
      </c>
      <c r="L125" s="488">
        <f>Passby_Length_Adj!H120</f>
        <v>0.91993957703927487</v>
      </c>
      <c r="M125" s="488">
        <f>Passby_Length_Adj!J120</f>
        <v>0.54200000000000004</v>
      </c>
      <c r="N125" s="372">
        <v>0.5</v>
      </c>
      <c r="O125" s="481">
        <f t="shared" si="69"/>
        <v>0.2493036253776435</v>
      </c>
      <c r="P125" s="489">
        <f t="shared" si="70"/>
        <v>21.360649576001588</v>
      </c>
      <c r="Q125" s="490">
        <f t="shared" si="71"/>
        <v>12.790808129342269</v>
      </c>
      <c r="R125" s="491">
        <f t="shared" si="72"/>
        <v>261.71052631578948</v>
      </c>
      <c r="S125" s="500">
        <f t="shared" si="73"/>
        <v>3347.4891275344439</v>
      </c>
      <c r="T125" s="489">
        <f t="shared" si="74"/>
        <v>1.3459717447975172</v>
      </c>
      <c r="U125" s="493">
        <f t="shared" si="75"/>
        <v>154.50490219883392</v>
      </c>
      <c r="V125" s="500">
        <f t="shared" si="76"/>
        <v>207.95923279233423</v>
      </c>
      <c r="W125" s="489">
        <f t="shared" si="77"/>
        <v>0.34010763097547747</v>
      </c>
      <c r="X125" s="493">
        <f t="shared" si="78"/>
        <v>37.9060089869281</v>
      </c>
      <c r="Y125" s="763">
        <f t="shared" si="79"/>
        <v>12.892122916279275</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6"/>
        <v>70611.558536838071</v>
      </c>
      <c r="I126" s="487">
        <f>ITECountywide!$B$9*E126</f>
        <v>183.95879746106203</v>
      </c>
      <c r="J126" s="495">
        <f t="shared" si="67"/>
        <v>1.67</v>
      </c>
      <c r="K126" s="372">
        <f t="shared" si="68"/>
        <v>0.85658336747234742</v>
      </c>
      <c r="L126" s="488">
        <f>Passby_Length_Adj!H121</f>
        <v>0.61247081225203326</v>
      </c>
      <c r="M126" s="488">
        <f>Passby_Length_Adj!J121</f>
        <v>1</v>
      </c>
      <c r="N126" s="372">
        <v>0.5</v>
      </c>
      <c r="O126" s="481">
        <f t="shared" si="69"/>
        <v>0.30623540612601663</v>
      </c>
      <c r="P126" s="489">
        <f t="shared" si="70"/>
        <v>422.69193901303584</v>
      </c>
      <c r="Q126" s="490">
        <f t="shared" si="71"/>
        <v>253.10894551678794</v>
      </c>
      <c r="R126" s="491">
        <f t="shared" si="72"/>
        <v>261.71052631578948</v>
      </c>
      <c r="S126" s="500">
        <f t="shared" si="73"/>
        <v>66241.27534643306</v>
      </c>
      <c r="T126" s="489">
        <f t="shared" si="74"/>
        <v>26.634555500803149</v>
      </c>
      <c r="U126" s="493">
        <f t="shared" si="75"/>
        <v>154.50490219883392</v>
      </c>
      <c r="V126" s="500">
        <f t="shared" si="76"/>
        <v>4115.169392761004</v>
      </c>
      <c r="W126" s="489">
        <f t="shared" si="77"/>
        <v>6.7301677085545171</v>
      </c>
      <c r="X126" s="493">
        <f t="shared" si="78"/>
        <v>37.9060089869281</v>
      </c>
      <c r="Y126" s="763">
        <f t="shared" si="79"/>
        <v>255.11379764400081</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6"/>
        <v>30517.227732458512</v>
      </c>
      <c r="I128" s="487">
        <f>ITECountywide!$B$9*E128</f>
        <v>283.63260051933179</v>
      </c>
      <c r="J128" s="495">
        <f t="shared" ref="J128:J137" si="80">IF(F128="Prod",$M$3,$M$4)</f>
        <v>1.67</v>
      </c>
      <c r="K128" s="372">
        <f t="shared" ref="K128:K137" si="81">IF(F128="Prod",$F$4,$F$5)</f>
        <v>0.85658336747234742</v>
      </c>
      <c r="L128" s="488">
        <f>Passby_Length_Adj!H123</f>
        <v>0.37160120845921452</v>
      </c>
      <c r="M128" s="488">
        <f>Passby_Length_Adj!J123</f>
        <v>0.46200000000000002</v>
      </c>
      <c r="N128" s="372">
        <v>0.5</v>
      </c>
      <c r="O128" s="481">
        <f t="shared" ref="O128:O137" si="82">L128*M128*N128</f>
        <v>8.5839879154078563E-2</v>
      </c>
      <c r="P128" s="489">
        <f t="shared" ref="P128:P137" si="83">IF($F128="Prod",$I128*$O128*$F$4*$F$6,$I128*O128*$F$5*$F$7)</f>
        <v>182.68094389682204</v>
      </c>
      <c r="Q128" s="490">
        <f t="shared" ref="Q128:Q137" si="84">+P128/J128</f>
        <v>109.38978676456411</v>
      </c>
      <c r="R128" s="491">
        <f t="shared" ref="R128:R137" si="85">+$Q$4</f>
        <v>261.71052631578948</v>
      </c>
      <c r="S128" s="500">
        <f t="shared" ref="S128:S137" si="86">+Q128*R128</f>
        <v>28628.458667726056</v>
      </c>
      <c r="T128" s="489">
        <f t="shared" ref="T128:T137" si="87">IF($F128="Prod",$I128*$O128*$G$4*$G$6,$I128*$O128*$G$5*$G$7)</f>
        <v>11.51104454586951</v>
      </c>
      <c r="U128" s="493">
        <f t="shared" ref="U128:U137" si="88">+$R$4</f>
        <v>154.50490219883392</v>
      </c>
      <c r="V128" s="500">
        <f t="shared" ref="V128:V137" si="89">+T128*U128</f>
        <v>1778.5128117659892</v>
      </c>
      <c r="W128" s="489">
        <f t="shared" ref="W128:W137" si="90">IF($F128="Prod",$I128*$O128*$J$4*$J$6,$I128*$O128*$J$5*$J$7)</f>
        <v>2.9086747962438286</v>
      </c>
      <c r="X128" s="493">
        <f t="shared" ref="X128:X137" si="91">$S$4</f>
        <v>37.9060089869281</v>
      </c>
      <c r="Y128" s="763">
        <f t="shared" ref="Y128:Y137" si="92">+W128*X128</f>
        <v>110.25625296646983</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6"/>
        <v>19508.169031683447</v>
      </c>
      <c r="I129" s="487">
        <f>ITECountywide!$B$9*E129</f>
        <v>181.31242989486685</v>
      </c>
      <c r="J129" s="495">
        <f t="shared" si="80"/>
        <v>1.67</v>
      </c>
      <c r="K129" s="372">
        <f t="shared" si="81"/>
        <v>0.85658336747234742</v>
      </c>
      <c r="L129" s="488">
        <f>Passby_Length_Adj!H124</f>
        <v>0.37160120845921452</v>
      </c>
      <c r="M129" s="488">
        <f>Passby_Length_Adj!J124</f>
        <v>0.46200000000000002</v>
      </c>
      <c r="N129" s="372">
        <v>0.5</v>
      </c>
      <c r="O129" s="481">
        <f t="shared" si="82"/>
        <v>8.5839879154078563E-2</v>
      </c>
      <c r="P129" s="489">
        <f t="shared" si="83"/>
        <v>116.77898017637469</v>
      </c>
      <c r="Q129" s="490">
        <f t="shared" si="84"/>
        <v>69.927533039745327</v>
      </c>
      <c r="R129" s="491">
        <f t="shared" si="85"/>
        <v>261.71052631578948</v>
      </c>
      <c r="S129" s="500">
        <f t="shared" si="86"/>
        <v>18300.771475796508</v>
      </c>
      <c r="T129" s="489">
        <f t="shared" si="87"/>
        <v>7.358446995931283</v>
      </c>
      <c r="U129" s="493">
        <f t="shared" si="88"/>
        <v>154.50490219883392</v>
      </c>
      <c r="V129" s="500">
        <f t="shared" si="89"/>
        <v>1136.916133441666</v>
      </c>
      <c r="W129" s="489">
        <f t="shared" si="90"/>
        <v>1.8593733376039765</v>
      </c>
      <c r="X129" s="493">
        <f t="shared" si="91"/>
        <v>37.9060089869281</v>
      </c>
      <c r="Y129" s="763">
        <f t="shared" si="92"/>
        <v>70.481422445270823</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6"/>
        <v>34648.579959420829</v>
      </c>
      <c r="I130" s="487">
        <f>ITECountywide!$B$9*E130</f>
        <v>151.96675119849681</v>
      </c>
      <c r="J130" s="495">
        <f t="shared" si="80"/>
        <v>1.67</v>
      </c>
      <c r="K130" s="372">
        <f t="shared" si="81"/>
        <v>0.85658336747234742</v>
      </c>
      <c r="L130" s="488">
        <f>Passby_Length_Adj!H125</f>
        <v>0.47432024169184289</v>
      </c>
      <c r="M130" s="488">
        <f>Passby_Length_Adj!J125</f>
        <v>0.76700000000000002</v>
      </c>
      <c r="N130" s="372">
        <v>0.5</v>
      </c>
      <c r="O130" s="481">
        <f t="shared" si="82"/>
        <v>0.18190181268882175</v>
      </c>
      <c r="P130" s="489">
        <f t="shared" si="83"/>
        <v>207.41187067065161</v>
      </c>
      <c r="Q130" s="490">
        <f t="shared" si="84"/>
        <v>124.198724952486</v>
      </c>
      <c r="R130" s="491">
        <f t="shared" si="85"/>
        <v>261.71052631578948</v>
      </c>
      <c r="S130" s="500">
        <f t="shared" si="86"/>
        <v>32504.113675065088</v>
      </c>
      <c r="T130" s="489">
        <f t="shared" si="87"/>
        <v>13.069383328676409</v>
      </c>
      <c r="U130" s="493">
        <f t="shared" si="88"/>
        <v>154.50490219883392</v>
      </c>
      <c r="V130" s="500">
        <f t="shared" si="89"/>
        <v>2019.2837929962191</v>
      </c>
      <c r="W130" s="489">
        <f t="shared" si="90"/>
        <v>3.3024445122324773</v>
      </c>
      <c r="X130" s="493">
        <f t="shared" si="91"/>
        <v>37.9060089869281</v>
      </c>
      <c r="Y130" s="763">
        <f t="shared" si="92"/>
        <v>125.18249135951567</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6"/>
        <v>1074.5027182072297</v>
      </c>
      <c r="I131" s="487">
        <f>ITECountywide!$B$9*E131</f>
        <v>4.7127093644572007</v>
      </c>
      <c r="J131" s="495">
        <f t="shared" si="80"/>
        <v>1.67</v>
      </c>
      <c r="K131" s="372">
        <f t="shared" si="81"/>
        <v>0.85658336747234742</v>
      </c>
      <c r="L131" s="488">
        <f>Passby_Length_Adj!H126</f>
        <v>0.47432024169184289</v>
      </c>
      <c r="M131" s="488">
        <f>Passby_Length_Adj!J126</f>
        <v>0.76700000000000002</v>
      </c>
      <c r="N131" s="372">
        <v>0.5</v>
      </c>
      <c r="O131" s="481">
        <f t="shared" si="82"/>
        <v>0.18190181268882175</v>
      </c>
      <c r="P131" s="489">
        <f t="shared" si="83"/>
        <v>6.4321429358742153</v>
      </c>
      <c r="Q131" s="490">
        <f t="shared" si="84"/>
        <v>3.8515825963318657</v>
      </c>
      <c r="R131" s="491">
        <f t="shared" si="85"/>
        <v>261.71052631578948</v>
      </c>
      <c r="S131" s="500">
        <f t="shared" si="86"/>
        <v>1007.9997084347475</v>
      </c>
      <c r="T131" s="489">
        <f t="shared" si="87"/>
        <v>0.40530053261639626</v>
      </c>
      <c r="U131" s="493">
        <f t="shared" si="88"/>
        <v>154.50490219883392</v>
      </c>
      <c r="V131" s="500">
        <f t="shared" si="89"/>
        <v>62.620919153031601</v>
      </c>
      <c r="W131" s="489">
        <f t="shared" si="90"/>
        <v>0.10241359412934686</v>
      </c>
      <c r="X131" s="493">
        <f t="shared" si="91"/>
        <v>37.9060089869281</v>
      </c>
      <c r="Y131" s="763">
        <f t="shared" si="92"/>
        <v>3.8820906194506293</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6"/>
        <v>43203.319223981889</v>
      </c>
      <c r="I132" s="487">
        <f>ITECountywide!$B$9*E132</f>
        <v>203.3352832710803</v>
      </c>
      <c r="J132" s="495">
        <f t="shared" si="80"/>
        <v>1.67</v>
      </c>
      <c r="K132" s="372">
        <f t="shared" si="81"/>
        <v>0.85658336747234742</v>
      </c>
      <c r="L132" s="488">
        <f>Passby_Length_Adj!H127</f>
        <v>0.47885196374622352</v>
      </c>
      <c r="M132" s="488">
        <f>Passby_Length_Adj!J127</f>
        <v>0.70799999999999996</v>
      </c>
      <c r="N132" s="372">
        <v>0.5</v>
      </c>
      <c r="O132" s="481">
        <f t="shared" si="82"/>
        <v>0.16951359516616313</v>
      </c>
      <c r="P132" s="489">
        <f t="shared" si="83"/>
        <v>258.62189070726919</v>
      </c>
      <c r="Q132" s="490">
        <f t="shared" si="84"/>
        <v>154.86340760914322</v>
      </c>
      <c r="R132" s="491">
        <f t="shared" si="85"/>
        <v>261.71052631578948</v>
      </c>
      <c r="S132" s="500">
        <f t="shared" si="86"/>
        <v>40529.383912445512</v>
      </c>
      <c r="T132" s="489">
        <f t="shared" si="87"/>
        <v>16.296215910455235</v>
      </c>
      <c r="U132" s="493">
        <f t="shared" si="88"/>
        <v>154.50490219883392</v>
      </c>
      <c r="V132" s="500">
        <f t="shared" si="89"/>
        <v>2517.8452454559674</v>
      </c>
      <c r="W132" s="489">
        <f t="shared" si="90"/>
        <v>4.1178185267207077</v>
      </c>
      <c r="X132" s="493">
        <f t="shared" si="91"/>
        <v>37.9060089869281</v>
      </c>
      <c r="Y132" s="763">
        <f t="shared" si="92"/>
        <v>156.09006608041418</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6"/>
        <v>1682.9961223818941</v>
      </c>
      <c r="I133" s="487">
        <f>ITECountywide!$B$9*E133</f>
        <v>7.9209768933376798</v>
      </c>
      <c r="J133" s="495">
        <f t="shared" si="80"/>
        <v>1.67</v>
      </c>
      <c r="K133" s="372">
        <f t="shared" si="81"/>
        <v>0.85658336747234742</v>
      </c>
      <c r="L133" s="488">
        <f>Passby_Length_Adj!H128</f>
        <v>0.47885196374622352</v>
      </c>
      <c r="M133" s="488">
        <f>Passby_Length_Adj!J128</f>
        <v>0.70799999999999996</v>
      </c>
      <c r="N133" s="372">
        <v>0.5</v>
      </c>
      <c r="O133" s="481">
        <f t="shared" si="82"/>
        <v>0.16951359516616313</v>
      </c>
      <c r="P133" s="489">
        <f t="shared" si="83"/>
        <v>10.074680534772387</v>
      </c>
      <c r="Q133" s="490">
        <f t="shared" si="84"/>
        <v>6.0327428351930461</v>
      </c>
      <c r="R133" s="491">
        <f t="shared" si="85"/>
        <v>261.71052631578948</v>
      </c>
      <c r="S133" s="500">
        <f t="shared" si="86"/>
        <v>1578.8323025261802</v>
      </c>
      <c r="T133" s="489">
        <f t="shared" si="87"/>
        <v>0.63482317283552669</v>
      </c>
      <c r="U133" s="493">
        <f t="shared" si="88"/>
        <v>154.50490219883392</v>
      </c>
      <c r="V133" s="500">
        <f t="shared" si="89"/>
        <v>98.083292232506494</v>
      </c>
      <c r="W133" s="489">
        <f t="shared" si="90"/>
        <v>0.16041065218193523</v>
      </c>
      <c r="X133" s="493">
        <f t="shared" si="91"/>
        <v>37.9060089869281</v>
      </c>
      <c r="Y133" s="763">
        <f t="shared" si="92"/>
        <v>6.0805276232074341</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6"/>
        <v>70519.021740505617</v>
      </c>
      <c r="I134" s="487">
        <f>ITECountywide!$B$9*E134</f>
        <v>627.56975509846791</v>
      </c>
      <c r="J134" s="495">
        <f t="shared" si="80"/>
        <v>1.67</v>
      </c>
      <c r="K134" s="372">
        <f t="shared" si="81"/>
        <v>0.85658336747234742</v>
      </c>
      <c r="L134" s="488">
        <f>Passby_Length_Adj!H129</f>
        <v>0.30966767371601206</v>
      </c>
      <c r="M134" s="488">
        <f>Passby_Length_Adj!J129</f>
        <v>0.57899999999999996</v>
      </c>
      <c r="N134" s="372">
        <v>0.5</v>
      </c>
      <c r="O134" s="481">
        <f t="shared" si="82"/>
        <v>8.9648791540785491E-2</v>
      </c>
      <c r="P134" s="489">
        <f t="shared" si="83"/>
        <v>422.13799913856883</v>
      </c>
      <c r="Q134" s="490">
        <f t="shared" si="84"/>
        <v>252.77724499315499</v>
      </c>
      <c r="R134" s="491">
        <f t="shared" si="85"/>
        <v>261.71052631578948</v>
      </c>
      <c r="S134" s="500">
        <f t="shared" si="86"/>
        <v>66154.465827813852</v>
      </c>
      <c r="T134" s="489">
        <f t="shared" si="87"/>
        <v>26.599650784226231</v>
      </c>
      <c r="U134" s="493">
        <f t="shared" si="88"/>
        <v>154.50490219883392</v>
      </c>
      <c r="V134" s="500">
        <f t="shared" si="89"/>
        <v>4109.7764429400095</v>
      </c>
      <c r="W134" s="489">
        <f t="shared" si="90"/>
        <v>6.7213477905207739</v>
      </c>
      <c r="X134" s="493">
        <f t="shared" si="91"/>
        <v>37.9060089869281</v>
      </c>
      <c r="Y134" s="763">
        <f t="shared" si="92"/>
        <v>254.77946975174979</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6"/>
        <v>95921.593416778182</v>
      </c>
      <c r="I135" s="487">
        <f>ITECountywide!$B$9*E135</f>
        <v>853.63479815043024</v>
      </c>
      <c r="J135" s="495">
        <f t="shared" si="80"/>
        <v>1.67</v>
      </c>
      <c r="K135" s="372">
        <f t="shared" si="81"/>
        <v>0.85658336747234742</v>
      </c>
      <c r="L135" s="488">
        <f>Passby_Length_Adj!H130</f>
        <v>0.30966767371601206</v>
      </c>
      <c r="M135" s="488">
        <f>Passby_Length_Adj!J130</f>
        <v>0.57899999999999996</v>
      </c>
      <c r="N135" s="372">
        <v>0.5</v>
      </c>
      <c r="O135" s="481">
        <f t="shared" si="82"/>
        <v>8.9648791540785491E-2</v>
      </c>
      <c r="P135" s="489">
        <f t="shared" si="83"/>
        <v>574.20180427550747</v>
      </c>
      <c r="Q135" s="490">
        <f t="shared" si="84"/>
        <v>343.83341573383683</v>
      </c>
      <c r="R135" s="491">
        <f t="shared" si="85"/>
        <v>261.71052631578948</v>
      </c>
      <c r="S135" s="500">
        <f t="shared" si="86"/>
        <v>89984.824196658083</v>
      </c>
      <c r="T135" s="489">
        <f t="shared" si="87"/>
        <v>36.181456074954049</v>
      </c>
      <c r="U135" s="493">
        <f t="shared" si="88"/>
        <v>154.50490219883392</v>
      </c>
      <c r="V135" s="500">
        <f t="shared" si="89"/>
        <v>5590.2123322721809</v>
      </c>
      <c r="W135" s="489">
        <f t="shared" si="90"/>
        <v>9.1425316753191765</v>
      </c>
      <c r="X135" s="493">
        <f t="shared" si="91"/>
        <v>37.9060089869281</v>
      </c>
      <c r="Y135" s="763">
        <f t="shared" si="92"/>
        <v>346.55688784792352</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6"/>
        <v>167092.38094756662</v>
      </c>
      <c r="I136" s="487">
        <f>ITECountywide!$B$9*E136</f>
        <v>1487.00481092823</v>
      </c>
      <c r="J136" s="495">
        <f t="shared" si="80"/>
        <v>1.67</v>
      </c>
      <c r="K136" s="372">
        <f t="shared" si="81"/>
        <v>0.85658336747234742</v>
      </c>
      <c r="L136" s="488">
        <f>Passby_Length_Adj!H131</f>
        <v>0.30966767371601206</v>
      </c>
      <c r="M136" s="488">
        <f>Passby_Length_Adj!J131</f>
        <v>0.57899999999999996</v>
      </c>
      <c r="N136" s="372">
        <v>0.5</v>
      </c>
      <c r="O136" s="481">
        <f t="shared" si="82"/>
        <v>8.9648791540785491E-2</v>
      </c>
      <c r="P136" s="489">
        <f t="shared" si="83"/>
        <v>1000.241376348956</v>
      </c>
      <c r="Q136" s="490">
        <f t="shared" si="84"/>
        <v>598.94693194548267</v>
      </c>
      <c r="R136" s="491">
        <f t="shared" si="85"/>
        <v>261.71052631578948</v>
      </c>
      <c r="S136" s="500">
        <f t="shared" si="86"/>
        <v>156750.71679467961</v>
      </c>
      <c r="T136" s="489">
        <f t="shared" si="87"/>
        <v>63.026951767216914</v>
      </c>
      <c r="U136" s="493">
        <f t="shared" si="88"/>
        <v>154.50490219883392</v>
      </c>
      <c r="V136" s="500">
        <f t="shared" si="89"/>
        <v>9737.9730186844718</v>
      </c>
      <c r="W136" s="489">
        <f t="shared" si="90"/>
        <v>15.926000925360112</v>
      </c>
      <c r="X136" s="493">
        <f t="shared" si="91"/>
        <v>37.9060089869281</v>
      </c>
      <c r="Y136" s="763">
        <f t="shared" si="92"/>
        <v>603.69113420252563</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6"/>
        <v>43562.020657209796</v>
      </c>
      <c r="I137" s="751">
        <f>ITECountywide!$B$9*E137</f>
        <v>311.78197606933963</v>
      </c>
      <c r="J137" s="752">
        <f t="shared" si="80"/>
        <v>1.67</v>
      </c>
      <c r="K137" s="753">
        <f t="shared" si="81"/>
        <v>0.85658336747234742</v>
      </c>
      <c r="L137" s="754">
        <f>Passby_Length_Adj!H132</f>
        <v>0.32930513595166166</v>
      </c>
      <c r="M137" s="754">
        <f>Passby_Length_Adj!J132</f>
        <v>0.67700000000000005</v>
      </c>
      <c r="N137" s="753">
        <v>0.5</v>
      </c>
      <c r="O137" s="755">
        <f t="shared" si="82"/>
        <v>0.11146978851963749</v>
      </c>
      <c r="P137" s="756">
        <f t="shared" si="83"/>
        <v>260.76913412576357</v>
      </c>
      <c r="Q137" s="757">
        <f t="shared" si="84"/>
        <v>156.14918211123569</v>
      </c>
      <c r="R137" s="758">
        <f t="shared" si="85"/>
        <v>261.71052631578948</v>
      </c>
      <c r="S137" s="767">
        <f t="shared" si="86"/>
        <v>40865.88463411155</v>
      </c>
      <c r="T137" s="756">
        <f t="shared" si="87"/>
        <v>16.431517459231301</v>
      </c>
      <c r="U137" s="760">
        <f t="shared" si="88"/>
        <v>154.50490219883392</v>
      </c>
      <c r="V137" s="767">
        <f t="shared" si="89"/>
        <v>2538.7499980169641</v>
      </c>
      <c r="W137" s="756">
        <f t="shared" si="90"/>
        <v>4.1520072750353787</v>
      </c>
      <c r="X137" s="760">
        <f t="shared" si="91"/>
        <v>37.9060089869281</v>
      </c>
      <c r="Y137" s="768">
        <f t="shared" si="92"/>
        <v>157.38602508128193</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A037-8E88-49AA-89C3-05472FAC3F5B}">
  <sheetPr>
    <tabColor theme="5" tint="0.39997558519241921"/>
  </sheetPr>
  <dimension ref="A2:Z21"/>
  <sheetViews>
    <sheetView workbookViewId="0"/>
  </sheetViews>
  <sheetFormatPr defaultColWidth="9" defaultRowHeight="15.75" x14ac:dyDescent="0.25"/>
  <sheetData>
    <row r="2" spans="1:26" x14ac:dyDescent="0.25">
      <c r="C2" t="s">
        <v>394</v>
      </c>
    </row>
    <row r="3" spans="1:26" x14ac:dyDescent="0.25">
      <c r="P3" t="s">
        <v>395</v>
      </c>
      <c r="R3" s="2">
        <v>0.1</v>
      </c>
    </row>
    <row r="4" spans="1:26" x14ac:dyDescent="0.25">
      <c r="D4" t="s">
        <v>396</v>
      </c>
      <c r="H4" t="s">
        <v>397</v>
      </c>
      <c r="L4" t="s">
        <v>398</v>
      </c>
      <c r="P4" t="s">
        <v>399</v>
      </c>
      <c r="T4" t="s">
        <v>400</v>
      </c>
      <c r="X4" t="s">
        <v>401</v>
      </c>
    </row>
    <row r="5" spans="1:26" x14ac:dyDescent="0.25">
      <c r="D5" t="s">
        <v>62</v>
      </c>
      <c r="E5" t="s">
        <v>63</v>
      </c>
      <c r="F5" t="s">
        <v>402</v>
      </c>
      <c r="H5" t="s">
        <v>62</v>
      </c>
      <c r="I5" t="s">
        <v>63</v>
      </c>
      <c r="J5" t="s">
        <v>402</v>
      </c>
      <c r="L5" t="s">
        <v>62</v>
      </c>
      <c r="M5" t="s">
        <v>63</v>
      </c>
      <c r="N5" t="s">
        <v>402</v>
      </c>
      <c r="P5" t="s">
        <v>62</v>
      </c>
      <c r="Q5" t="s">
        <v>63</v>
      </c>
      <c r="R5" t="s">
        <v>402</v>
      </c>
      <c r="T5" t="s">
        <v>62</v>
      </c>
      <c r="U5" t="s">
        <v>63</v>
      </c>
      <c r="V5" t="s">
        <v>402</v>
      </c>
      <c r="X5" t="s">
        <v>62</v>
      </c>
      <c r="Y5" t="s">
        <v>63</v>
      </c>
      <c r="Z5" t="s">
        <v>402</v>
      </c>
    </row>
    <row r="6" spans="1:26" x14ac:dyDescent="0.25">
      <c r="A6" t="s">
        <v>70</v>
      </c>
      <c r="B6">
        <v>1</v>
      </c>
      <c r="C6" t="s">
        <v>58</v>
      </c>
      <c r="D6" s="851">
        <f>'2045_24hr_all_productions'!Q35</f>
        <v>0.64369868155585797</v>
      </c>
      <c r="E6" s="851">
        <f>'2045_24hr_all_productions'!R35</f>
        <v>7.6232815652418712E-2</v>
      </c>
      <c r="F6" s="851">
        <f>1-SUM(D6:E6)</f>
        <v>0.28006850279172335</v>
      </c>
      <c r="H6" s="851">
        <f>'2045_24hr_all_productions'!M35</f>
        <v>7.4108296796813216</v>
      </c>
      <c r="I6" s="851">
        <f>'2045_24hr_all_productions'!N35</f>
        <v>3.5767890444683799</v>
      </c>
      <c r="J6" s="851">
        <f>('2045_24hr_all_productions'!N35*'2045_24hr_all_productions'!R35+'2045_24hr_all_productions'!P35*'2045_24hr_all_productions'!T35)/('2045_24hr_all_productions'!R35+'2045_24hr_all_productions'!T35)</f>
        <v>1.6663501053863086</v>
      </c>
      <c r="L6" s="851">
        <f>D6*H6</f>
        <v>4.7703412940458882</v>
      </c>
      <c r="M6" s="851">
        <f t="shared" ref="M6:M21" si="0">E6*I6</f>
        <v>0.27266869985454889</v>
      </c>
      <c r="N6" s="851">
        <f t="shared" ref="N6:N21" si="1">F6*J6</f>
        <v>0.46669217914237388</v>
      </c>
      <c r="P6" s="851">
        <f>D6*(1-R$3)</f>
        <v>0.5793288134002722</v>
      </c>
      <c r="Q6" s="851">
        <f>E6</f>
        <v>7.6232815652418712E-2</v>
      </c>
      <c r="R6" s="851">
        <f>1-SUM(P6:Q6)</f>
        <v>0.34443837094730911</v>
      </c>
      <c r="T6" s="851">
        <f>P6*H6</f>
        <v>4.2933071646412992</v>
      </c>
      <c r="U6" s="851">
        <f>Q6*I6</f>
        <v>0.27266869985454889</v>
      </c>
      <c r="V6" s="851">
        <f>R6*J6</f>
        <v>0.57395491572713697</v>
      </c>
      <c r="X6" s="852">
        <f>T6/L6</f>
        <v>0.89999999999999991</v>
      </c>
      <c r="Y6" s="852">
        <f t="shared" ref="Y6:Y21" si="2">U6/M6</f>
        <v>1</v>
      </c>
      <c r="Z6" s="852">
        <f t="shared" ref="Z6:Z21" si="3">V6/N6</f>
        <v>1.2298361562044529</v>
      </c>
    </row>
    <row r="7" spans="1:26" x14ac:dyDescent="0.25">
      <c r="A7" t="s">
        <v>70</v>
      </c>
      <c r="B7">
        <v>2</v>
      </c>
      <c r="C7" t="s">
        <v>58</v>
      </c>
      <c r="D7" s="851">
        <f>'2045_24hr_all_productions'!Q36</f>
        <v>0.85017405200500473</v>
      </c>
      <c r="E7" s="851">
        <f>'2045_24hr_all_productions'!R36</f>
        <v>3.7543203300174674E-2</v>
      </c>
      <c r="F7" s="851">
        <f t="shared" ref="F7:F13" si="4">1-SUM(D7:E7)</f>
        <v>0.11228274469482058</v>
      </c>
      <c r="H7" s="851">
        <f>'2045_24hr_all_productions'!M36</f>
        <v>7.5651945690280726</v>
      </c>
      <c r="I7" s="851">
        <f>'2045_24hr_all_productions'!N36</f>
        <v>4.9788028773180226</v>
      </c>
      <c r="J7" s="851">
        <f>('2045_24hr_all_productions'!N36*'2045_24hr_all_productions'!R36+'2045_24hr_all_productions'!P36*'2045_24hr_all_productions'!T36)/('2045_24hr_all_productions'!R36+'2045_24hr_all_productions'!T36)</f>
        <v>2.8788642589502191</v>
      </c>
      <c r="L7" s="851">
        <f t="shared" ref="L7:L21" si="5">D7*H7</f>
        <v>6.4317321209568519</v>
      </c>
      <c r="M7" s="851">
        <f t="shared" si="0"/>
        <v>0.18692020861464514</v>
      </c>
      <c r="N7" s="851">
        <f t="shared" si="1"/>
        <v>0.32324678059875128</v>
      </c>
      <c r="P7" s="851">
        <f t="shared" ref="P7:P21" si="6">D7*(1-R$3)</f>
        <v>0.76515664680450424</v>
      </c>
      <c r="Q7" s="851">
        <f t="shared" ref="Q7:Q21" si="7">E7</f>
        <v>3.7543203300174674E-2</v>
      </c>
      <c r="R7" s="851">
        <f t="shared" ref="R7:R21" si="8">1-SUM(P7:Q7)</f>
        <v>0.19730014989532108</v>
      </c>
      <c r="T7" s="851">
        <f t="shared" ref="T7:T21" si="9">P7*H7</f>
        <v>5.7885589088611669</v>
      </c>
      <c r="U7" s="851">
        <f t="shared" ref="U7:U21" si="10">Q7*I7</f>
        <v>0.18692020861464514</v>
      </c>
      <c r="V7" s="851">
        <f t="shared" ref="V7:V21" si="11">R7*J7</f>
        <v>0.5680003498191607</v>
      </c>
      <c r="X7" s="852">
        <f t="shared" ref="X7:X21" si="12">T7/L7</f>
        <v>0.9</v>
      </c>
      <c r="Y7" s="852">
        <f t="shared" si="2"/>
        <v>1</v>
      </c>
      <c r="Z7" s="852">
        <f t="shared" si="3"/>
        <v>1.7571724883602906</v>
      </c>
    </row>
    <row r="8" spans="1:26" x14ac:dyDescent="0.25">
      <c r="A8" t="s">
        <v>70</v>
      </c>
      <c r="B8">
        <v>3</v>
      </c>
      <c r="C8" t="s">
        <v>58</v>
      </c>
      <c r="D8" s="851">
        <f>'2045_24hr_all_productions'!Q37</f>
        <v>0.89742039884879754</v>
      </c>
      <c r="E8" s="851">
        <f>'2045_24hr_all_productions'!R37</f>
        <v>2.2474745868035894E-2</v>
      </c>
      <c r="F8" s="851">
        <f t="shared" si="4"/>
        <v>8.0104855283166576E-2</v>
      </c>
      <c r="H8" s="851">
        <f>'2045_24hr_all_productions'!M37</f>
        <v>7.661605851491232</v>
      </c>
      <c r="I8" s="851">
        <f>'2045_24hr_all_productions'!N37</f>
        <v>4.693382089270548</v>
      </c>
      <c r="J8" s="851">
        <f>('2045_24hr_all_productions'!N37*'2045_24hr_all_productions'!R37+'2045_24hr_all_productions'!P37*'2045_24hr_all_productions'!T37)/('2045_24hr_all_productions'!R37+'2045_24hr_all_productions'!T37)</f>
        <v>2.4467383078553047</v>
      </c>
      <c r="L8" s="851">
        <f t="shared" si="5"/>
        <v>6.8756813790675428</v>
      </c>
      <c r="M8" s="851">
        <f t="shared" si="0"/>
        <v>0.10548256971794692</v>
      </c>
      <c r="N8" s="851">
        <f t="shared" si="1"/>
        <v>0.19599561806652904</v>
      </c>
      <c r="P8" s="851">
        <f t="shared" si="6"/>
        <v>0.80767835896391782</v>
      </c>
      <c r="Q8" s="851">
        <f t="shared" si="7"/>
        <v>2.2474745868035894E-2</v>
      </c>
      <c r="R8" s="851">
        <f t="shared" si="8"/>
        <v>0.1698468951680463</v>
      </c>
      <c r="T8" s="851">
        <f t="shared" si="9"/>
        <v>6.1881132411607886</v>
      </c>
      <c r="U8" s="851">
        <f t="shared" si="10"/>
        <v>0.10548256971794692</v>
      </c>
      <c r="V8" s="851">
        <f t="shared" si="11"/>
        <v>0.4155709048779429</v>
      </c>
      <c r="X8" s="852">
        <f t="shared" si="12"/>
        <v>0.9</v>
      </c>
      <c r="Y8" s="852">
        <f t="shared" si="2"/>
        <v>1</v>
      </c>
      <c r="Z8" s="852">
        <f t="shared" si="3"/>
        <v>2.1203071220545393</v>
      </c>
    </row>
    <row r="9" spans="1:26" x14ac:dyDescent="0.25">
      <c r="A9" t="s">
        <v>70</v>
      </c>
      <c r="B9">
        <v>4</v>
      </c>
      <c r="C9" t="s">
        <v>58</v>
      </c>
      <c r="D9" s="851">
        <f>'2045_24hr_all_productions'!Q38</f>
        <v>0.85173719352368216</v>
      </c>
      <c r="E9" s="851">
        <f>'2045_24hr_all_productions'!R38</f>
        <v>2.3105051398492022E-2</v>
      </c>
      <c r="F9" s="851">
        <f t="shared" si="4"/>
        <v>0.12515775507782578</v>
      </c>
      <c r="H9" s="851">
        <f>'2045_24hr_all_productions'!M38</f>
        <v>6.9881027582887967</v>
      </c>
      <c r="I9" s="851">
        <f>'2045_24hr_all_productions'!N38</f>
        <v>3.0142857142857142</v>
      </c>
      <c r="J9" s="851">
        <f>('2045_24hr_all_productions'!N38*'2045_24hr_all_productions'!R38+'2045_24hr_all_productions'!P38*'2045_24hr_all_productions'!T38)/('2045_24hr_all_productions'!R38+'2045_24hr_all_productions'!T38)</f>
        <v>1.3986622807017541</v>
      </c>
      <c r="L9" s="851">
        <f t="shared" si="5"/>
        <v>5.9520270314000019</v>
      </c>
      <c r="M9" s="851">
        <f t="shared" si="0"/>
        <v>6.9645226358311663E-2</v>
      </c>
      <c r="N9" s="851">
        <f t="shared" si="1"/>
        <v>0.17505343116466335</v>
      </c>
      <c r="P9" s="851">
        <f t="shared" si="6"/>
        <v>0.76656347417131399</v>
      </c>
      <c r="Q9" s="851">
        <f t="shared" si="7"/>
        <v>2.3105051398492022E-2</v>
      </c>
      <c r="R9" s="851">
        <f t="shared" si="8"/>
        <v>0.21033147443019395</v>
      </c>
      <c r="T9" s="851">
        <f t="shared" si="9"/>
        <v>5.3568243282600019</v>
      </c>
      <c r="U9" s="851">
        <f t="shared" si="10"/>
        <v>6.9645226358311663E-2</v>
      </c>
      <c r="V9" s="851">
        <f t="shared" si="11"/>
        <v>0.29418269972989775</v>
      </c>
      <c r="X9" s="852">
        <f t="shared" si="12"/>
        <v>0.9</v>
      </c>
      <c r="Y9" s="852">
        <f t="shared" si="2"/>
        <v>1</v>
      </c>
      <c r="Z9" s="852">
        <f t="shared" si="3"/>
        <v>1.6805308971817634</v>
      </c>
    </row>
    <row r="10" spans="1:26" x14ac:dyDescent="0.25">
      <c r="A10" t="s">
        <v>70</v>
      </c>
      <c r="B10">
        <v>1</v>
      </c>
      <c r="C10" t="s">
        <v>393</v>
      </c>
      <c r="D10" s="851">
        <f>'2045_24hr_all_productions'!Q39</f>
        <v>0.72495177066528282</v>
      </c>
      <c r="E10" s="851">
        <f>'2045_24hr_all_productions'!R39</f>
        <v>5.5359379054366588E-2</v>
      </c>
      <c r="F10" s="851">
        <f t="shared" si="4"/>
        <v>0.21968885028035057</v>
      </c>
      <c r="H10" s="851">
        <f>'2045_24hr_all_productions'!M39</f>
        <v>8.069603635288443</v>
      </c>
      <c r="I10" s="851">
        <f>'2045_24hr_all_productions'!N39</f>
        <v>4.0323313633584679</v>
      </c>
      <c r="J10" s="851">
        <f>('2045_24hr_all_productions'!N39*'2045_24hr_all_productions'!R39+'2045_24hr_all_productions'!P39*'2045_24hr_all_productions'!T39)/('2045_24hr_all_productions'!R39+'2045_24hr_all_productions'!T39)</f>
        <v>1.7422756114443931</v>
      </c>
      <c r="L10" s="851">
        <f t="shared" si="5"/>
        <v>5.85007344396936</v>
      </c>
      <c r="M10" s="851">
        <f t="shared" si="0"/>
        <v>0.22322736041697222</v>
      </c>
      <c r="N10" s="851">
        <f t="shared" si="1"/>
        <v>0.38275852594971355</v>
      </c>
      <c r="P10" s="851">
        <f t="shared" si="6"/>
        <v>0.65245659359875452</v>
      </c>
      <c r="Q10" s="851">
        <f t="shared" si="7"/>
        <v>5.5359379054366588E-2</v>
      </c>
      <c r="R10" s="851">
        <f t="shared" si="8"/>
        <v>0.29218402734687887</v>
      </c>
      <c r="T10" s="851">
        <f t="shared" si="9"/>
        <v>5.2650660995724241</v>
      </c>
      <c r="U10" s="851">
        <f t="shared" si="10"/>
        <v>0.22322736041697222</v>
      </c>
      <c r="V10" s="851">
        <f t="shared" si="11"/>
        <v>0.50906510490006862</v>
      </c>
      <c r="X10" s="852">
        <f t="shared" si="12"/>
        <v>0.9</v>
      </c>
      <c r="Y10" s="852">
        <f t="shared" si="2"/>
        <v>1</v>
      </c>
      <c r="Z10" s="852">
        <f t="shared" si="3"/>
        <v>1.3299902429004262</v>
      </c>
    </row>
    <row r="11" spans="1:26" x14ac:dyDescent="0.25">
      <c r="A11" t="s">
        <v>70</v>
      </c>
      <c r="B11">
        <v>2</v>
      </c>
      <c r="C11" t="s">
        <v>393</v>
      </c>
      <c r="D11" s="851">
        <f>'2045_24hr_all_productions'!Q40</f>
        <v>0.85822198498152991</v>
      </c>
      <c r="E11" s="851">
        <f>'2045_24hr_all_productions'!R40</f>
        <v>3.5004816883975831E-2</v>
      </c>
      <c r="F11" s="851">
        <f t="shared" si="4"/>
        <v>0.10677319813449426</v>
      </c>
      <c r="H11" s="851">
        <f>'2045_24hr_all_productions'!M40</f>
        <v>7.6471373100006446</v>
      </c>
      <c r="I11" s="851">
        <f>'2045_24hr_all_productions'!N40</f>
        <v>4.8688882138517613</v>
      </c>
      <c r="J11" s="851">
        <f>('2045_24hr_all_productions'!N40*'2045_24hr_all_productions'!R40+'2045_24hr_all_productions'!P40*'2045_24hr_all_productions'!T40)/('2045_24hr_all_productions'!R40+'2045_24hr_all_productions'!T40)</f>
        <v>2.5896037462143382</v>
      </c>
      <c r="L11" s="851">
        <f t="shared" si="5"/>
        <v>6.5629413616150698</v>
      </c>
      <c r="M11" s="851">
        <f t="shared" si="0"/>
        <v>0.17043454035442906</v>
      </c>
      <c r="N11" s="851">
        <f t="shared" si="1"/>
        <v>0.27650027388437215</v>
      </c>
      <c r="P11" s="851">
        <f t="shared" si="6"/>
        <v>0.77239978648337693</v>
      </c>
      <c r="Q11" s="851">
        <f t="shared" si="7"/>
        <v>3.5004816883975831E-2</v>
      </c>
      <c r="R11" s="851">
        <f t="shared" si="8"/>
        <v>0.19259539663264724</v>
      </c>
      <c r="T11" s="851">
        <f t="shared" si="9"/>
        <v>5.9066472254535629</v>
      </c>
      <c r="U11" s="851">
        <f t="shared" si="10"/>
        <v>0.17043454035442906</v>
      </c>
      <c r="V11" s="851">
        <f t="shared" si="11"/>
        <v>0.49874576062353965</v>
      </c>
      <c r="X11" s="2">
        <f t="shared" si="12"/>
        <v>0.9</v>
      </c>
      <c r="Y11" s="2">
        <f t="shared" si="2"/>
        <v>1</v>
      </c>
      <c r="Z11" s="2">
        <f t="shared" si="3"/>
        <v>1.803780349353675</v>
      </c>
    </row>
    <row r="12" spans="1:26" x14ac:dyDescent="0.25">
      <c r="A12" t="s">
        <v>70</v>
      </c>
      <c r="B12">
        <v>3</v>
      </c>
      <c r="C12" t="s">
        <v>393</v>
      </c>
      <c r="D12" s="851">
        <f>'2045_24hr_all_productions'!Q41</f>
        <v>0.8872444414531403</v>
      </c>
      <c r="E12" s="851">
        <f>'2045_24hr_all_productions'!R41</f>
        <v>2.0792092927501345E-2</v>
      </c>
      <c r="F12" s="851">
        <f t="shared" si="4"/>
        <v>9.1963465619358309E-2</v>
      </c>
      <c r="H12" s="851">
        <f>'2045_24hr_all_productions'!M41</f>
        <v>8.2090280394683273</v>
      </c>
      <c r="I12" s="851">
        <f>'2045_24hr_all_productions'!N41</f>
        <v>4.615774741752749</v>
      </c>
      <c r="J12" s="851">
        <f>('2045_24hr_all_productions'!N41*'2045_24hr_all_productions'!R41+'2045_24hr_all_productions'!P41*'2045_24hr_all_productions'!T41)/('2045_24hr_all_productions'!R41+'2045_24hr_all_productions'!T41)</f>
        <v>2.2627189996649086</v>
      </c>
      <c r="L12" s="851">
        <f t="shared" si="5"/>
        <v>7.2834144977512434</v>
      </c>
      <c r="M12" s="851">
        <f t="shared" si="0"/>
        <v>9.5971617362936676E-2</v>
      </c>
      <c r="N12" s="851">
        <f t="shared" si="1"/>
        <v>0.20808748093195265</v>
      </c>
      <c r="P12" s="851">
        <f t="shared" si="6"/>
        <v>0.7985199973078263</v>
      </c>
      <c r="Q12" s="851">
        <f t="shared" si="7"/>
        <v>2.0792092927501345E-2</v>
      </c>
      <c r="R12" s="851">
        <f t="shared" si="8"/>
        <v>0.18068790976467231</v>
      </c>
      <c r="T12" s="851">
        <f t="shared" si="9"/>
        <v>6.5550730479761192</v>
      </c>
      <c r="U12" s="851">
        <f t="shared" si="10"/>
        <v>9.5971617362936676E-2</v>
      </c>
      <c r="V12" s="851">
        <f t="shared" si="11"/>
        <v>0.40884596643426258</v>
      </c>
      <c r="X12" s="2">
        <f t="shared" si="12"/>
        <v>0.9</v>
      </c>
      <c r="Y12" s="2">
        <f t="shared" si="2"/>
        <v>1</v>
      </c>
      <c r="Z12" s="2">
        <f t="shared" si="3"/>
        <v>1.9647792582388011</v>
      </c>
    </row>
    <row r="13" spans="1:26" x14ac:dyDescent="0.25">
      <c r="A13" t="s">
        <v>70</v>
      </c>
      <c r="B13">
        <v>4</v>
      </c>
      <c r="C13" t="s">
        <v>393</v>
      </c>
      <c r="D13" s="851">
        <f>'2045_24hr_all_productions'!Q42</f>
        <v>0.85662549911783825</v>
      </c>
      <c r="E13" s="851">
        <f>'2045_24hr_all_productions'!R42</f>
        <v>2.0538255231519666E-2</v>
      </c>
      <c r="F13" s="851">
        <f t="shared" si="4"/>
        <v>0.12283624565064211</v>
      </c>
      <c r="H13" s="851">
        <f>'2045_24hr_all_productions'!M42</f>
        <v>8.7708058664116049</v>
      </c>
      <c r="I13" s="851">
        <f>'2045_24hr_all_productions'!N42</f>
        <v>3.3822021276595744</v>
      </c>
      <c r="J13" s="851">
        <f>('2045_24hr_all_productions'!N42*'2045_24hr_all_productions'!R42+'2045_24hr_all_productions'!P42*'2045_24hr_all_productions'!T42)/('2045_24hr_all_productions'!R42+'2045_24hr_all_productions'!T42)</f>
        <v>1.4963512314934844</v>
      </c>
      <c r="L13" s="851">
        <f t="shared" si="5"/>
        <v>7.5132959529805046</v>
      </c>
      <c r="M13" s="851">
        <f t="shared" si="0"/>
        <v>6.9464530542461198E-2</v>
      </c>
      <c r="N13" s="851">
        <f t="shared" si="1"/>
        <v>0.18380616745137449</v>
      </c>
      <c r="P13" s="851">
        <f t="shared" si="6"/>
        <v>0.77096294920605446</v>
      </c>
      <c r="Q13" s="851">
        <f t="shared" si="7"/>
        <v>2.0538255231519666E-2</v>
      </c>
      <c r="R13" s="851">
        <f t="shared" si="8"/>
        <v>0.2084987955624259</v>
      </c>
      <c r="T13" s="851">
        <f t="shared" si="9"/>
        <v>6.7619663576824545</v>
      </c>
      <c r="U13" s="851">
        <f t="shared" si="10"/>
        <v>6.9464530542461198E-2</v>
      </c>
      <c r="V13" s="851">
        <f t="shared" si="11"/>
        <v>0.31198742950474423</v>
      </c>
      <c r="X13" s="2">
        <f t="shared" si="12"/>
        <v>0.9</v>
      </c>
      <c r="Y13" s="2">
        <f t="shared" si="2"/>
        <v>1</v>
      </c>
      <c r="Z13" s="2">
        <f t="shared" si="3"/>
        <v>1.6973719316969047</v>
      </c>
    </row>
    <row r="14" spans="1:26" x14ac:dyDescent="0.25">
      <c r="A14" t="s">
        <v>73</v>
      </c>
      <c r="B14">
        <v>1</v>
      </c>
      <c r="C14" t="s">
        <v>58</v>
      </c>
      <c r="D14" s="851">
        <f>'2045_24hr_all_attractions'!Q35</f>
        <v>0.64373267284932234</v>
      </c>
      <c r="E14" s="851">
        <f>'2045_24hr_all_attractions'!R35</f>
        <v>7.6216008293577636E-2</v>
      </c>
      <c r="F14" s="851">
        <f>1-SUM(D14:E14)</f>
        <v>0.2800513188571</v>
      </c>
      <c r="H14" s="851">
        <f>'2045_24hr_all_attractions'!M35</f>
        <v>7.4131598277332049</v>
      </c>
      <c r="I14" s="851">
        <f>'2045_24hr_all_attractions'!N35</f>
        <v>3.5791106324049857</v>
      </c>
      <c r="J14" s="851">
        <f>('2045_24hr_all_attractions'!N35*'2045_24hr_all_attractions'!R35+'2045_24hr_all_attractions'!P35*'2045_24hr_all_attractions'!T35)/('2045_24hr_all_attractions'!R35+'2045_24hr_all_attractions'!T35)</f>
        <v>1.6684567895503959</v>
      </c>
      <c r="L14" s="851">
        <f t="shared" si="5"/>
        <v>4.7720931901659176</v>
      </c>
      <c r="M14" s="851">
        <f t="shared" si="0"/>
        <v>0.27278552564301028</v>
      </c>
      <c r="N14" s="851">
        <f t="shared" si="1"/>
        <v>0.46725352436967132</v>
      </c>
      <c r="P14" s="851">
        <f t="shared" si="6"/>
        <v>0.57935940556439014</v>
      </c>
      <c r="Q14" s="851">
        <f t="shared" si="7"/>
        <v>7.6216008293577636E-2</v>
      </c>
      <c r="R14" s="851">
        <f t="shared" si="8"/>
        <v>0.3444245861420322</v>
      </c>
      <c r="T14" s="851">
        <f t="shared" si="9"/>
        <v>4.2948838711493265</v>
      </c>
      <c r="U14" s="851">
        <f t="shared" si="10"/>
        <v>0.27278552564301028</v>
      </c>
      <c r="V14" s="851">
        <f t="shared" si="11"/>
        <v>0.57465753923675877</v>
      </c>
      <c r="X14" s="852">
        <f t="shared" si="12"/>
        <v>0.90000000000000013</v>
      </c>
      <c r="Y14" s="852">
        <f t="shared" si="2"/>
        <v>1</v>
      </c>
      <c r="Z14" s="852">
        <f t="shared" si="3"/>
        <v>1.229862396462341</v>
      </c>
    </row>
    <row r="15" spans="1:26" x14ac:dyDescent="0.25">
      <c r="A15" t="s">
        <v>73</v>
      </c>
      <c r="B15">
        <v>2</v>
      </c>
      <c r="C15" t="s">
        <v>58</v>
      </c>
      <c r="D15" s="851">
        <f>'2045_24hr_all_attractions'!Q36</f>
        <v>0.85014347095642351</v>
      </c>
      <c r="E15" s="851">
        <f>'2045_24hr_all_attractions'!R36</f>
        <v>3.755271752327996E-2</v>
      </c>
      <c r="F15" s="851">
        <f t="shared" ref="F15:F21" si="13">1-SUM(D15:E15)</f>
        <v>0.11230381152029656</v>
      </c>
      <c r="H15" s="851">
        <f>'2045_24hr_all_attractions'!M36</f>
        <v>7.5379006030505211</v>
      </c>
      <c r="I15" s="851">
        <f>'2045_24hr_all_attractions'!N36</f>
        <v>4.9630735730781925</v>
      </c>
      <c r="J15" s="851">
        <f>('2045_24hr_all_attractions'!N36*'2045_24hr_all_attractions'!R36+'2045_24hr_all_attractions'!P36*'2045_24hr_all_attractions'!T36)/('2045_24hr_all_attractions'!R36+'2045_24hr_all_attractions'!T36)</f>
        <v>2.8699981110691355</v>
      </c>
      <c r="L15" s="851">
        <f t="shared" si="5"/>
        <v>6.4082969824018878</v>
      </c>
      <c r="M15" s="851">
        <f t="shared" si="0"/>
        <v>0.18637689993706114</v>
      </c>
      <c r="N15" s="851">
        <f t="shared" si="1"/>
        <v>0.32231172692911536</v>
      </c>
      <c r="P15" s="851">
        <f t="shared" si="6"/>
        <v>0.76512912386078114</v>
      </c>
      <c r="Q15" s="851">
        <f t="shared" si="7"/>
        <v>3.755271752327996E-2</v>
      </c>
      <c r="R15" s="851">
        <f t="shared" si="8"/>
        <v>0.19731815861593893</v>
      </c>
      <c r="T15" s="851">
        <f t="shared" si="9"/>
        <v>5.7674672841616994</v>
      </c>
      <c r="U15" s="851">
        <f t="shared" si="10"/>
        <v>0.18637689993706114</v>
      </c>
      <c r="V15" s="851">
        <f t="shared" si="11"/>
        <v>0.56630274250738477</v>
      </c>
      <c r="X15" s="852">
        <f t="shared" si="12"/>
        <v>0.9</v>
      </c>
      <c r="Y15" s="852">
        <f t="shared" si="2"/>
        <v>1</v>
      </c>
      <c r="Z15" s="852">
        <f t="shared" si="3"/>
        <v>1.7570032213935838</v>
      </c>
    </row>
    <row r="16" spans="1:26" x14ac:dyDescent="0.25">
      <c r="A16" t="s">
        <v>73</v>
      </c>
      <c r="B16">
        <v>3</v>
      </c>
      <c r="C16" t="s">
        <v>58</v>
      </c>
      <c r="D16" s="851">
        <f>'2045_24hr_all_attractions'!Q37</f>
        <v>0.8974131092322899</v>
      </c>
      <c r="E16" s="851">
        <f>'2045_24hr_all_attractions'!R37</f>
        <v>2.2473030242611155E-2</v>
      </c>
      <c r="F16" s="851">
        <f t="shared" si="13"/>
        <v>8.0113860525098946E-2</v>
      </c>
      <c r="H16" s="851">
        <f>'2045_24hr_all_attractions'!M37</f>
        <v>7.7037596108620177</v>
      </c>
      <c r="I16" s="851">
        <f>'2045_24hr_all_attractions'!N37</f>
        <v>4.7049740443605472</v>
      </c>
      <c r="J16" s="851">
        <f>('2045_24hr_all_attractions'!N37*'2045_24hr_all_attractions'!R37+'2045_24hr_all_attractions'!P37*'2045_24hr_all_attractions'!T37)/('2045_24hr_all_attractions'!R37+'2045_24hr_all_attractions'!T37)</f>
        <v>2.4504673427684853</v>
      </c>
      <c r="L16" s="851">
        <f t="shared" si="5"/>
        <v>6.9134548651618193</v>
      </c>
      <c r="M16" s="851">
        <f t="shared" si="0"/>
        <v>0.1057350239896151</v>
      </c>
      <c r="N16" s="851">
        <f t="shared" si="1"/>
        <v>0.19631639891986427</v>
      </c>
      <c r="P16" s="851">
        <f t="shared" si="6"/>
        <v>0.80767179830906088</v>
      </c>
      <c r="Q16" s="851">
        <f t="shared" si="7"/>
        <v>2.2473030242611155E-2</v>
      </c>
      <c r="R16" s="851">
        <f t="shared" si="8"/>
        <v>0.16985517144832796</v>
      </c>
      <c r="T16" s="851">
        <f t="shared" si="9"/>
        <v>6.2221093786456372</v>
      </c>
      <c r="U16" s="851">
        <f t="shared" si="10"/>
        <v>0.1057350239896151</v>
      </c>
      <c r="V16" s="851">
        <f t="shared" si="11"/>
        <v>0.41622455063446973</v>
      </c>
      <c r="X16" s="852">
        <f t="shared" si="12"/>
        <v>0.9</v>
      </c>
      <c r="Y16" s="852">
        <f t="shared" si="2"/>
        <v>1</v>
      </c>
      <c r="Z16" s="852">
        <f t="shared" si="3"/>
        <v>2.1201720942546998</v>
      </c>
    </row>
    <row r="17" spans="1:26" x14ac:dyDescent="0.25">
      <c r="A17" t="s">
        <v>73</v>
      </c>
      <c r="B17">
        <v>4</v>
      </c>
      <c r="C17" t="s">
        <v>58</v>
      </c>
      <c r="D17" s="851">
        <f>'2045_24hr_all_attractions'!Q38</f>
        <v>0.85182987994952053</v>
      </c>
      <c r="E17" s="851">
        <f>'2045_24hr_all_attractions'!R38</f>
        <v>2.3104054535060564E-2</v>
      </c>
      <c r="F17" s="851">
        <f t="shared" si="13"/>
        <v>0.12506606551541888</v>
      </c>
      <c r="H17" s="851">
        <f>'2045_24hr_all_attractions'!M38</f>
        <v>7.049105275153849</v>
      </c>
      <c r="I17" s="851">
        <f>'2045_24hr_all_attractions'!N38</f>
        <v>3.0427777777777778</v>
      </c>
      <c r="J17" s="851">
        <f>('2045_24hr_all_attractions'!N38*'2045_24hr_all_attractions'!R38+'2045_24hr_all_attractions'!P38*'2045_24hr_all_attractions'!T38)/('2045_24hr_all_attractions'!R38+'2045_24hr_all_attractions'!T38)</f>
        <v>1.4103569778188541</v>
      </c>
      <c r="L17" s="851">
        <f t="shared" si="5"/>
        <v>6.0046385002858349</v>
      </c>
      <c r="M17" s="851">
        <f t="shared" si="0"/>
        <v>7.0300503715848173E-2</v>
      </c>
      <c r="N17" s="851">
        <f t="shared" si="1"/>
        <v>0.17638779818802097</v>
      </c>
      <c r="P17" s="851">
        <f t="shared" si="6"/>
        <v>0.76664689195456848</v>
      </c>
      <c r="Q17" s="851">
        <f t="shared" si="7"/>
        <v>2.3104054535060564E-2</v>
      </c>
      <c r="R17" s="851">
        <f t="shared" si="8"/>
        <v>0.21024905351037093</v>
      </c>
      <c r="T17" s="851">
        <f t="shared" si="9"/>
        <v>5.4041746502572519</v>
      </c>
      <c r="U17" s="851">
        <f t="shared" si="10"/>
        <v>7.0300503715848173E-2</v>
      </c>
      <c r="V17" s="851">
        <f t="shared" si="11"/>
        <v>0.29652621969816129</v>
      </c>
      <c r="X17" s="852">
        <f t="shared" si="12"/>
        <v>0.9</v>
      </c>
      <c r="Y17" s="852">
        <f t="shared" si="2"/>
        <v>1</v>
      </c>
      <c r="Z17" s="852">
        <f t="shared" si="3"/>
        <v>1.6811039241052179</v>
      </c>
    </row>
    <row r="18" spans="1:26" x14ac:dyDescent="0.25">
      <c r="A18" t="s">
        <v>73</v>
      </c>
      <c r="B18">
        <v>1</v>
      </c>
      <c r="C18" t="s">
        <v>393</v>
      </c>
      <c r="D18" s="851">
        <f>'2045_24hr_all_attractions'!Q39</f>
        <v>0.72504937644602452</v>
      </c>
      <c r="E18" s="851">
        <f>'2045_24hr_all_attractions'!R39</f>
        <v>5.5380621861068791E-2</v>
      </c>
      <c r="F18" s="851">
        <f t="shared" si="13"/>
        <v>0.21957000169290675</v>
      </c>
      <c r="H18" s="851">
        <f>'2045_24hr_all_attractions'!M39</f>
        <v>7.994232834705727</v>
      </c>
      <c r="I18" s="851">
        <f>'2045_24hr_all_attractions'!N39</f>
        <v>4.0010719380476871</v>
      </c>
      <c r="J18" s="851">
        <f>('2045_24hr_all_attractions'!N39*'2045_24hr_all_attractions'!R39+'2045_24hr_all_attractions'!P39*'2045_24hr_all_attractions'!T39)/('2045_24hr_all_attractions'!R39+'2045_24hr_all_attractions'!T39)</f>
        <v>1.7256506928406468</v>
      </c>
      <c r="L18" s="851">
        <f t="shared" si="5"/>
        <v>5.7962135319677222</v>
      </c>
      <c r="M18" s="851">
        <f t="shared" si="0"/>
        <v>0.22158185203995262</v>
      </c>
      <c r="N18" s="851">
        <f t="shared" si="1"/>
        <v>0.37890112554838651</v>
      </c>
      <c r="P18" s="851">
        <f t="shared" si="6"/>
        <v>0.6525444388014221</v>
      </c>
      <c r="Q18" s="851">
        <f t="shared" si="7"/>
        <v>5.5380621861068791E-2</v>
      </c>
      <c r="R18" s="851">
        <f t="shared" si="8"/>
        <v>0.29207493933750905</v>
      </c>
      <c r="T18" s="851">
        <f t="shared" si="9"/>
        <v>5.2165921787709504</v>
      </c>
      <c r="U18" s="851">
        <f t="shared" si="10"/>
        <v>0.22158185203995262</v>
      </c>
      <c r="V18" s="851">
        <f t="shared" si="11"/>
        <v>0.50401932142916239</v>
      </c>
      <c r="X18" s="852">
        <f t="shared" si="12"/>
        <v>0.9</v>
      </c>
      <c r="Y18" s="852">
        <f t="shared" si="2"/>
        <v>1</v>
      </c>
      <c r="Z18" s="852">
        <f t="shared" si="3"/>
        <v>1.3302133127730653</v>
      </c>
    </row>
    <row r="19" spans="1:26" x14ac:dyDescent="0.25">
      <c r="A19" t="s">
        <v>73</v>
      </c>
      <c r="B19">
        <v>2</v>
      </c>
      <c r="C19" t="s">
        <v>393</v>
      </c>
      <c r="D19" s="851">
        <f>'2045_24hr_all_attractions'!Q40</f>
        <v>0.85824475890316576</v>
      </c>
      <c r="E19" s="851">
        <f>'2045_24hr_all_attractions'!R40</f>
        <v>3.5000191397328094E-2</v>
      </c>
      <c r="F19" s="851">
        <f t="shared" si="13"/>
        <v>0.10675504969950611</v>
      </c>
      <c r="H19" s="851">
        <f>'2045_24hr_all_attractions'!M40</f>
        <v>7.6306695013739914</v>
      </c>
      <c r="I19" s="851">
        <f>'2045_24hr_all_attractions'!N40</f>
        <v>4.8918738607364203</v>
      </c>
      <c r="J19" s="851">
        <f>('2045_24hr_all_attractions'!N40*'2045_24hr_all_attractions'!R40+'2045_24hr_all_attractions'!P40*'2045_24hr_all_attractions'!T40)/('2045_24hr_all_attractions'!R40+'2045_24hr_all_attractions'!T40)</f>
        <v>2.6000114556285321</v>
      </c>
      <c r="L19" s="851">
        <f t="shared" si="5"/>
        <v>6.5489821064764611</v>
      </c>
      <c r="M19" s="851">
        <f t="shared" si="0"/>
        <v>0.17121652141736102</v>
      </c>
      <c r="N19" s="851">
        <f t="shared" si="1"/>
        <v>0.27756435216490916</v>
      </c>
      <c r="P19" s="851">
        <f t="shared" si="6"/>
        <v>0.77242028301284915</v>
      </c>
      <c r="Q19" s="851">
        <f t="shared" si="7"/>
        <v>3.5000191397328094E-2</v>
      </c>
      <c r="R19" s="851">
        <f t="shared" si="8"/>
        <v>0.19257952558982272</v>
      </c>
      <c r="T19" s="851">
        <f t="shared" si="9"/>
        <v>5.8940838958288149</v>
      </c>
      <c r="U19" s="851">
        <f t="shared" si="10"/>
        <v>0.17121652141736102</v>
      </c>
      <c r="V19" s="851">
        <f t="shared" si="11"/>
        <v>0.50070897265304715</v>
      </c>
      <c r="X19" s="2">
        <f t="shared" si="12"/>
        <v>0.9</v>
      </c>
      <c r="Y19" s="2">
        <f t="shared" si="2"/>
        <v>1</v>
      </c>
      <c r="Z19" s="2">
        <f t="shared" si="3"/>
        <v>1.8039383254646519</v>
      </c>
    </row>
    <row r="20" spans="1:26" x14ac:dyDescent="0.25">
      <c r="A20" t="s">
        <v>73</v>
      </c>
      <c r="B20">
        <v>3</v>
      </c>
      <c r="C20" t="s">
        <v>393</v>
      </c>
      <c r="D20" s="851">
        <f>'2045_24hr_all_attractions'!Q41</f>
        <v>0.8872439567052266</v>
      </c>
      <c r="E20" s="851">
        <f>'2045_24hr_all_attractions'!R41</f>
        <v>2.0793249245825318E-2</v>
      </c>
      <c r="F20" s="851">
        <f t="shared" si="13"/>
        <v>9.1962794048948027E-2</v>
      </c>
      <c r="H20" s="851">
        <f>'2045_24hr_all_attractions'!M41</f>
        <v>8.2107668246974175</v>
      </c>
      <c r="I20" s="851">
        <f>'2045_24hr_all_attractions'!N41</f>
        <v>4.6073354276738545</v>
      </c>
      <c r="J20" s="851">
        <f>('2045_24hr_all_attractions'!N41*'2045_24hr_all_attractions'!R41+'2045_24hr_all_attractions'!P41*'2045_24hr_all_attractions'!T41)/('2045_24hr_all_attractions'!R41+'2045_24hr_all_attractions'!T41)</f>
        <v>2.259822593729059</v>
      </c>
      <c r="L20" s="851">
        <f t="shared" si="5"/>
        <v>7.2849532451285466</v>
      </c>
      <c r="M20" s="851">
        <f t="shared" si="0"/>
        <v>9.580147390674365E-2</v>
      </c>
      <c r="N20" s="851">
        <f t="shared" si="1"/>
        <v>0.20781959977426501</v>
      </c>
      <c r="P20" s="851">
        <f t="shared" si="6"/>
        <v>0.79851956103470401</v>
      </c>
      <c r="Q20" s="851">
        <f t="shared" si="7"/>
        <v>2.0793249245825318E-2</v>
      </c>
      <c r="R20" s="851">
        <f t="shared" si="8"/>
        <v>0.18068718971947062</v>
      </c>
      <c r="T20" s="851">
        <f t="shared" si="9"/>
        <v>6.5564579206156921</v>
      </c>
      <c r="U20" s="851">
        <f t="shared" si="10"/>
        <v>9.580147390674365E-2</v>
      </c>
      <c r="V20" s="851">
        <f t="shared" si="11"/>
        <v>0.40832099372546865</v>
      </c>
      <c r="X20" s="2">
        <f t="shared" si="12"/>
        <v>0.9</v>
      </c>
      <c r="Y20" s="2">
        <f t="shared" si="2"/>
        <v>1</v>
      </c>
      <c r="Z20" s="2">
        <f t="shared" si="3"/>
        <v>1.9647857765532681</v>
      </c>
    </row>
    <row r="21" spans="1:26" x14ac:dyDescent="0.25">
      <c r="A21" t="s">
        <v>73</v>
      </c>
      <c r="B21">
        <v>4</v>
      </c>
      <c r="C21" t="s">
        <v>393</v>
      </c>
      <c r="D21" s="851">
        <f>'2045_24hr_all_attractions'!Q42</f>
        <v>0.85658336747234742</v>
      </c>
      <c r="E21" s="851">
        <f>'2045_24hr_all_attractions'!R42</f>
        <v>2.0538030861668714E-2</v>
      </c>
      <c r="F21" s="851">
        <f t="shared" si="13"/>
        <v>0.12287860166598386</v>
      </c>
      <c r="H21" s="851">
        <f>'2045_24hr_all_attractions'!M42</f>
        <v>8.7594808027088558</v>
      </c>
      <c r="I21" s="851">
        <f>'2045_24hr_all_attractions'!N42</f>
        <v>3.3709601063829786</v>
      </c>
      <c r="J21" s="851">
        <f>('2045_24hr_all_attractions'!N42*'2045_24hr_all_attractions'!R42+'2045_24hr_all_attractions'!P42*'2045_24hr_all_attractions'!T42)/('2045_24hr_all_attractions'!R42+'2045_24hr_all_attractions'!T42)</f>
        <v>1.4914094783498122</v>
      </c>
      <c r="L21" s="851">
        <f t="shared" si="5"/>
        <v>7.5032255632937321</v>
      </c>
      <c r="M21" s="851">
        <f t="shared" si="0"/>
        <v>6.9232882698347667E-2</v>
      </c>
      <c r="N21" s="851">
        <f t="shared" si="1"/>
        <v>0.18326231121101935</v>
      </c>
      <c r="P21" s="851">
        <f t="shared" si="6"/>
        <v>0.77092503072511265</v>
      </c>
      <c r="Q21" s="851">
        <f t="shared" si="7"/>
        <v>2.0538030861668714E-2</v>
      </c>
      <c r="R21" s="851">
        <f t="shared" si="8"/>
        <v>0.20853693841321863</v>
      </c>
      <c r="T21" s="851">
        <f t="shared" si="9"/>
        <v>6.7529030069643587</v>
      </c>
      <c r="U21" s="851">
        <f t="shared" si="10"/>
        <v>6.9232882698347667E-2</v>
      </c>
      <c r="V21" s="851">
        <f t="shared" si="11"/>
        <v>0.31101396653552532</v>
      </c>
      <c r="X21" s="2">
        <f t="shared" si="12"/>
        <v>0.9</v>
      </c>
      <c r="Y21" s="2">
        <f t="shared" si="2"/>
        <v>1</v>
      </c>
      <c r="Z21" s="2">
        <f t="shared" si="3"/>
        <v>1.6970972617354201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I224"/>
  <sheetViews>
    <sheetView workbookViewId="0"/>
  </sheetViews>
  <sheetFormatPr defaultColWidth="12.42578125" defaultRowHeight="16.5" x14ac:dyDescent="0.3"/>
  <cols>
    <col min="1" max="1" width="12.42578125" style="107"/>
    <col min="2" max="2" width="45.42578125" style="107" customWidth="1"/>
    <col min="3" max="3" width="0" style="107" hidden="1" customWidth="1"/>
    <col min="4" max="5" width="12.42578125" style="107"/>
    <col min="6" max="6" width="12.42578125" style="199"/>
    <col min="7" max="7" width="12.42578125" style="107"/>
    <col min="8" max="8" width="12.42578125" style="866"/>
    <col min="9" max="12" width="0" style="107" hidden="1" customWidth="1"/>
    <col min="13" max="13" width="12.42578125" style="137"/>
    <col min="14" max="14" width="12.42578125" style="107"/>
    <col min="15" max="15" width="0" style="108" hidden="1" customWidth="1"/>
    <col min="16" max="16" width="0" style="109" hidden="1" customWidth="1"/>
    <col min="17" max="17" width="0" style="131" hidden="1" customWidth="1"/>
    <col min="18" max="18" width="12.42578125" style="133"/>
    <col min="19" max="23" width="0" style="133" hidden="1" customWidth="1"/>
    <col min="24" max="31" width="0" style="109" hidden="1" customWidth="1"/>
    <col min="32" max="32" width="0" style="239" hidden="1" customWidth="1"/>
    <col min="33" max="35" width="0" style="809" hidden="1" customWidth="1"/>
    <col min="36" max="37" width="0" style="109" hidden="1" customWidth="1"/>
    <col min="38" max="38" width="45.85546875" style="873" customWidth="1"/>
    <col min="39" max="39" width="12.42578125" style="869"/>
    <col min="40" max="43" width="12.42578125" style="109"/>
    <col min="44" max="16384" width="12.42578125" style="107"/>
  </cols>
  <sheetData>
    <row r="1" spans="1:61" s="106" customFormat="1" ht="157.5" x14ac:dyDescent="0.4">
      <c r="A1" s="504" t="s">
        <v>403</v>
      </c>
      <c r="B1" s="583" t="s">
        <v>79</v>
      </c>
      <c r="C1" s="583" t="s">
        <v>80</v>
      </c>
      <c r="D1" s="583" t="s">
        <v>404</v>
      </c>
      <c r="E1" s="583" t="s">
        <v>405</v>
      </c>
      <c r="F1" s="584" t="s">
        <v>406</v>
      </c>
      <c r="G1" s="584" t="s">
        <v>407</v>
      </c>
      <c r="H1" s="861" t="s">
        <v>408</v>
      </c>
      <c r="I1" s="585" t="s">
        <v>409</v>
      </c>
      <c r="J1" s="585" t="s">
        <v>410</v>
      </c>
      <c r="K1" s="585" t="s">
        <v>411</v>
      </c>
      <c r="L1" s="585" t="s">
        <v>412</v>
      </c>
      <c r="M1" s="584" t="s">
        <v>413</v>
      </c>
      <c r="N1" s="584" t="s">
        <v>414</v>
      </c>
      <c r="O1" s="584" t="s">
        <v>415</v>
      </c>
      <c r="P1" s="584" t="s">
        <v>416</v>
      </c>
      <c r="Q1" s="586" t="s">
        <v>417</v>
      </c>
      <c r="R1" s="587" t="s">
        <v>418</v>
      </c>
      <c r="S1" s="837"/>
      <c r="T1" s="837" t="s">
        <v>419</v>
      </c>
      <c r="U1" s="837" t="s">
        <v>420</v>
      </c>
      <c r="V1" s="837" t="s">
        <v>421</v>
      </c>
      <c r="W1" s="837" t="s">
        <v>422</v>
      </c>
      <c r="X1" s="109"/>
      <c r="Y1" s="812" t="s">
        <v>423</v>
      </c>
      <c r="Z1" s="813" t="s">
        <v>424</v>
      </c>
      <c r="AA1" s="805" t="s">
        <v>425</v>
      </c>
      <c r="AB1" s="805" t="s">
        <v>426</v>
      </c>
      <c r="AC1" s="805" t="s">
        <v>427</v>
      </c>
      <c r="AD1" s="805" t="s">
        <v>428</v>
      </c>
      <c r="AE1" s="805" t="s">
        <v>429</v>
      </c>
      <c r="AF1" s="805" t="s">
        <v>430</v>
      </c>
      <c r="AG1" s="805" t="s">
        <v>431</v>
      </c>
      <c r="AH1" s="805" t="s">
        <v>432</v>
      </c>
      <c r="AI1" s="805"/>
      <c r="AJ1" s="806" t="s">
        <v>433</v>
      </c>
      <c r="AK1" s="109"/>
      <c r="AL1" s="873"/>
      <c r="AM1" s="872" t="s">
        <v>434</v>
      </c>
      <c r="AN1" s="109"/>
      <c r="AO1" s="109"/>
      <c r="AP1" s="109"/>
      <c r="AQ1" s="109"/>
      <c r="AR1" s="239"/>
      <c r="AS1" s="239"/>
      <c r="AT1" s="239"/>
      <c r="AU1" s="239"/>
      <c r="AV1" s="239"/>
      <c r="AW1" s="239"/>
      <c r="AX1" s="239"/>
      <c r="AY1" s="239"/>
      <c r="AZ1" s="239"/>
      <c r="BA1" s="239"/>
      <c r="BB1" s="239"/>
      <c r="BC1" s="239"/>
      <c r="BD1" s="239"/>
      <c r="BE1" s="239"/>
      <c r="BF1" s="239"/>
      <c r="BG1" s="239"/>
      <c r="BH1" s="239"/>
      <c r="BI1" s="239"/>
    </row>
    <row r="2" spans="1:61" s="136" customFormat="1" ht="42.75" customHeight="1" x14ac:dyDescent="0.3">
      <c r="A2" s="505" t="s">
        <v>435</v>
      </c>
      <c r="B2" s="506"/>
      <c r="C2" s="507"/>
      <c r="D2" s="508"/>
      <c r="E2" s="508"/>
      <c r="F2" s="509"/>
      <c r="G2" s="509"/>
      <c r="H2" s="862"/>
      <c r="I2" s="510"/>
      <c r="J2" s="510"/>
      <c r="K2" s="510"/>
      <c r="L2" s="510"/>
      <c r="M2" s="615"/>
      <c r="N2" s="616"/>
      <c r="O2" s="511"/>
      <c r="P2" s="512"/>
      <c r="Q2" s="513"/>
      <c r="R2" s="514"/>
      <c r="S2" s="838"/>
      <c r="T2" s="838"/>
      <c r="U2" s="838"/>
      <c r="V2" s="838"/>
      <c r="W2" s="838"/>
      <c r="X2" s="111"/>
      <c r="Y2" s="815"/>
      <c r="Z2" s="815"/>
      <c r="AA2" s="815"/>
      <c r="AB2" s="815"/>
      <c r="AC2" s="815"/>
      <c r="AD2" s="815"/>
      <c r="AE2" s="815"/>
      <c r="AF2" s="816"/>
      <c r="AG2" s="817"/>
      <c r="AH2" s="817"/>
      <c r="AI2" s="817"/>
      <c r="AJ2" s="815">
        <v>0</v>
      </c>
      <c r="AK2" s="111"/>
      <c r="AL2" s="874"/>
      <c r="AM2" s="870"/>
      <c r="AN2" s="111"/>
      <c r="AO2" s="111"/>
      <c r="AP2" s="111"/>
      <c r="AQ2" s="111"/>
      <c r="AR2" s="111"/>
      <c r="AS2" s="111"/>
      <c r="AT2" s="111"/>
      <c r="AU2" s="111"/>
      <c r="AV2" s="111"/>
      <c r="AW2" s="111"/>
      <c r="AX2" s="111"/>
      <c r="AY2" s="111"/>
      <c r="AZ2" s="111"/>
      <c r="BA2" s="111"/>
      <c r="BB2" s="111"/>
      <c r="BC2" s="111"/>
      <c r="BD2" s="111"/>
      <c r="BE2" s="111"/>
      <c r="BF2" s="239"/>
      <c r="BG2" s="239"/>
      <c r="BH2" s="239"/>
      <c r="BI2" s="239"/>
    </row>
    <row r="3" spans="1:61" x14ac:dyDescent="0.3">
      <c r="A3" s="515">
        <v>30</v>
      </c>
      <c r="B3" s="516" t="s">
        <v>136</v>
      </c>
      <c r="C3" s="103" t="s">
        <v>112</v>
      </c>
      <c r="D3" s="517" t="str">
        <f>IF(F3,"✓","X")</f>
        <v>✓</v>
      </c>
      <c r="E3" s="517" t="str">
        <f>IF(G3,"✓","X")</f>
        <v>✓</v>
      </c>
      <c r="F3" s="518">
        <v>9.85</v>
      </c>
      <c r="G3" s="519">
        <v>9.85</v>
      </c>
      <c r="H3" s="863"/>
      <c r="I3" s="520"/>
      <c r="J3" s="520"/>
      <c r="K3" s="520"/>
      <c r="L3" s="520"/>
      <c r="M3" s="617">
        <f t="shared" ref="M3:M66" si="0">((F3*0.97*(P3/2)*O3)/8500)*(1951500-278800)*1.02*1.682</f>
        <v>10080.5280136125</v>
      </c>
      <c r="N3" s="239"/>
      <c r="O3" s="110">
        <v>6.25</v>
      </c>
      <c r="P3" s="521">
        <v>1</v>
      </c>
      <c r="Q3" s="522">
        <v>10080.200000000001</v>
      </c>
      <c r="R3" s="523">
        <f t="shared" ref="R3:R67" si="1">Q3/M3</f>
        <v>0.99996746067149889</v>
      </c>
      <c r="S3" s="839"/>
      <c r="T3" s="839">
        <f>G3/F3</f>
        <v>1</v>
      </c>
      <c r="U3" s="839">
        <f>Passby_Length_Adj!J7/ITE_LUC_Rates!P3</f>
        <v>1</v>
      </c>
      <c r="V3" s="839">
        <f>8.21*Passby_Length_Adj!H7/ITE_LUC_Rates!O3</f>
        <v>1.3136000000000001</v>
      </c>
      <c r="W3" s="839">
        <f>V3*U3*T3</f>
        <v>1.3136000000000001</v>
      </c>
      <c r="X3" s="811">
        <f t="shared" ref="X3:X11" si="2">AB3/AA3</f>
        <v>1.2909264940618046</v>
      </c>
      <c r="Y3" s="814">
        <f>FEE_3_Out!S12</f>
        <v>10191.427815147301</v>
      </c>
      <c r="Z3" s="814">
        <f>FEE_3_Out!H12</f>
        <v>10428.418922360745</v>
      </c>
      <c r="AA3" s="807">
        <f t="shared" ref="AA3:AA34" si="3">F3*O3*P3*0.98</f>
        <v>60.331249999999997</v>
      </c>
      <c r="AB3" s="807">
        <f>FEE_3_Out!Q12*2</f>
        <v>77.883209044866248</v>
      </c>
      <c r="AC3" s="826">
        <f>IFERROR(AB3/AA3-1, 0)</f>
        <v>0.2909264940618046</v>
      </c>
      <c r="AD3" s="808">
        <f>IFERROR((G3/F3)-1, 0)</f>
        <v>0</v>
      </c>
      <c r="AE3" s="808">
        <f>AC3-AD3</f>
        <v>0.2909264940618046</v>
      </c>
      <c r="AF3" s="811">
        <f>IFERROR((Y3/Q3-1), 0)</f>
        <v>1.1034286536705684E-2</v>
      </c>
      <c r="AG3" s="811">
        <f>IFERROR((Z3/Q3-1), 0)</f>
        <v>3.4544842598434933E-2</v>
      </c>
      <c r="AH3" s="811"/>
      <c r="AJ3" s="111">
        <v>1</v>
      </c>
      <c r="AK3" s="111"/>
      <c r="AL3" s="875" t="s">
        <v>436</v>
      </c>
      <c r="AM3" s="871"/>
      <c r="AN3" s="111"/>
      <c r="AO3" s="111"/>
      <c r="AP3" s="111"/>
      <c r="AQ3" s="111"/>
      <c r="AR3" s="111"/>
      <c r="AS3" s="111"/>
      <c r="AT3" s="111"/>
      <c r="AU3" s="111"/>
      <c r="AV3" s="111"/>
      <c r="AW3" s="111"/>
      <c r="AX3" s="111"/>
      <c r="AY3" s="111"/>
      <c r="AZ3" s="111"/>
      <c r="BA3" s="111"/>
      <c r="BB3" s="111"/>
      <c r="BC3" s="111"/>
      <c r="BD3" s="111"/>
      <c r="BE3" s="111"/>
      <c r="BF3" s="239"/>
      <c r="BG3" s="239"/>
      <c r="BH3" s="239"/>
      <c r="BI3" s="239"/>
    </row>
    <row r="4" spans="1:61" x14ac:dyDescent="0.3">
      <c r="A4" s="524" t="s">
        <v>437</v>
      </c>
      <c r="B4" s="525"/>
      <c r="C4" s="526"/>
      <c r="D4" s="527"/>
      <c r="E4" s="527"/>
      <c r="F4" s="528"/>
      <c r="G4" s="529"/>
      <c r="H4" s="863"/>
      <c r="I4" s="529"/>
      <c r="J4" s="529"/>
      <c r="K4" s="529"/>
      <c r="L4" s="529"/>
      <c r="M4" s="618"/>
      <c r="N4" s="619"/>
      <c r="O4" s="530"/>
      <c r="P4" s="531"/>
      <c r="Q4" s="532"/>
      <c r="R4" s="533"/>
      <c r="S4" s="840"/>
      <c r="T4" s="840"/>
      <c r="U4" s="840"/>
      <c r="V4" s="840"/>
      <c r="W4" s="840"/>
      <c r="X4" s="811" t="e">
        <f t="shared" si="2"/>
        <v>#DIV/0!</v>
      </c>
      <c r="Y4" s="814">
        <f>FEE_3_Out!S13</f>
        <v>0</v>
      </c>
      <c r="Z4" s="814">
        <f>FEE_3_Out!H13</f>
        <v>0</v>
      </c>
      <c r="AA4" s="807">
        <f t="shared" si="3"/>
        <v>0</v>
      </c>
      <c r="AB4" s="807">
        <f>FEE_3_Out!Q13*2</f>
        <v>0</v>
      </c>
      <c r="AC4" s="826">
        <f t="shared" ref="AC4:AC67" si="4">IFERROR(AB4/AA4-1, 0)</f>
        <v>0</v>
      </c>
      <c r="AD4" s="808">
        <f t="shared" ref="AD4:AD67" si="5">IFERROR((G4/F4)-1, 0)</f>
        <v>0</v>
      </c>
      <c r="AE4" s="808">
        <f t="shared" ref="AE4:AE67" si="6">AC4-AD4</f>
        <v>0</v>
      </c>
      <c r="AF4" s="811">
        <f t="shared" ref="AF4:AF67" si="7">IFERROR((Y4/Q4-1), 0)</f>
        <v>0</v>
      </c>
      <c r="AG4" s="811">
        <f t="shared" ref="AG4:AG67" si="8">IFERROR((Z4/Q4-1), 0)</f>
        <v>0</v>
      </c>
      <c r="AH4" s="811"/>
      <c r="AI4" s="811"/>
      <c r="AJ4" s="111">
        <v>2</v>
      </c>
      <c r="AK4" s="111"/>
      <c r="AL4" s="874"/>
      <c r="AM4" s="871"/>
      <c r="AN4" s="111"/>
      <c r="AO4" s="111"/>
      <c r="AP4" s="111"/>
      <c r="AQ4" s="111"/>
      <c r="AR4" s="111"/>
      <c r="AS4" s="111"/>
      <c r="AT4" s="111"/>
      <c r="AU4" s="111"/>
      <c r="AV4" s="111"/>
      <c r="AW4" s="111"/>
      <c r="AX4" s="111"/>
      <c r="AY4" s="111"/>
      <c r="AZ4" s="111"/>
      <c r="BA4" s="111"/>
      <c r="BB4" s="111"/>
      <c r="BC4" s="111"/>
      <c r="BD4" s="111"/>
      <c r="BE4" s="111"/>
      <c r="BF4" s="239"/>
      <c r="BG4" s="239"/>
      <c r="BH4" s="239"/>
      <c r="BI4" s="239"/>
    </row>
    <row r="5" spans="1:61" x14ac:dyDescent="0.3">
      <c r="A5" s="515">
        <v>110</v>
      </c>
      <c r="B5" s="516" t="s">
        <v>136</v>
      </c>
      <c r="C5" s="103" t="s">
        <v>112</v>
      </c>
      <c r="D5" s="517" t="str">
        <f t="shared" ref="D5:E11" si="9">IF(F5,"✓","X")</f>
        <v>X</v>
      </c>
      <c r="E5" s="517" t="str">
        <f t="shared" si="9"/>
        <v>✓</v>
      </c>
      <c r="F5" s="518"/>
      <c r="G5" s="520">
        <v>4.96</v>
      </c>
      <c r="H5" s="863">
        <v>4.84</v>
      </c>
      <c r="I5" s="520"/>
      <c r="J5" s="520"/>
      <c r="K5" s="520"/>
      <c r="L5" s="520"/>
      <c r="M5" s="617"/>
      <c r="N5" s="239"/>
      <c r="O5" s="110"/>
      <c r="P5" s="111"/>
      <c r="Q5" s="522"/>
      <c r="R5" s="523"/>
      <c r="S5" s="839"/>
      <c r="T5" s="839" t="e">
        <f t="shared" ref="T5:T11" si="10">G5/F5</f>
        <v>#DIV/0!</v>
      </c>
      <c r="U5" s="839" t="e">
        <f>Passby_Length_Adj!J9/ITE_LUC_Rates!P5</f>
        <v>#DIV/0!</v>
      </c>
      <c r="V5" s="839" t="e">
        <f>8.21*Passby_Length_Adj!H9/ITE_LUC_Rates!O5</f>
        <v>#DIV/0!</v>
      </c>
      <c r="W5" s="839" t="e">
        <f t="shared" ref="W5:W11" si="11">V5*U5*T5</f>
        <v>#DIV/0!</v>
      </c>
      <c r="X5" s="811" t="e">
        <f t="shared" si="2"/>
        <v>#DIV/0!</v>
      </c>
      <c r="Y5" s="814">
        <f>FEE_3_Out!S14</f>
        <v>5131.9271028558996</v>
      </c>
      <c r="Z5" s="814">
        <f>FEE_3_Out!H14</f>
        <v>5251.2647568435841</v>
      </c>
      <c r="AA5" s="807">
        <f t="shared" si="3"/>
        <v>0</v>
      </c>
      <c r="AB5" s="807">
        <f>FEE_3_Out!Q14*2</f>
        <v>39.218346889597626</v>
      </c>
      <c r="AC5" s="826">
        <f t="shared" si="4"/>
        <v>0</v>
      </c>
      <c r="AD5" s="808">
        <f t="shared" si="5"/>
        <v>0</v>
      </c>
      <c r="AE5" s="808">
        <f t="shared" si="6"/>
        <v>0</v>
      </c>
      <c r="AF5" s="811">
        <f t="shared" si="7"/>
        <v>0</v>
      </c>
      <c r="AG5" s="811">
        <f t="shared" si="8"/>
        <v>0</v>
      </c>
      <c r="AH5" s="811"/>
      <c r="AI5" s="811"/>
      <c r="AJ5" s="111">
        <v>3</v>
      </c>
      <c r="AK5" s="111"/>
      <c r="AL5" s="874"/>
      <c r="AM5" s="871">
        <f t="shared" ref="AM5:AM67" si="12">(G5-H5)/G5</f>
        <v>2.4193548387096794E-2</v>
      </c>
      <c r="AN5" s="111"/>
      <c r="AO5" s="111"/>
      <c r="AP5" s="111"/>
      <c r="AQ5" s="111"/>
      <c r="AR5" s="111"/>
      <c r="AS5" s="111"/>
      <c r="AT5" s="111"/>
      <c r="AU5" s="111"/>
      <c r="AV5" s="111"/>
      <c r="AW5" s="111"/>
      <c r="AX5" s="111"/>
      <c r="AY5" s="111"/>
      <c r="AZ5" s="111"/>
      <c r="BA5" s="111"/>
      <c r="BB5" s="111"/>
      <c r="BC5" s="111"/>
      <c r="BD5" s="111"/>
      <c r="BE5" s="111"/>
      <c r="BF5" s="239"/>
      <c r="BG5" s="239"/>
      <c r="BH5" s="239"/>
      <c r="BI5" s="239"/>
    </row>
    <row r="6" spans="1:61" x14ac:dyDescent="0.3">
      <c r="A6" s="515">
        <v>130</v>
      </c>
      <c r="B6" s="516" t="s">
        <v>138</v>
      </c>
      <c r="C6" s="103" t="s">
        <v>112</v>
      </c>
      <c r="D6" s="517" t="str">
        <f t="shared" si="9"/>
        <v>✓</v>
      </c>
      <c r="E6" s="517" t="str">
        <f t="shared" si="9"/>
        <v>✓</v>
      </c>
      <c r="F6" s="518">
        <v>6.96</v>
      </c>
      <c r="G6" s="520">
        <v>3.37</v>
      </c>
      <c r="H6" s="863">
        <v>3.37</v>
      </c>
      <c r="I6" s="520"/>
      <c r="J6" s="520"/>
      <c r="K6" s="520"/>
      <c r="L6" s="520"/>
      <c r="M6" s="617">
        <f t="shared" si="0"/>
        <v>7020.3212319905288</v>
      </c>
      <c r="N6" s="239"/>
      <c r="O6" s="110">
        <v>6.16</v>
      </c>
      <c r="P6" s="521">
        <v>1</v>
      </c>
      <c r="Q6" s="522">
        <v>7020.7</v>
      </c>
      <c r="R6" s="523">
        <f t="shared" si="1"/>
        <v>1.0000539530880361</v>
      </c>
      <c r="S6" s="839"/>
      <c r="T6" s="839">
        <f t="shared" si="10"/>
        <v>0.48419540229885061</v>
      </c>
      <c r="U6" s="839">
        <f>Passby_Length_Adj!J10/ITE_LUC_Rates!P6</f>
        <v>1</v>
      </c>
      <c r="V6" s="839">
        <f>8.21*Passby_Length_Adj!H10/ITE_LUC_Rates!O6</f>
        <v>1.3327922077922079</v>
      </c>
      <c r="W6" s="839">
        <f t="shared" si="11"/>
        <v>0.64533185923272141</v>
      </c>
      <c r="X6" s="811">
        <f t="shared" si="2"/>
        <v>0.63419305309506913</v>
      </c>
      <c r="Y6" s="814">
        <f>FEE_3_Out!S15</f>
        <v>3486.8133743194317</v>
      </c>
      <c r="Z6" s="814">
        <f>FEE_3_Out!H15</f>
        <v>3567.8956110005797</v>
      </c>
      <c r="AA6" s="807">
        <f t="shared" si="3"/>
        <v>42.016128000000002</v>
      </c>
      <c r="AB6" s="807">
        <f>FEE_3_Out!Q15*2</f>
        <v>26.646336495553221</v>
      </c>
      <c r="AC6" s="826">
        <f t="shared" si="4"/>
        <v>-0.36580694690493087</v>
      </c>
      <c r="AD6" s="808">
        <f t="shared" si="5"/>
        <v>-0.51580459770114939</v>
      </c>
      <c r="AE6" s="808">
        <f t="shared" si="6"/>
        <v>0.14999765079621852</v>
      </c>
      <c r="AF6" s="811">
        <f t="shared" si="7"/>
        <v>-0.50335246138997092</v>
      </c>
      <c r="AG6" s="811">
        <f t="shared" si="8"/>
        <v>-0.49180343683670003</v>
      </c>
      <c r="AH6" s="811"/>
      <c r="AI6" s="811"/>
      <c r="AJ6" s="111">
        <v>4</v>
      </c>
      <c r="AK6" s="111"/>
      <c r="AL6" s="874"/>
      <c r="AM6" s="871">
        <f t="shared" si="12"/>
        <v>0</v>
      </c>
      <c r="AN6" s="111"/>
      <c r="AO6" s="111"/>
      <c r="AP6" s="111"/>
      <c r="AQ6" s="111"/>
      <c r="AR6" s="111"/>
      <c r="AS6" s="111"/>
      <c r="AT6" s="111"/>
      <c r="AU6" s="111"/>
      <c r="AV6" s="111"/>
      <c r="AW6" s="111"/>
      <c r="AX6" s="111"/>
      <c r="AY6" s="111"/>
      <c r="AZ6" s="111"/>
      <c r="BA6" s="111"/>
      <c r="BB6" s="111"/>
      <c r="BC6" s="111"/>
      <c r="BD6" s="111"/>
      <c r="BE6" s="111"/>
      <c r="BF6" s="239"/>
      <c r="BG6" s="239"/>
      <c r="BH6" s="239"/>
      <c r="BI6" s="239"/>
    </row>
    <row r="7" spans="1:61" x14ac:dyDescent="0.3">
      <c r="A7" s="515">
        <v>140</v>
      </c>
      <c r="B7" s="516" t="s">
        <v>140</v>
      </c>
      <c r="C7" s="103" t="s">
        <v>112</v>
      </c>
      <c r="D7" s="517" t="str">
        <f t="shared" si="9"/>
        <v>✓</v>
      </c>
      <c r="E7" s="517" t="str">
        <f t="shared" si="9"/>
        <v>✓</v>
      </c>
      <c r="F7" s="518">
        <v>3.82</v>
      </c>
      <c r="G7" s="520">
        <v>3.93</v>
      </c>
      <c r="H7" s="863">
        <v>4.75</v>
      </c>
      <c r="I7" s="520"/>
      <c r="J7" s="520"/>
      <c r="K7" s="520"/>
      <c r="L7" s="520"/>
      <c r="M7" s="617">
        <f t="shared" si="0"/>
        <v>3853.1073428453751</v>
      </c>
      <c r="N7" s="239"/>
      <c r="O7" s="110">
        <v>6.16</v>
      </c>
      <c r="P7" s="521">
        <v>1</v>
      </c>
      <c r="Q7" s="522">
        <v>3853.5</v>
      </c>
      <c r="R7" s="523">
        <f t="shared" si="1"/>
        <v>1.0001019066222887</v>
      </c>
      <c r="S7" s="839"/>
      <c r="T7" s="839">
        <f t="shared" si="10"/>
        <v>1.0287958115183247</v>
      </c>
      <c r="U7" s="839">
        <f>Passby_Length_Adj!J11/ITE_LUC_Rates!P7</f>
        <v>1</v>
      </c>
      <c r="V7" s="839">
        <f>8.21*Passby_Length_Adj!H11/ITE_LUC_Rates!O7</f>
        <v>1.3327922077922079</v>
      </c>
      <c r="W7" s="839">
        <f t="shared" si="11"/>
        <v>1.3711710410008842</v>
      </c>
      <c r="X7" s="811">
        <f t="shared" si="2"/>
        <v>1.3475038251509943</v>
      </c>
      <c r="Y7" s="814">
        <f>FEE_3_Out!S16</f>
        <v>4066.2244988354205</v>
      </c>
      <c r="Z7" s="814">
        <f>FEE_3_Out!H16</f>
        <v>4160.7803416119523</v>
      </c>
      <c r="AA7" s="807">
        <f t="shared" si="3"/>
        <v>23.060575999999998</v>
      </c>
      <c r="AB7" s="807">
        <f>FEE_3_Out!Q16*2</f>
        <v>31.074214370185214</v>
      </c>
      <c r="AC7" s="826">
        <f t="shared" si="4"/>
        <v>0.34750382515099432</v>
      </c>
      <c r="AD7" s="808">
        <f t="shared" si="5"/>
        <v>2.8795811518324665E-2</v>
      </c>
      <c r="AE7" s="808">
        <f t="shared" si="6"/>
        <v>0.31870801363266965</v>
      </c>
      <c r="AF7" s="811">
        <f t="shared" si="7"/>
        <v>5.52029320969043E-2</v>
      </c>
      <c r="AG7" s="811">
        <f t="shared" si="8"/>
        <v>7.9740584303088724E-2</v>
      </c>
      <c r="AH7" s="811"/>
      <c r="AI7" s="811"/>
      <c r="AJ7" s="111">
        <v>5</v>
      </c>
      <c r="AK7" s="111"/>
      <c r="AL7" s="874"/>
      <c r="AM7" s="871">
        <f t="shared" si="12"/>
        <v>-0.2086513994910941</v>
      </c>
      <c r="AN7" s="111"/>
      <c r="AO7" s="111"/>
      <c r="AP7" s="111"/>
      <c r="AQ7" s="111"/>
      <c r="AR7" s="111"/>
      <c r="AS7" s="111"/>
      <c r="AT7" s="111"/>
      <c r="AU7" s="111"/>
      <c r="AV7" s="111"/>
      <c r="AW7" s="111"/>
      <c r="AX7" s="111"/>
      <c r="AY7" s="111"/>
      <c r="AZ7" s="111"/>
      <c r="BA7" s="111"/>
      <c r="BB7" s="111"/>
      <c r="BC7" s="111"/>
      <c r="BD7" s="111"/>
      <c r="BE7" s="111"/>
      <c r="BF7" s="239"/>
      <c r="BG7" s="239"/>
      <c r="BH7" s="239"/>
      <c r="BI7" s="239"/>
    </row>
    <row r="8" spans="1:61" x14ac:dyDescent="0.3">
      <c r="A8" s="515">
        <v>150</v>
      </c>
      <c r="B8" s="516" t="s">
        <v>142</v>
      </c>
      <c r="C8" s="103" t="s">
        <v>112</v>
      </c>
      <c r="D8" s="517" t="str">
        <f t="shared" si="9"/>
        <v>✓</v>
      </c>
      <c r="E8" s="517" t="str">
        <f t="shared" si="9"/>
        <v>✓</v>
      </c>
      <c r="F8" s="518">
        <v>4.96</v>
      </c>
      <c r="G8" s="520">
        <v>1.74</v>
      </c>
      <c r="H8" s="863">
        <v>1.71</v>
      </c>
      <c r="I8" s="520"/>
      <c r="J8" s="520"/>
      <c r="K8" s="520"/>
      <c r="L8" s="520"/>
      <c r="M8" s="617">
        <f t="shared" si="0"/>
        <v>5002.9875446369279</v>
      </c>
      <c r="N8" s="239"/>
      <c r="O8" s="110">
        <v>6.16</v>
      </c>
      <c r="P8" s="521">
        <v>1</v>
      </c>
      <c r="Q8" s="522">
        <v>5002.3</v>
      </c>
      <c r="R8" s="523">
        <f t="shared" si="1"/>
        <v>0.99986257318636251</v>
      </c>
      <c r="S8" s="839"/>
      <c r="T8" s="839">
        <f t="shared" si="10"/>
        <v>0.35080645161290325</v>
      </c>
      <c r="U8" s="839">
        <f>Passby_Length_Adj!J12/ITE_LUC_Rates!P8</f>
        <v>1</v>
      </c>
      <c r="V8" s="839">
        <f>8.21*Passby_Length_Adj!H12/ITE_LUC_Rates!O8</f>
        <v>1.3327922077922079</v>
      </c>
      <c r="W8" s="839">
        <f t="shared" si="11"/>
        <v>0.46755210515291168</v>
      </c>
      <c r="X8" s="811">
        <f t="shared" si="2"/>
        <v>0.45948188177243021</v>
      </c>
      <c r="Y8" s="814">
        <f>FEE_3_Out!S17</f>
        <v>1800.3131368889647</v>
      </c>
      <c r="Z8" s="814">
        <f>FEE_3_Out!H17</f>
        <v>1842.1775558281925</v>
      </c>
      <c r="AA8" s="807">
        <f>F8*O8*P8*0.98</f>
        <v>29.942527999999999</v>
      </c>
      <c r="AB8" s="807">
        <f>FEE_3_Out!Q17*2</f>
        <v>13.758049110463681</v>
      </c>
      <c r="AC8" s="826">
        <f t="shared" si="4"/>
        <v>-0.54051811822756979</v>
      </c>
      <c r="AD8" s="808">
        <f t="shared" si="5"/>
        <v>-0.64919354838709675</v>
      </c>
      <c r="AE8" s="808">
        <f t="shared" si="6"/>
        <v>0.10867543015952696</v>
      </c>
      <c r="AF8" s="811">
        <f t="shared" si="7"/>
        <v>-0.64010292527657986</v>
      </c>
      <c r="AG8" s="811">
        <f t="shared" si="8"/>
        <v>-0.63173389124438906</v>
      </c>
      <c r="AH8" s="811"/>
      <c r="AI8" s="811"/>
      <c r="AJ8" s="111">
        <v>6</v>
      </c>
      <c r="AK8" s="111"/>
      <c r="AL8" s="874"/>
      <c r="AM8" s="871">
        <f t="shared" si="12"/>
        <v>1.7241379310344845E-2</v>
      </c>
      <c r="AN8" s="111"/>
      <c r="AO8" s="111"/>
      <c r="AP8" s="111"/>
      <c r="AQ8" s="111"/>
      <c r="AR8" s="111"/>
      <c r="AS8" s="111"/>
      <c r="AT8" s="111"/>
      <c r="AU8" s="111"/>
      <c r="AV8" s="111"/>
      <c r="AW8" s="111"/>
      <c r="AX8" s="111"/>
      <c r="AY8" s="111"/>
      <c r="AZ8" s="111"/>
      <c r="BA8" s="111"/>
      <c r="BB8" s="111"/>
      <c r="BC8" s="111"/>
      <c r="BD8" s="111"/>
      <c r="BE8" s="111"/>
      <c r="BF8" s="239"/>
      <c r="BG8" s="239"/>
      <c r="BH8" s="239"/>
      <c r="BI8" s="239"/>
    </row>
    <row r="9" spans="1:61" x14ac:dyDescent="0.3">
      <c r="A9" s="515">
        <v>151</v>
      </c>
      <c r="B9" s="516" t="s">
        <v>144</v>
      </c>
      <c r="C9" s="103" t="s">
        <v>112</v>
      </c>
      <c r="D9" s="517" t="str">
        <f t="shared" si="9"/>
        <v>✓</v>
      </c>
      <c r="E9" s="517" t="str">
        <f t="shared" si="9"/>
        <v>✓</v>
      </c>
      <c r="F9" s="518">
        <v>2.5</v>
      </c>
      <c r="G9" s="520">
        <v>1.51</v>
      </c>
      <c r="H9" s="863">
        <v>1.45</v>
      </c>
      <c r="I9" s="520"/>
      <c r="J9" s="520"/>
      <c r="K9" s="520"/>
      <c r="L9" s="520"/>
      <c r="M9" s="617">
        <f t="shared" si="0"/>
        <v>2415.2331078299999</v>
      </c>
      <c r="N9" s="239"/>
      <c r="O9" s="110">
        <v>5.9</v>
      </c>
      <c r="P9" s="521">
        <v>1</v>
      </c>
      <c r="Q9" s="522">
        <v>2415.4</v>
      </c>
      <c r="R9" s="523">
        <f t="shared" si="1"/>
        <v>1.0000690998187542</v>
      </c>
      <c r="S9" s="839"/>
      <c r="T9" s="839">
        <f t="shared" si="10"/>
        <v>0.60399999999999998</v>
      </c>
      <c r="U9" s="839">
        <f>Passby_Length_Adj!J13/ITE_LUC_Rates!P9</f>
        <v>1</v>
      </c>
      <c r="V9" s="839">
        <f>8.21*Passby_Length_Adj!H13/ITE_LUC_Rates!O9</f>
        <v>1.3915254237288137</v>
      </c>
      <c r="W9" s="839">
        <f t="shared" si="11"/>
        <v>0.84048135593220341</v>
      </c>
      <c r="X9" s="811">
        <f t="shared" si="2"/>
        <v>0.82597415509886651</v>
      </c>
      <c r="Y9" s="814">
        <f>FEE_3_Out!S18</f>
        <v>1562.3407107484695</v>
      </c>
      <c r="Z9" s="814">
        <f>FEE_3_Out!H18</f>
        <v>1598.6713271842364</v>
      </c>
      <c r="AA9" s="807">
        <f t="shared" si="3"/>
        <v>14.455</v>
      </c>
      <c r="AB9" s="807">
        <f>FEE_3_Out!Q18*2</f>
        <v>11.939456411954115</v>
      </c>
      <c r="AC9" s="826">
        <f t="shared" si="4"/>
        <v>-0.17402584490113349</v>
      </c>
      <c r="AD9" s="808">
        <f t="shared" si="5"/>
        <v>-0.39600000000000002</v>
      </c>
      <c r="AE9" s="808">
        <f t="shared" si="6"/>
        <v>0.22197415509886653</v>
      </c>
      <c r="AF9" s="811">
        <f t="shared" si="7"/>
        <v>-0.35317516322411635</v>
      </c>
      <c r="AG9" s="811">
        <f t="shared" si="8"/>
        <v>-0.3381339210133989</v>
      </c>
      <c r="AH9" s="811"/>
      <c r="AI9" s="811"/>
      <c r="AJ9" s="111">
        <v>7</v>
      </c>
      <c r="AK9" s="111"/>
      <c r="AL9" s="874"/>
      <c r="AM9" s="871">
        <f t="shared" si="12"/>
        <v>3.9735099337748381E-2</v>
      </c>
      <c r="AN9" s="111"/>
      <c r="AO9" s="111"/>
      <c r="AP9" s="111"/>
      <c r="AQ9" s="111"/>
      <c r="AR9" s="111"/>
      <c r="AS9" s="111"/>
      <c r="AT9" s="111"/>
      <c r="AU9" s="111"/>
      <c r="AV9" s="111"/>
      <c r="AW9" s="111"/>
      <c r="AX9" s="111"/>
      <c r="AY9" s="111"/>
      <c r="AZ9" s="111"/>
      <c r="BA9" s="111"/>
      <c r="BB9" s="111"/>
      <c r="BC9" s="111"/>
      <c r="BD9" s="111"/>
      <c r="BE9" s="111"/>
      <c r="BF9" s="239"/>
      <c r="BG9" s="239"/>
      <c r="BH9" s="239"/>
      <c r="BI9" s="239"/>
    </row>
    <row r="10" spans="1:61" x14ac:dyDescent="0.3">
      <c r="A10" s="515">
        <v>160</v>
      </c>
      <c r="B10" s="516" t="s">
        <v>146</v>
      </c>
      <c r="C10" s="103" t="s">
        <v>112</v>
      </c>
      <c r="D10" s="517" t="str">
        <f t="shared" si="9"/>
        <v>X</v>
      </c>
      <c r="E10" s="517" t="str">
        <f t="shared" si="9"/>
        <v>✓</v>
      </c>
      <c r="F10" s="518"/>
      <c r="G10" s="520">
        <v>0.99</v>
      </c>
      <c r="H10" s="863">
        <v>0.99</v>
      </c>
      <c r="I10" s="520"/>
      <c r="J10" s="520"/>
      <c r="K10" s="520"/>
      <c r="L10" s="520"/>
      <c r="M10" s="617"/>
      <c r="N10" s="239"/>
      <c r="O10" s="110"/>
      <c r="P10" s="111"/>
      <c r="Q10" s="522"/>
      <c r="R10" s="523"/>
      <c r="S10" s="839"/>
      <c r="T10" s="839" t="e">
        <f t="shared" si="10"/>
        <v>#DIV/0!</v>
      </c>
      <c r="U10" s="839" t="e">
        <f>Passby_Length_Adj!J14/ITE_LUC_Rates!P10</f>
        <v>#DIV/0!</v>
      </c>
      <c r="V10" s="839" t="e">
        <f>8.21*Passby_Length_Adj!H14/ITE_LUC_Rates!O10</f>
        <v>#DIV/0!</v>
      </c>
      <c r="W10" s="839" t="e">
        <f t="shared" si="11"/>
        <v>#DIV/0!</v>
      </c>
      <c r="X10" s="811" t="e">
        <f t="shared" si="2"/>
        <v>#DIV/0!</v>
      </c>
      <c r="Y10" s="814">
        <f>FEE_3_Out!S19</f>
        <v>1024.3160951264799</v>
      </c>
      <c r="Z10" s="814">
        <f>FEE_3_Out!H19</f>
        <v>1048.1355059022474</v>
      </c>
      <c r="AA10" s="807">
        <f t="shared" si="3"/>
        <v>0</v>
      </c>
      <c r="AB10" s="807">
        <f>FEE_3_Out!Q19*2</f>
        <v>7.8278555283672677</v>
      </c>
      <c r="AC10" s="826">
        <f t="shared" si="4"/>
        <v>0</v>
      </c>
      <c r="AD10" s="808">
        <f t="shared" si="5"/>
        <v>0</v>
      </c>
      <c r="AE10" s="808">
        <f t="shared" si="6"/>
        <v>0</v>
      </c>
      <c r="AF10" s="811">
        <f t="shared" si="7"/>
        <v>0</v>
      </c>
      <c r="AG10" s="811">
        <f t="shared" si="8"/>
        <v>0</v>
      </c>
      <c r="AH10" s="811"/>
      <c r="AI10" s="811"/>
      <c r="AJ10" s="111">
        <v>8</v>
      </c>
      <c r="AK10" s="111"/>
      <c r="AL10" s="874"/>
      <c r="AM10" s="871">
        <f t="shared" si="12"/>
        <v>0</v>
      </c>
      <c r="AN10" s="111"/>
      <c r="AO10" s="111"/>
      <c r="AP10" s="111"/>
      <c r="AQ10" s="111"/>
      <c r="AR10" s="111"/>
      <c r="AS10" s="111"/>
      <c r="AT10" s="111"/>
      <c r="AU10" s="111"/>
      <c r="AV10" s="111"/>
      <c r="AW10" s="111"/>
      <c r="AX10" s="111"/>
      <c r="AY10" s="111"/>
      <c r="AZ10" s="111"/>
      <c r="BA10" s="111"/>
      <c r="BB10" s="111"/>
      <c r="BC10" s="111"/>
      <c r="BD10" s="111"/>
      <c r="BE10" s="111"/>
      <c r="BF10" s="239"/>
      <c r="BG10" s="239"/>
      <c r="BH10" s="239"/>
      <c r="BI10" s="239"/>
    </row>
    <row r="11" spans="1:61" x14ac:dyDescent="0.3">
      <c r="A11" s="515">
        <v>170</v>
      </c>
      <c r="B11" s="516" t="s">
        <v>148</v>
      </c>
      <c r="C11" s="103" t="s">
        <v>112</v>
      </c>
      <c r="D11" s="517" t="str">
        <f t="shared" si="9"/>
        <v>X</v>
      </c>
      <c r="E11" s="517" t="str">
        <f t="shared" si="9"/>
        <v>✓</v>
      </c>
      <c r="F11" s="518"/>
      <c r="G11" s="520">
        <v>13.24</v>
      </c>
      <c r="H11" s="863">
        <v>12.29</v>
      </c>
      <c r="I11" s="520"/>
      <c r="J11" s="520"/>
      <c r="K11" s="520"/>
      <c r="L11" s="520"/>
      <c r="M11" s="617"/>
      <c r="N11" s="239"/>
      <c r="O11" s="110"/>
      <c r="P11" s="111"/>
      <c r="Q11" s="522"/>
      <c r="R11" s="523"/>
      <c r="S11" s="839"/>
      <c r="T11" s="839" t="e">
        <f t="shared" si="10"/>
        <v>#DIV/0!</v>
      </c>
      <c r="U11" s="839" t="e">
        <f>Passby_Length_Adj!J15/ITE_LUC_Rates!P11</f>
        <v>#DIV/0!</v>
      </c>
      <c r="V11" s="839" t="e">
        <f>8.21*Passby_Length_Adj!H15/ITE_LUC_Rates!O11</f>
        <v>#DIV/0!</v>
      </c>
      <c r="W11" s="839" t="e">
        <f t="shared" si="11"/>
        <v>#DIV/0!</v>
      </c>
      <c r="X11" s="811" t="e">
        <f t="shared" si="2"/>
        <v>#DIV/0!</v>
      </c>
      <c r="Y11" s="814">
        <f>FEE_3_Out!S20</f>
        <v>13698.934443913731</v>
      </c>
      <c r="Z11" s="814">
        <f>FEE_3_Out!H20</f>
        <v>14017.488988026018</v>
      </c>
      <c r="AA11" s="807">
        <f t="shared" si="3"/>
        <v>0</v>
      </c>
      <c r="AB11" s="807">
        <f>FEE_3_Out!Q20*2</f>
        <v>104.68768403594204</v>
      </c>
      <c r="AC11" s="826">
        <f t="shared" si="4"/>
        <v>0</v>
      </c>
      <c r="AD11" s="808">
        <f t="shared" si="5"/>
        <v>0</v>
      </c>
      <c r="AE11" s="808">
        <f t="shared" si="6"/>
        <v>0</v>
      </c>
      <c r="AF11" s="811">
        <f t="shared" si="7"/>
        <v>0</v>
      </c>
      <c r="AG11" s="811">
        <f t="shared" si="8"/>
        <v>0</v>
      </c>
      <c r="AH11" s="811"/>
      <c r="AI11" s="811"/>
      <c r="AJ11" s="111">
        <v>9</v>
      </c>
      <c r="AK11" s="111"/>
      <c r="AL11" s="874"/>
      <c r="AM11" s="871">
        <f t="shared" si="12"/>
        <v>7.1752265861027273E-2</v>
      </c>
      <c r="AN11" s="111"/>
      <c r="AO11" s="111"/>
      <c r="AP11" s="111"/>
      <c r="AQ11" s="111"/>
      <c r="AR11" s="111"/>
      <c r="AS11" s="111"/>
      <c r="AT11" s="111"/>
      <c r="AU11" s="111"/>
      <c r="AV11" s="111"/>
      <c r="AW11" s="111"/>
      <c r="AX11" s="111"/>
      <c r="AY11" s="111"/>
      <c r="AZ11" s="111"/>
      <c r="BA11" s="111"/>
      <c r="BB11" s="111"/>
      <c r="BC11" s="111"/>
      <c r="BD11" s="111"/>
      <c r="BE11" s="111"/>
      <c r="BF11" s="239"/>
      <c r="BG11" s="239"/>
      <c r="BH11" s="239"/>
      <c r="BI11" s="239"/>
    </row>
    <row r="12" spans="1:61" s="136" customFormat="1" x14ac:dyDescent="0.3">
      <c r="A12" s="505" t="s">
        <v>438</v>
      </c>
      <c r="B12" s="506"/>
      <c r="C12" s="507"/>
      <c r="D12" s="508"/>
      <c r="E12" s="508"/>
      <c r="F12" s="534"/>
      <c r="G12" s="535"/>
      <c r="H12" s="863"/>
      <c r="I12" s="535"/>
      <c r="J12" s="535"/>
      <c r="K12" s="535"/>
      <c r="L12" s="535"/>
      <c r="M12" s="615"/>
      <c r="N12" s="616"/>
      <c r="O12" s="511"/>
      <c r="P12" s="512"/>
      <c r="Q12" s="536"/>
      <c r="R12" s="514"/>
      <c r="S12" s="838"/>
      <c r="T12" s="838"/>
      <c r="U12" s="838"/>
      <c r="V12" s="838"/>
      <c r="W12" s="838"/>
      <c r="X12" s="111"/>
      <c r="Y12" s="814">
        <f>FEE_3_Out!S21</f>
        <v>0</v>
      </c>
      <c r="Z12" s="814">
        <f>FEE_3_Out!H21</f>
        <v>0</v>
      </c>
      <c r="AA12" s="807">
        <f t="shared" si="3"/>
        <v>0</v>
      </c>
      <c r="AB12" s="807">
        <f>FEE_3_Out!Q21*2</f>
        <v>0</v>
      </c>
      <c r="AC12" s="826">
        <f t="shared" si="4"/>
        <v>0</v>
      </c>
      <c r="AD12" s="808">
        <f t="shared" si="5"/>
        <v>0</v>
      </c>
      <c r="AE12" s="808">
        <f t="shared" si="6"/>
        <v>0</v>
      </c>
      <c r="AF12" s="811">
        <f t="shared" si="7"/>
        <v>0</v>
      </c>
      <c r="AG12" s="811">
        <f t="shared" si="8"/>
        <v>0</v>
      </c>
      <c r="AH12" s="811"/>
      <c r="AI12" s="811"/>
      <c r="AJ12" s="111">
        <v>10</v>
      </c>
      <c r="AK12" s="111"/>
      <c r="AL12" s="874"/>
      <c r="AM12" s="871"/>
      <c r="AN12" s="111"/>
      <c r="AO12" s="111"/>
      <c r="AP12" s="111"/>
      <c r="AQ12" s="111"/>
      <c r="AR12" s="111"/>
      <c r="AS12" s="111"/>
      <c r="AT12" s="111"/>
      <c r="AU12" s="111"/>
      <c r="AV12" s="111"/>
      <c r="AW12" s="111"/>
      <c r="AX12" s="111"/>
      <c r="AY12" s="111"/>
      <c r="AZ12" s="111"/>
      <c r="BA12" s="111"/>
      <c r="BB12" s="111"/>
      <c r="BC12" s="111"/>
      <c r="BD12" s="111"/>
      <c r="BE12" s="111"/>
      <c r="BF12" s="239"/>
      <c r="BG12" s="239"/>
      <c r="BH12" s="239"/>
      <c r="BI12" s="239"/>
    </row>
    <row r="13" spans="1:61" x14ac:dyDescent="0.3">
      <c r="A13" s="515">
        <v>210</v>
      </c>
      <c r="B13" s="516" t="s">
        <v>150</v>
      </c>
      <c r="C13" s="103" t="s">
        <v>151</v>
      </c>
      <c r="D13" s="517" t="str">
        <f t="shared" ref="D13:D26" si="13">IF(F13,"✓","X")</f>
        <v>✓</v>
      </c>
      <c r="E13" s="517" t="str">
        <f t="shared" ref="E13:E26" si="14">IF(G13,"✓","X")</f>
        <v>✓</v>
      </c>
      <c r="F13" s="518">
        <v>9.57</v>
      </c>
      <c r="G13" s="520">
        <v>9.44</v>
      </c>
      <c r="H13" s="863">
        <v>9.43</v>
      </c>
      <c r="I13" s="520"/>
      <c r="J13" s="520"/>
      <c r="K13" s="520"/>
      <c r="L13" s="520"/>
      <c r="M13" s="617">
        <f>((F13*0.97*(P13/2)*O13)/8500)*(1951500-278800)*1.02*1.682</f>
        <v>9543.2491747371241</v>
      </c>
      <c r="N13" s="239"/>
      <c r="O13" s="110">
        <v>6.09</v>
      </c>
      <c r="P13" s="521">
        <v>1</v>
      </c>
      <c r="Q13" s="522">
        <v>9543.67</v>
      </c>
      <c r="R13" s="523">
        <f t="shared" si="1"/>
        <v>1.0000440966441482</v>
      </c>
      <c r="S13" s="839"/>
      <c r="T13" s="839">
        <f t="shared" ref="T13:T26" si="15">G13/F13</f>
        <v>0.98641588296760707</v>
      </c>
      <c r="U13" s="839">
        <f>Passby_Length_Adj!J17/ITE_LUC_Rates!P13</f>
        <v>1</v>
      </c>
      <c r="V13" s="839">
        <f>8.21*Passby_Length_Adj!H17/ITE_LUC_Rates!O13</f>
        <v>1.3481116584564863</v>
      </c>
      <c r="W13" s="839">
        <f t="shared" ref="W13:W26" si="16">V13*U13*T13</f>
        <v>1.3297987519152801</v>
      </c>
      <c r="X13" s="111"/>
      <c r="Y13" s="814">
        <f>FEE_3_Out!S22</f>
        <v>9765.153041384101</v>
      </c>
      <c r="Z13" s="814">
        <f>FEE_3_Out!H22</f>
        <v>9991.7903820213087</v>
      </c>
      <c r="AA13" s="807">
        <f t="shared" si="3"/>
        <v>57.115673999999999</v>
      </c>
      <c r="AB13" s="807">
        <f>FEE_3_Out!Q22*2</f>
        <v>74.625603936168091</v>
      </c>
      <c r="AC13" s="826">
        <f t="shared" si="4"/>
        <v>0.30656961057954235</v>
      </c>
      <c r="AD13" s="808">
        <f t="shared" si="5"/>
        <v>-1.3584117032392928E-2</v>
      </c>
      <c r="AE13" s="808">
        <f t="shared" si="6"/>
        <v>0.32015372761193528</v>
      </c>
      <c r="AF13" s="811">
        <f t="shared" si="7"/>
        <v>2.3207323952326719E-2</v>
      </c>
      <c r="AG13" s="811">
        <f t="shared" si="8"/>
        <v>4.6954723080461669E-2</v>
      </c>
      <c r="AH13" s="811"/>
      <c r="AI13" s="811"/>
      <c r="AJ13" s="111">
        <v>11</v>
      </c>
      <c r="AK13" s="111"/>
      <c r="AL13" s="874"/>
      <c r="AM13" s="871">
        <f t="shared" si="12"/>
        <v>1.0593220338982825E-3</v>
      </c>
      <c r="AN13" s="111"/>
      <c r="AO13" s="111"/>
      <c r="AP13" s="111"/>
      <c r="AQ13" s="111"/>
      <c r="AR13" s="111"/>
      <c r="AS13" s="111"/>
      <c r="AT13" s="111"/>
      <c r="AU13" s="111"/>
      <c r="AV13" s="111"/>
      <c r="AW13" s="111"/>
      <c r="AX13" s="111"/>
      <c r="AY13" s="111"/>
      <c r="AZ13" s="111"/>
      <c r="BA13" s="111"/>
      <c r="BB13" s="111"/>
      <c r="BC13" s="111"/>
      <c r="BD13" s="111"/>
      <c r="BE13" s="111"/>
      <c r="BF13" s="239"/>
      <c r="BG13" s="239"/>
      <c r="BH13" s="239"/>
      <c r="BI13" s="239"/>
    </row>
    <row r="14" spans="1:61" x14ac:dyDescent="0.3">
      <c r="A14" s="515">
        <v>220</v>
      </c>
      <c r="B14" s="516" t="s">
        <v>153</v>
      </c>
      <c r="C14" s="103" t="s">
        <v>151</v>
      </c>
      <c r="D14" s="517" t="str">
        <f t="shared" si="13"/>
        <v>✓</v>
      </c>
      <c r="E14" s="517" t="str">
        <f t="shared" si="14"/>
        <v>✓</v>
      </c>
      <c r="F14" s="518">
        <v>6.72</v>
      </c>
      <c r="G14" s="520">
        <v>7.32</v>
      </c>
      <c r="H14" s="863">
        <v>6.74</v>
      </c>
      <c r="I14" s="520"/>
      <c r="J14" s="520"/>
      <c r="K14" s="520"/>
      <c r="L14" s="520"/>
      <c r="M14" s="617">
        <f>((F14*0.97*(P14/2)*O14)/8500)*(1951500-278800)*1.02*1.682</f>
        <v>6701.2157214455046</v>
      </c>
      <c r="N14" s="239"/>
      <c r="O14" s="110">
        <v>6.09</v>
      </c>
      <c r="P14" s="521">
        <v>1</v>
      </c>
      <c r="Q14" s="522">
        <v>6701.09</v>
      </c>
      <c r="R14" s="523">
        <f t="shared" si="1"/>
        <v>0.99998123900934843</v>
      </c>
      <c r="S14" s="839"/>
      <c r="T14" s="839">
        <f t="shared" si="15"/>
        <v>1.0892857142857144</v>
      </c>
      <c r="U14" s="839">
        <f>Passby_Length_Adj!J18/ITE_LUC_Rates!P14</f>
        <v>1</v>
      </c>
      <c r="V14" s="839">
        <f>8.21*Passby_Length_Adj!H18/ITE_LUC_Rates!O14</f>
        <v>1.3481116584564863</v>
      </c>
      <c r="W14" s="839">
        <f t="shared" si="16"/>
        <v>1.4684787708186728</v>
      </c>
      <c r="X14" s="111"/>
      <c r="Y14" s="814">
        <f>FEE_3_Out!S23</f>
        <v>7572.1313837851303</v>
      </c>
      <c r="Z14" s="814">
        <f>FEE_3_Out!H23</f>
        <v>7747.8713555504237</v>
      </c>
      <c r="AA14" s="807">
        <f t="shared" si="3"/>
        <v>40.106303999999994</v>
      </c>
      <c r="AB14" s="807">
        <f>FEE_3_Out!Q23*2</f>
        <v>57.866464069147298</v>
      </c>
      <c r="AC14" s="826">
        <f t="shared" si="4"/>
        <v>0.4428271443099645</v>
      </c>
      <c r="AD14" s="808">
        <f t="shared" si="5"/>
        <v>8.9285714285714413E-2</v>
      </c>
      <c r="AE14" s="808">
        <f t="shared" si="6"/>
        <v>0.35354143002425009</v>
      </c>
      <c r="AF14" s="811">
        <f t="shared" si="7"/>
        <v>0.12998502986605609</v>
      </c>
      <c r="AG14" s="811">
        <f t="shared" si="8"/>
        <v>0.15621060984861024</v>
      </c>
      <c r="AH14" s="811"/>
      <c r="AI14" s="811"/>
      <c r="AJ14" s="111">
        <v>12</v>
      </c>
      <c r="AK14" s="111"/>
      <c r="AL14" s="875" t="s">
        <v>439</v>
      </c>
      <c r="AM14" s="871">
        <f t="shared" si="12"/>
        <v>7.9234972677595633E-2</v>
      </c>
      <c r="AN14" s="111"/>
      <c r="AO14" s="111"/>
      <c r="AP14" s="111"/>
      <c r="AQ14" s="111"/>
      <c r="AR14" s="111"/>
      <c r="AS14" s="111"/>
      <c r="AT14" s="111"/>
      <c r="AU14" s="111"/>
      <c r="AV14" s="111"/>
      <c r="AW14" s="111"/>
      <c r="AX14" s="111"/>
      <c r="AY14" s="111"/>
      <c r="AZ14" s="111"/>
      <c r="BA14" s="111"/>
      <c r="BB14" s="111"/>
      <c r="BC14" s="111"/>
      <c r="BD14" s="111"/>
      <c r="BE14" s="111"/>
      <c r="BF14" s="239"/>
      <c r="BG14" s="239"/>
      <c r="BH14" s="239"/>
      <c r="BI14" s="239"/>
    </row>
    <row r="15" spans="1:61" x14ac:dyDescent="0.3">
      <c r="A15" s="515">
        <v>221</v>
      </c>
      <c r="B15" s="516" t="s">
        <v>155</v>
      </c>
      <c r="C15" s="103" t="s">
        <v>151</v>
      </c>
      <c r="D15" s="517" t="str">
        <f t="shared" si="13"/>
        <v>X</v>
      </c>
      <c r="E15" s="517" t="str">
        <f t="shared" si="14"/>
        <v>✓</v>
      </c>
      <c r="F15" s="518"/>
      <c r="G15" s="520">
        <v>5.44</v>
      </c>
      <c r="H15" s="863">
        <v>4.54</v>
      </c>
      <c r="I15" s="520">
        <v>2.59</v>
      </c>
      <c r="J15" s="520"/>
      <c r="K15" s="520"/>
      <c r="L15" s="520"/>
      <c r="M15" s="617"/>
      <c r="N15" s="239"/>
      <c r="O15" s="110"/>
      <c r="P15" s="521"/>
      <c r="Q15" s="522"/>
      <c r="R15" s="523"/>
      <c r="S15" s="839"/>
      <c r="T15" s="839" t="e">
        <f t="shared" si="15"/>
        <v>#DIV/0!</v>
      </c>
      <c r="U15" s="839" t="e">
        <f>Passby_Length_Adj!J19/ITE_LUC_Rates!P15</f>
        <v>#DIV/0!</v>
      </c>
      <c r="V15" s="839" t="e">
        <f>8.21*Passby_Length_Adj!H19/ITE_LUC_Rates!O15</f>
        <v>#DIV/0!</v>
      </c>
      <c r="W15" s="839" t="e">
        <f t="shared" si="16"/>
        <v>#DIV/0!</v>
      </c>
      <c r="X15" s="111"/>
      <c r="Y15" s="814">
        <f>FEE_3_Out!S24</f>
        <v>5627.376328933211</v>
      </c>
      <c r="Z15" s="814">
        <f>FEE_3_Out!H24</f>
        <v>5757.9808981139749</v>
      </c>
      <c r="AA15" s="807">
        <f t="shared" si="3"/>
        <v>0</v>
      </c>
      <c r="AB15" s="807">
        <f>FEE_3_Out!Q24*2</f>
        <v>43.004585319147715</v>
      </c>
      <c r="AC15" s="826">
        <f t="shared" si="4"/>
        <v>0</v>
      </c>
      <c r="AD15" s="808">
        <f t="shared" si="5"/>
        <v>0</v>
      </c>
      <c r="AE15" s="808">
        <f t="shared" si="6"/>
        <v>0</v>
      </c>
      <c r="AF15" s="811">
        <f t="shared" si="7"/>
        <v>0</v>
      </c>
      <c r="AG15" s="811">
        <f t="shared" si="8"/>
        <v>0</v>
      </c>
      <c r="AH15" s="811"/>
      <c r="AI15" s="811"/>
      <c r="AJ15" s="111">
        <v>13</v>
      </c>
      <c r="AK15" s="111"/>
      <c r="AL15" s="875" t="s">
        <v>440</v>
      </c>
      <c r="AM15" s="871">
        <f t="shared" si="12"/>
        <v>0.16544117647058829</v>
      </c>
      <c r="AN15" s="111"/>
      <c r="AO15" s="111"/>
      <c r="AP15" s="111"/>
      <c r="AQ15" s="111"/>
      <c r="AR15" s="111"/>
      <c r="AS15" s="111"/>
      <c r="AT15" s="111"/>
      <c r="AU15" s="111"/>
      <c r="AV15" s="111"/>
      <c r="AW15" s="111"/>
      <c r="AX15" s="111"/>
      <c r="AY15" s="111"/>
      <c r="AZ15" s="111"/>
      <c r="BA15" s="111"/>
      <c r="BB15" s="111"/>
      <c r="BC15" s="111"/>
      <c r="BD15" s="111"/>
      <c r="BE15" s="111"/>
      <c r="BF15" s="239"/>
      <c r="BG15" s="239"/>
      <c r="BH15" s="239"/>
      <c r="BI15" s="239"/>
    </row>
    <row r="16" spans="1:61" x14ac:dyDescent="0.3">
      <c r="A16" s="515">
        <v>222</v>
      </c>
      <c r="B16" s="516" t="s">
        <v>157</v>
      </c>
      <c r="C16" s="103" t="s">
        <v>151</v>
      </c>
      <c r="D16" s="517" t="str">
        <f t="shared" si="13"/>
        <v>✓</v>
      </c>
      <c r="E16" s="517" t="str">
        <f t="shared" si="14"/>
        <v>✓</v>
      </c>
      <c r="F16" s="518">
        <v>4.2</v>
      </c>
      <c r="G16" s="520">
        <v>4.45</v>
      </c>
      <c r="H16" s="863">
        <v>4.54</v>
      </c>
      <c r="I16" s="520">
        <v>2.0699999999999998</v>
      </c>
      <c r="J16" s="520">
        <v>2.16</v>
      </c>
      <c r="K16" s="520">
        <v>7.96</v>
      </c>
      <c r="L16" s="520">
        <v>8.0399999999999991</v>
      </c>
      <c r="M16" s="617">
        <f t="shared" si="0"/>
        <v>4188.2598259034394</v>
      </c>
      <c r="N16" s="239"/>
      <c r="O16" s="110">
        <v>6.09</v>
      </c>
      <c r="P16" s="521">
        <v>1</v>
      </c>
      <c r="Q16" s="522">
        <v>4188.18</v>
      </c>
      <c r="R16" s="523">
        <f t="shared" si="1"/>
        <v>0.99998094055604059</v>
      </c>
      <c r="S16" s="839"/>
      <c r="T16" s="839">
        <f t="shared" si="15"/>
        <v>1.0595238095238095</v>
      </c>
      <c r="U16" s="839">
        <f>Passby_Length_Adj!J20/ITE_LUC_Rates!P16</f>
        <v>1</v>
      </c>
      <c r="V16" s="839">
        <f>8.21*Passby_Length_Adj!H20/ITE_LUC_Rates!O16</f>
        <v>1.3481116584564863</v>
      </c>
      <c r="W16" s="839">
        <f t="shared" si="16"/>
        <v>1.4283564000312772</v>
      </c>
      <c r="X16" s="111"/>
      <c r="Y16" s="814">
        <f>FEE_3_Out!S25</f>
        <v>4603.2765926016173</v>
      </c>
      <c r="Z16" s="814">
        <f>FEE_3_Out!H25</f>
        <v>4710.1130508469114</v>
      </c>
      <c r="AA16" s="807">
        <f t="shared" si="3"/>
        <v>25.06644</v>
      </c>
      <c r="AB16" s="807">
        <f>FEE_3_Out!Q25*2</f>
        <v>35.178383211435182</v>
      </c>
      <c r="AC16" s="826">
        <f t="shared" si="4"/>
        <v>0.40340563763482895</v>
      </c>
      <c r="AD16" s="808">
        <f t="shared" si="5"/>
        <v>5.9523809523809534E-2</v>
      </c>
      <c r="AE16" s="808">
        <f t="shared" si="6"/>
        <v>0.34388182811101942</v>
      </c>
      <c r="AF16" s="811">
        <f t="shared" si="7"/>
        <v>9.9111449985821221E-2</v>
      </c>
      <c r="AG16" s="811">
        <f t="shared" si="8"/>
        <v>0.12462049168061329</v>
      </c>
      <c r="AH16" s="811"/>
      <c r="AI16" s="811"/>
      <c r="AJ16" s="111">
        <v>14</v>
      </c>
      <c r="AK16" s="111"/>
      <c r="AL16" s="875" t="s">
        <v>440</v>
      </c>
      <c r="AM16" s="871">
        <f t="shared" si="12"/>
        <v>-2.0224719101123563E-2</v>
      </c>
      <c r="AN16" s="111"/>
      <c r="AO16" s="111"/>
      <c r="AP16" s="111"/>
      <c r="AQ16" s="111"/>
      <c r="AR16" s="111"/>
      <c r="AS16" s="111"/>
      <c r="AT16" s="111"/>
      <c r="AU16" s="111"/>
      <c r="AV16" s="111"/>
      <c r="AW16" s="111"/>
      <c r="AX16" s="111"/>
      <c r="AY16" s="111"/>
      <c r="AZ16" s="111"/>
      <c r="BA16" s="111"/>
      <c r="BB16" s="111"/>
      <c r="BC16" s="111"/>
      <c r="BD16" s="111"/>
      <c r="BE16" s="111"/>
      <c r="BF16" s="239"/>
      <c r="BG16" s="239"/>
      <c r="BH16" s="239"/>
      <c r="BI16" s="239"/>
    </row>
    <row r="17" spans="1:61" x14ac:dyDescent="0.3">
      <c r="A17" s="515">
        <v>230</v>
      </c>
      <c r="B17" s="516" t="s">
        <v>441</v>
      </c>
      <c r="C17" s="103" t="s">
        <v>151</v>
      </c>
      <c r="D17" s="517" t="str">
        <f>IF(F17,"✓","X")</f>
        <v>✓</v>
      </c>
      <c r="E17" s="517" t="str">
        <f>IF(G17,"✓","X")</f>
        <v>✓</v>
      </c>
      <c r="F17" s="518">
        <v>5.86</v>
      </c>
      <c r="G17" s="519">
        <v>5.86</v>
      </c>
      <c r="H17" s="863">
        <v>3.44</v>
      </c>
      <c r="I17" s="520"/>
      <c r="J17" s="520"/>
      <c r="K17" s="520"/>
      <c r="L17" s="520"/>
      <c r="M17" s="617">
        <f t="shared" si="0"/>
        <v>5843.6196618557515</v>
      </c>
      <c r="N17" s="239"/>
      <c r="O17" s="110">
        <v>6.09</v>
      </c>
      <c r="P17" s="521">
        <v>1</v>
      </c>
      <c r="Q17" s="522">
        <v>5843.27</v>
      </c>
      <c r="R17" s="523">
        <f t="shared" si="1"/>
        <v>0.99994016348154324</v>
      </c>
      <c r="S17" s="839"/>
      <c r="T17" s="839">
        <f t="shared" si="15"/>
        <v>1</v>
      </c>
      <c r="U17" s="839">
        <f>Passby_Length_Adj!J21/ITE_LUC_Rates!P17</f>
        <v>1</v>
      </c>
      <c r="V17" s="839">
        <f>8.21*Passby_Length_Adj!H21/ITE_LUC_Rates!O17</f>
        <v>1.3481116584564863</v>
      </c>
      <c r="W17" s="839">
        <f t="shared" si="16"/>
        <v>1.3481116584564863</v>
      </c>
      <c r="X17" s="111"/>
      <c r="Y17" s="814">
        <f>FEE_3_Out!S26</f>
        <v>6061.8428837405554</v>
      </c>
      <c r="Z17" s="814">
        <f>FEE_3_Out!H26</f>
        <v>6202.5308939242459</v>
      </c>
      <c r="AA17" s="807">
        <f t="shared" si="3"/>
        <v>34.973652000000001</v>
      </c>
      <c r="AB17" s="807">
        <f>FEE_3_Out!Q26*2</f>
        <v>46.324792273934861</v>
      </c>
      <c r="AC17" s="826">
        <f t="shared" si="4"/>
        <v>0.3245626242845574</v>
      </c>
      <c r="AD17" s="808">
        <f t="shared" si="5"/>
        <v>0</v>
      </c>
      <c r="AE17" s="808">
        <f t="shared" si="6"/>
        <v>0.3245626242845574</v>
      </c>
      <c r="AF17" s="811">
        <f t="shared" si="7"/>
        <v>3.7405918901668889E-2</v>
      </c>
      <c r="AG17" s="811">
        <f t="shared" si="8"/>
        <v>6.1482850171949099E-2</v>
      </c>
      <c r="AH17" s="811"/>
      <c r="AI17" s="811"/>
      <c r="AJ17" s="111">
        <v>15</v>
      </c>
      <c r="AK17" s="111"/>
      <c r="AL17" s="874"/>
      <c r="AM17" s="871">
        <f t="shared" si="12"/>
        <v>0.41296928327645055</v>
      </c>
      <c r="AN17" s="111"/>
      <c r="AO17" s="111"/>
      <c r="AP17" s="111"/>
      <c r="AQ17" s="111"/>
      <c r="AR17" s="111"/>
      <c r="AS17" s="111"/>
      <c r="AT17" s="111"/>
      <c r="AU17" s="111"/>
      <c r="AV17" s="111"/>
      <c r="AW17" s="111"/>
      <c r="AX17" s="111"/>
      <c r="AY17" s="111"/>
      <c r="AZ17" s="111"/>
      <c r="BA17" s="111"/>
      <c r="BB17" s="111"/>
      <c r="BC17" s="111"/>
      <c r="BD17" s="111"/>
      <c r="BE17" s="111"/>
      <c r="BF17" s="239"/>
      <c r="BG17" s="239"/>
      <c r="BH17" s="239"/>
      <c r="BI17" s="239"/>
    </row>
    <row r="18" spans="1:61" x14ac:dyDescent="0.3">
      <c r="A18" s="515">
        <v>231</v>
      </c>
      <c r="B18" s="516" t="s">
        <v>442</v>
      </c>
      <c r="C18" s="103" t="s">
        <v>151</v>
      </c>
      <c r="D18" s="517" t="str">
        <f t="shared" si="13"/>
        <v>X</v>
      </c>
      <c r="E18" s="517" t="str">
        <f t="shared" si="14"/>
        <v>✓</v>
      </c>
      <c r="F18" s="518"/>
      <c r="G18" s="520">
        <v>3.44</v>
      </c>
      <c r="H18" s="863"/>
      <c r="I18" s="520"/>
      <c r="J18" s="520"/>
      <c r="K18" s="520"/>
      <c r="L18" s="520"/>
      <c r="M18" s="617"/>
      <c r="N18" s="239"/>
      <c r="O18" s="110"/>
      <c r="P18" s="521"/>
      <c r="Q18" s="522"/>
      <c r="R18" s="523"/>
      <c r="S18" s="839"/>
      <c r="T18" s="839" t="e">
        <f t="shared" si="15"/>
        <v>#DIV/0!</v>
      </c>
      <c r="U18" s="839" t="e">
        <f>Passby_Length_Adj!J22/ITE_LUC_Rates!P18</f>
        <v>#DIV/0!</v>
      </c>
      <c r="V18" s="839" t="e">
        <f>8.21*Passby_Length_Adj!H22/ITE_LUC_Rates!O18</f>
        <v>#DIV/0!</v>
      </c>
      <c r="W18" s="839" t="e">
        <f t="shared" si="16"/>
        <v>#DIV/0!</v>
      </c>
      <c r="X18" s="111"/>
      <c r="Y18" s="814">
        <f>FEE_3_Out!S27</f>
        <v>3558.4879727077664</v>
      </c>
      <c r="Z18" s="814">
        <f>FEE_3_Out!H27</f>
        <v>3641.076156160309</v>
      </c>
      <c r="AA18" s="807">
        <f t="shared" si="3"/>
        <v>0</v>
      </c>
      <c r="AB18" s="807">
        <f>FEE_3_Out!Q27*2</f>
        <v>27.194076010637531</v>
      </c>
      <c r="AC18" s="826">
        <f t="shared" si="4"/>
        <v>0</v>
      </c>
      <c r="AD18" s="808">
        <f t="shared" si="5"/>
        <v>0</v>
      </c>
      <c r="AE18" s="808">
        <f t="shared" si="6"/>
        <v>0</v>
      </c>
      <c r="AF18" s="811">
        <f t="shared" si="7"/>
        <v>0</v>
      </c>
      <c r="AG18" s="811">
        <f t="shared" si="8"/>
        <v>0</v>
      </c>
      <c r="AH18" s="811"/>
      <c r="AI18" s="811"/>
      <c r="AJ18" s="111">
        <v>16</v>
      </c>
      <c r="AK18" s="111"/>
      <c r="AL18" s="875" t="s">
        <v>443</v>
      </c>
      <c r="AM18" s="871"/>
      <c r="AN18" s="111"/>
      <c r="AO18" s="111"/>
      <c r="AP18" s="111"/>
      <c r="AQ18" s="111"/>
      <c r="AR18" s="111"/>
      <c r="AS18" s="111"/>
      <c r="AT18" s="111"/>
      <c r="AU18" s="111"/>
      <c r="AV18" s="111"/>
      <c r="AW18" s="111"/>
      <c r="AX18" s="111"/>
      <c r="AY18" s="111"/>
      <c r="AZ18" s="111"/>
      <c r="BA18" s="111"/>
      <c r="BB18" s="111"/>
      <c r="BC18" s="111"/>
      <c r="BD18" s="111"/>
      <c r="BE18" s="111"/>
      <c r="BF18" s="239"/>
      <c r="BG18" s="239"/>
      <c r="BH18" s="239"/>
      <c r="BI18" s="239"/>
    </row>
    <row r="19" spans="1:61" x14ac:dyDescent="0.3">
      <c r="A19" s="515">
        <v>240</v>
      </c>
      <c r="B19" s="516" t="s">
        <v>444</v>
      </c>
      <c r="C19" s="103" t="s">
        <v>151</v>
      </c>
      <c r="D19" s="517" t="str">
        <f t="shared" si="13"/>
        <v>✓</v>
      </c>
      <c r="E19" s="517" t="str">
        <f t="shared" si="14"/>
        <v>✓</v>
      </c>
      <c r="F19" s="518">
        <v>4.99</v>
      </c>
      <c r="G19" s="520">
        <v>5</v>
      </c>
      <c r="H19" s="863">
        <v>7.12</v>
      </c>
      <c r="I19" s="520"/>
      <c r="J19" s="520"/>
      <c r="K19" s="520"/>
      <c r="L19" s="520"/>
      <c r="M19" s="617">
        <f t="shared" si="0"/>
        <v>4976.0515550614673</v>
      </c>
      <c r="N19" s="239"/>
      <c r="O19" s="110">
        <v>6.09</v>
      </c>
      <c r="P19" s="521">
        <v>1</v>
      </c>
      <c r="Q19" s="522">
        <v>4975.3599999999997</v>
      </c>
      <c r="R19" s="523">
        <f t="shared" si="1"/>
        <v>0.99986102333269355</v>
      </c>
      <c r="S19" s="839"/>
      <c r="T19" s="839">
        <f t="shared" si="15"/>
        <v>1.002004008016032</v>
      </c>
      <c r="U19" s="839">
        <f>Passby_Length_Adj!J23/ITE_LUC_Rates!P19</f>
        <v>1</v>
      </c>
      <c r="V19" s="839">
        <f>8.21*Passby_Length_Adj!H23/ITE_LUC_Rates!O19</f>
        <v>1.3481116584564863</v>
      </c>
      <c r="W19" s="839">
        <f t="shared" si="16"/>
        <v>1.3508132850265393</v>
      </c>
      <c r="X19" s="111"/>
      <c r="Y19" s="814">
        <f>FEE_3_Out!S28</f>
        <v>5172.2208905636144</v>
      </c>
      <c r="Z19" s="814">
        <f>FEE_3_Out!H28</f>
        <v>5292.2618548841701</v>
      </c>
      <c r="AA19" s="807">
        <f t="shared" si="3"/>
        <v>29.781317999999999</v>
      </c>
      <c r="AB19" s="807">
        <f>FEE_3_Out!Q28*2</f>
        <v>39.526273271275485</v>
      </c>
      <c r="AC19" s="826">
        <f t="shared" si="4"/>
        <v>0.32721705840136051</v>
      </c>
      <c r="AD19" s="808">
        <f t="shared" si="5"/>
        <v>2.0040080160319551E-3</v>
      </c>
      <c r="AE19" s="808">
        <f t="shared" si="6"/>
        <v>0.32521305038532855</v>
      </c>
      <c r="AF19" s="811">
        <f t="shared" si="7"/>
        <v>3.9567165102347257E-2</v>
      </c>
      <c r="AG19" s="811">
        <f t="shared" si="8"/>
        <v>6.3694256271741301E-2</v>
      </c>
      <c r="AH19" s="811"/>
      <c r="AI19" s="811"/>
      <c r="AJ19" s="111">
        <v>17</v>
      </c>
      <c r="AK19" s="111"/>
      <c r="AL19" s="874"/>
      <c r="AM19" s="871">
        <f t="shared" si="12"/>
        <v>-0.42400000000000004</v>
      </c>
      <c r="AN19" s="111"/>
      <c r="AO19" s="111"/>
      <c r="AP19" s="111"/>
      <c r="AQ19" s="111"/>
      <c r="AR19" s="111"/>
      <c r="AS19" s="111"/>
      <c r="AT19" s="111"/>
      <c r="AU19" s="111"/>
      <c r="AV19" s="111"/>
      <c r="AW19" s="111"/>
      <c r="AX19" s="111"/>
      <c r="AY19" s="111"/>
      <c r="AZ19" s="111"/>
      <c r="BA19" s="111"/>
      <c r="BB19" s="111"/>
      <c r="BC19" s="111"/>
      <c r="BD19" s="111"/>
      <c r="BE19" s="111"/>
      <c r="BF19" s="239"/>
      <c r="BG19" s="239"/>
      <c r="BH19" s="239"/>
      <c r="BI19" s="239"/>
    </row>
    <row r="20" spans="1:61" x14ac:dyDescent="0.3">
      <c r="A20" s="515">
        <v>251</v>
      </c>
      <c r="B20" s="516" t="s">
        <v>445</v>
      </c>
      <c r="C20" s="103" t="s">
        <v>151</v>
      </c>
      <c r="D20" s="517" t="str">
        <f t="shared" si="13"/>
        <v>✓</v>
      </c>
      <c r="E20" s="517" t="str">
        <f t="shared" si="14"/>
        <v>✓</v>
      </c>
      <c r="F20" s="518">
        <v>3.68</v>
      </c>
      <c r="G20" s="520">
        <v>4.2699999999999996</v>
      </c>
      <c r="H20" s="863">
        <v>4.3099999999999996</v>
      </c>
      <c r="I20" s="520"/>
      <c r="J20" s="520"/>
      <c r="K20" s="520"/>
      <c r="L20" s="520"/>
      <c r="M20" s="617">
        <f t="shared" si="0"/>
        <v>3669.7133712677764</v>
      </c>
      <c r="N20" s="239"/>
      <c r="O20" s="110">
        <v>6.09</v>
      </c>
      <c r="P20" s="521">
        <v>1</v>
      </c>
      <c r="Q20" s="522">
        <v>3670.12</v>
      </c>
      <c r="R20" s="523">
        <f t="shared" si="1"/>
        <v>1.000110806673733</v>
      </c>
      <c r="S20" s="839"/>
      <c r="T20" s="839">
        <f t="shared" si="15"/>
        <v>1.1603260869565215</v>
      </c>
      <c r="U20" s="839">
        <f>Passby_Length_Adj!J24/ITE_LUC_Rates!P20</f>
        <v>1</v>
      </c>
      <c r="V20" s="839">
        <f>8.21*Passby_Length_Adj!H24/ITE_LUC_Rates!O20</f>
        <v>1.3481116584564863</v>
      </c>
      <c r="W20" s="839">
        <f t="shared" si="16"/>
        <v>1.5642491254372812</v>
      </c>
      <c r="X20" s="111"/>
      <c r="Y20" s="814">
        <f>FEE_3_Out!S29</f>
        <v>4417.0766405413251</v>
      </c>
      <c r="Z20" s="814">
        <f>FEE_3_Out!H29</f>
        <v>4519.5916240710794</v>
      </c>
      <c r="AA20" s="807">
        <f t="shared" si="3"/>
        <v>21.962976000000001</v>
      </c>
      <c r="AB20" s="807">
        <f>FEE_3_Out!Q29*2</f>
        <v>33.755437373669253</v>
      </c>
      <c r="AC20" s="826">
        <f t="shared" si="4"/>
        <v>0.53692456676496159</v>
      </c>
      <c r="AD20" s="808">
        <f t="shared" si="5"/>
        <v>0.16032608695652151</v>
      </c>
      <c r="AE20" s="808">
        <f t="shared" si="6"/>
        <v>0.37659847980844008</v>
      </c>
      <c r="AF20" s="811">
        <f t="shared" si="7"/>
        <v>0.20352376503801661</v>
      </c>
      <c r="AG20" s="811">
        <f t="shared" si="8"/>
        <v>0.23145608973850429</v>
      </c>
      <c r="AH20" s="811"/>
      <c r="AI20" s="811"/>
      <c r="AJ20" s="111">
        <v>18</v>
      </c>
      <c r="AK20" s="111"/>
      <c r="AL20" s="874"/>
      <c r="AM20" s="871">
        <f t="shared" si="12"/>
        <v>-9.3676814988290485E-3</v>
      </c>
      <c r="AN20" s="111"/>
      <c r="AO20" s="111"/>
      <c r="AP20" s="111"/>
      <c r="AQ20" s="111"/>
      <c r="AR20" s="111"/>
      <c r="AS20" s="111"/>
      <c r="AT20" s="111"/>
      <c r="AU20" s="111"/>
      <c r="AV20" s="111"/>
      <c r="AW20" s="111"/>
      <c r="AX20" s="111"/>
      <c r="AY20" s="111"/>
      <c r="AZ20" s="111"/>
      <c r="BA20" s="111"/>
      <c r="BB20" s="111"/>
      <c r="BC20" s="111"/>
      <c r="BD20" s="111"/>
      <c r="BE20" s="111"/>
      <c r="BF20" s="239"/>
      <c r="BG20" s="239"/>
      <c r="BH20" s="239"/>
      <c r="BI20" s="239"/>
    </row>
    <row r="21" spans="1:61" x14ac:dyDescent="0.3">
      <c r="A21" s="515">
        <v>252</v>
      </c>
      <c r="B21" s="516" t="s">
        <v>446</v>
      </c>
      <c r="C21" s="103" t="s">
        <v>151</v>
      </c>
      <c r="D21" s="517" t="str">
        <f t="shared" si="13"/>
        <v>✓</v>
      </c>
      <c r="E21" s="517" t="str">
        <f t="shared" si="14"/>
        <v>✓</v>
      </c>
      <c r="F21" s="518">
        <v>3.44</v>
      </c>
      <c r="G21" s="520">
        <v>3.7</v>
      </c>
      <c r="H21" s="863">
        <v>3.24</v>
      </c>
      <c r="I21" s="520"/>
      <c r="J21" s="520"/>
      <c r="K21" s="520"/>
      <c r="L21" s="520"/>
      <c r="M21" s="617">
        <f t="shared" si="0"/>
        <v>3430.3842383590077</v>
      </c>
      <c r="N21" s="239"/>
      <c r="O21" s="110">
        <v>6.09</v>
      </c>
      <c r="P21" s="521">
        <v>1</v>
      </c>
      <c r="Q21" s="522">
        <v>3429.6</v>
      </c>
      <c r="R21" s="523">
        <f t="shared" si="1"/>
        <v>0.99977138468914406</v>
      </c>
      <c r="S21" s="839"/>
      <c r="T21" s="839">
        <f t="shared" si="15"/>
        <v>1.0755813953488373</v>
      </c>
      <c r="U21" s="839">
        <f>Passby_Length_Adj!J25/ITE_LUC_Rates!P21</f>
        <v>1</v>
      </c>
      <c r="V21" s="839">
        <f>8.21*Passby_Length_Adj!H25/ITE_LUC_Rates!O21</f>
        <v>1.3481116584564863</v>
      </c>
      <c r="W21" s="839">
        <f t="shared" si="16"/>
        <v>1.4500038186886628</v>
      </c>
      <c r="X21" s="111"/>
      <c r="Y21" s="814">
        <f>FEE_3_Out!S30</f>
        <v>3827.4434590170745</v>
      </c>
      <c r="Z21" s="814">
        <f>FEE_3_Out!H30</f>
        <v>3916.2737726142859</v>
      </c>
      <c r="AA21" s="807">
        <f t="shared" si="3"/>
        <v>20.530608000000001</v>
      </c>
      <c r="AB21" s="807">
        <f>FEE_3_Out!Q30*2</f>
        <v>29.249442220743855</v>
      </c>
      <c r="AC21" s="826">
        <f t="shared" si="4"/>
        <v>0.4246749156549019</v>
      </c>
      <c r="AD21" s="808">
        <f t="shared" si="5"/>
        <v>7.5581395348837344E-2</v>
      </c>
      <c r="AE21" s="808">
        <f t="shared" si="6"/>
        <v>0.34909352030606455</v>
      </c>
      <c r="AF21" s="811">
        <f t="shared" si="7"/>
        <v>0.11600287468424142</v>
      </c>
      <c r="AG21" s="811">
        <f t="shared" si="8"/>
        <v>0.14190394582875143</v>
      </c>
      <c r="AH21" s="811"/>
      <c r="AI21" s="811"/>
      <c r="AJ21" s="111">
        <v>19</v>
      </c>
      <c r="AK21" s="111"/>
      <c r="AL21" s="874"/>
      <c r="AM21" s="871">
        <f t="shared" si="12"/>
        <v>0.1243243243243243</v>
      </c>
      <c r="AN21" s="111"/>
      <c r="AO21" s="111"/>
      <c r="AP21" s="111"/>
      <c r="AQ21" s="111"/>
      <c r="AR21" s="111"/>
      <c r="AS21" s="111"/>
      <c r="AT21" s="111"/>
      <c r="AU21" s="111"/>
      <c r="AV21" s="111"/>
      <c r="AW21" s="111"/>
      <c r="AX21" s="111"/>
      <c r="AY21" s="111"/>
      <c r="AZ21" s="111"/>
      <c r="BA21" s="111"/>
      <c r="BB21" s="111"/>
      <c r="BC21" s="111"/>
      <c r="BD21" s="111"/>
      <c r="BE21" s="111"/>
      <c r="BF21" s="239"/>
      <c r="BG21" s="239"/>
      <c r="BH21" s="239"/>
      <c r="BI21" s="239"/>
    </row>
    <row r="22" spans="1:61" x14ac:dyDescent="0.3">
      <c r="A22" s="515">
        <v>253</v>
      </c>
      <c r="B22" s="516" t="s">
        <v>169</v>
      </c>
      <c r="C22" s="103" t="s">
        <v>151</v>
      </c>
      <c r="D22" s="517" t="str">
        <f t="shared" si="13"/>
        <v>✓</v>
      </c>
      <c r="E22" s="517" t="str">
        <f t="shared" si="14"/>
        <v>✓</v>
      </c>
      <c r="F22" s="518">
        <v>2.02</v>
      </c>
      <c r="G22" s="520">
        <v>2.02</v>
      </c>
      <c r="H22" s="863">
        <v>2.21</v>
      </c>
      <c r="I22" s="520"/>
      <c r="J22" s="520"/>
      <c r="K22" s="520"/>
      <c r="L22" s="520"/>
      <c r="M22" s="617">
        <f t="shared" si="0"/>
        <v>2050.7375893195203</v>
      </c>
      <c r="N22" s="239"/>
      <c r="O22" s="110">
        <v>6.2</v>
      </c>
      <c r="P22" s="521">
        <v>1</v>
      </c>
      <c r="Q22" s="522">
        <v>2050.3000000000002</v>
      </c>
      <c r="R22" s="523">
        <f t="shared" si="1"/>
        <v>0.99978661856992368</v>
      </c>
      <c r="S22" s="839"/>
      <c r="T22" s="839">
        <f t="shared" si="15"/>
        <v>1</v>
      </c>
      <c r="U22" s="839">
        <f>Passby_Length_Adj!J26/ITE_LUC_Rates!P22</f>
        <v>0.71599999999999997</v>
      </c>
      <c r="V22" s="839">
        <f>8.21*Passby_Length_Adj!H26/ITE_LUC_Rates!O22</f>
        <v>0.61609004970275805</v>
      </c>
      <c r="W22" s="839">
        <f t="shared" si="16"/>
        <v>0.44112047558717477</v>
      </c>
      <c r="X22" s="111"/>
      <c r="Y22" s="814">
        <f>FEE_3_Out!S31</f>
        <v>696.08805065846207</v>
      </c>
      <c r="Z22" s="814">
        <f>FEE_3_Out!H31</f>
        <v>712.2434087959125</v>
      </c>
      <c r="AA22" s="807">
        <f t="shared" si="3"/>
        <v>12.273520000000001</v>
      </c>
      <c r="AB22" s="807">
        <f>FEE_3_Out!Q31*2</f>
        <v>5.3195265812009165</v>
      </c>
      <c r="AC22" s="826">
        <f t="shared" si="4"/>
        <v>-0.56658508877641323</v>
      </c>
      <c r="AD22" s="808">
        <f t="shared" si="5"/>
        <v>0</v>
      </c>
      <c r="AE22" s="808">
        <f t="shared" si="6"/>
        <v>-0.56658508877641323</v>
      </c>
      <c r="AF22" s="811">
        <f t="shared" si="7"/>
        <v>-0.66049453706361905</v>
      </c>
      <c r="AG22" s="811">
        <f t="shared" si="8"/>
        <v>-0.65261502765648327</v>
      </c>
      <c r="AH22" s="811"/>
      <c r="AI22" s="811"/>
      <c r="AJ22" s="111">
        <v>20</v>
      </c>
      <c r="AK22" s="111"/>
      <c r="AL22" s="874"/>
      <c r="AM22" s="871">
        <f t="shared" si="12"/>
        <v>-9.4059405940594032E-2</v>
      </c>
      <c r="AN22" s="111"/>
      <c r="AO22" s="111"/>
      <c r="AP22" s="111"/>
      <c r="AQ22" s="111"/>
      <c r="AR22" s="111"/>
      <c r="AS22" s="111"/>
      <c r="AT22" s="111"/>
      <c r="AU22" s="111"/>
      <c r="AV22" s="111"/>
      <c r="AW22" s="111"/>
      <c r="AX22" s="111"/>
      <c r="AY22" s="111"/>
      <c r="AZ22" s="111"/>
      <c r="BA22" s="111"/>
      <c r="BB22" s="111"/>
      <c r="BC22" s="111"/>
      <c r="BD22" s="111"/>
      <c r="BE22" s="111"/>
      <c r="BF22" s="239"/>
      <c r="BG22" s="239"/>
      <c r="BH22" s="239"/>
      <c r="BI22" s="239"/>
    </row>
    <row r="23" spans="1:61" x14ac:dyDescent="0.3">
      <c r="A23" s="515">
        <v>254</v>
      </c>
      <c r="B23" s="516" t="s">
        <v>171</v>
      </c>
      <c r="C23" s="103" t="s">
        <v>172</v>
      </c>
      <c r="D23" s="517" t="str">
        <f t="shared" si="13"/>
        <v>✓</v>
      </c>
      <c r="E23" s="517" t="str">
        <f t="shared" si="14"/>
        <v>✓</v>
      </c>
      <c r="F23" s="518">
        <v>2.66</v>
      </c>
      <c r="G23" s="520">
        <v>2.6</v>
      </c>
      <c r="H23" s="863">
        <v>2.6</v>
      </c>
      <c r="I23" s="520"/>
      <c r="J23" s="520"/>
      <c r="K23" s="520"/>
      <c r="L23" s="520"/>
      <c r="M23" s="617">
        <f t="shared" si="0"/>
        <v>2700.4762314801601</v>
      </c>
      <c r="N23" s="239"/>
      <c r="O23" s="110">
        <v>6.2</v>
      </c>
      <c r="P23" s="521">
        <v>1</v>
      </c>
      <c r="Q23" s="522">
        <v>2701.29</v>
      </c>
      <c r="R23" s="523">
        <f t="shared" si="1"/>
        <v>1.00030134259667</v>
      </c>
      <c r="S23" s="839"/>
      <c r="T23" s="839">
        <f t="shared" si="15"/>
        <v>0.97744360902255634</v>
      </c>
      <c r="U23" s="839">
        <f>Passby_Length_Adj!J27/ITE_LUC_Rates!P23</f>
        <v>0.71599999999999997</v>
      </c>
      <c r="V23" s="839">
        <f>8.21*Passby_Length_Adj!H27/ITE_LUC_Rates!O23</f>
        <v>0.61609004970275805</v>
      </c>
      <c r="W23" s="839">
        <f t="shared" si="16"/>
        <v>0.43117038967167454</v>
      </c>
      <c r="X23" s="111"/>
      <c r="Y23" s="814">
        <f>FEE_3_Out!S32</f>
        <v>895.95491668910961</v>
      </c>
      <c r="Z23" s="814">
        <f>FEE_3_Out!H32</f>
        <v>916.74894201454072</v>
      </c>
      <c r="AA23" s="807">
        <f t="shared" si="3"/>
        <v>16.16216</v>
      </c>
      <c r="AB23" s="807">
        <f>FEE_3_Out!Q32*2</f>
        <v>6.8469154015457345</v>
      </c>
      <c r="AC23" s="826">
        <f t="shared" si="4"/>
        <v>-0.57636136496942647</v>
      </c>
      <c r="AD23" s="808">
        <f t="shared" si="5"/>
        <v>-2.2556390977443663E-2</v>
      </c>
      <c r="AE23" s="808">
        <f t="shared" si="6"/>
        <v>-0.55380497399198281</v>
      </c>
      <c r="AF23" s="811">
        <f t="shared" si="7"/>
        <v>-0.66832331342095452</v>
      </c>
      <c r="AG23" s="811">
        <f t="shared" si="8"/>
        <v>-0.66062550040368095</v>
      </c>
      <c r="AH23" s="811"/>
      <c r="AI23" s="811"/>
      <c r="AJ23" s="111">
        <v>21</v>
      </c>
      <c r="AK23" s="111"/>
      <c r="AL23" s="874"/>
      <c r="AM23" s="871">
        <f t="shared" si="12"/>
        <v>0</v>
      </c>
      <c r="AN23" s="111"/>
      <c r="AO23" s="111"/>
      <c r="AP23" s="111"/>
      <c r="AQ23" s="111"/>
      <c r="AR23" s="111"/>
      <c r="AS23" s="111"/>
      <c r="AT23" s="111"/>
      <c r="AU23" s="111"/>
      <c r="AV23" s="111"/>
      <c r="AW23" s="111"/>
      <c r="AX23" s="111"/>
      <c r="AY23" s="111"/>
      <c r="AZ23" s="111"/>
      <c r="BA23" s="111"/>
      <c r="BB23" s="111"/>
      <c r="BC23" s="111"/>
      <c r="BD23" s="111"/>
      <c r="BE23" s="111"/>
      <c r="BF23" s="239"/>
      <c r="BG23" s="239"/>
      <c r="BH23" s="239"/>
      <c r="BI23" s="239"/>
    </row>
    <row r="24" spans="1:61" x14ac:dyDescent="0.3">
      <c r="A24" s="515">
        <v>255</v>
      </c>
      <c r="B24" s="516" t="s">
        <v>174</v>
      </c>
      <c r="C24" s="103" t="s">
        <v>151</v>
      </c>
      <c r="D24" s="517" t="str">
        <f t="shared" si="13"/>
        <v>✓</v>
      </c>
      <c r="E24" s="517" t="str">
        <f t="shared" si="14"/>
        <v>✓</v>
      </c>
      <c r="F24" s="518">
        <v>2.2799999999999998</v>
      </c>
      <c r="G24" s="520">
        <v>2.4</v>
      </c>
      <c r="H24" s="863">
        <v>2.4700000000000002</v>
      </c>
      <c r="I24" s="520"/>
      <c r="J24" s="520"/>
      <c r="K24" s="520"/>
      <c r="L24" s="520"/>
      <c r="M24" s="620">
        <f t="shared" si="0"/>
        <v>2273.6267626332951</v>
      </c>
      <c r="N24" s="239"/>
      <c r="O24" s="110">
        <v>6.09</v>
      </c>
      <c r="P24" s="521">
        <v>1</v>
      </c>
      <c r="Q24" s="522">
        <v>2437.2199999999998</v>
      </c>
      <c r="R24" s="523">
        <f>Q24/M24</f>
        <v>1.0719525473817137</v>
      </c>
      <c r="S24" s="839"/>
      <c r="T24" s="839">
        <f t="shared" si="15"/>
        <v>1.0526315789473684</v>
      </c>
      <c r="U24" s="839">
        <f>Passby_Length_Adj!J28/ITE_LUC_Rates!P24</f>
        <v>0.71599999999999997</v>
      </c>
      <c r="V24" s="839">
        <f>8.21*Passby_Length_Adj!H28/ITE_LUC_Rates!O24</f>
        <v>0.62721811299788177</v>
      </c>
      <c r="W24" s="839">
        <f t="shared" si="16"/>
        <v>0.47272438832261404</v>
      </c>
      <c r="X24" s="111"/>
      <c r="Y24" s="814">
        <f>FEE_3_Out!S33</f>
        <v>827.03530771302405</v>
      </c>
      <c r="Z24" s="814">
        <f>FEE_3_Out!H33</f>
        <v>846.22979262880665</v>
      </c>
      <c r="AA24" s="807">
        <f t="shared" si="3"/>
        <v>13.607495999999999</v>
      </c>
      <c r="AB24" s="807">
        <f>FEE_3_Out!Q33*2</f>
        <v>6.3202296014268304</v>
      </c>
      <c r="AC24" s="826">
        <f t="shared" si="4"/>
        <v>-0.5355332383396012</v>
      </c>
      <c r="AD24" s="808">
        <f t="shared" si="5"/>
        <v>5.2631578947368363E-2</v>
      </c>
      <c r="AE24" s="808">
        <f t="shared" si="6"/>
        <v>-0.58816481728696957</v>
      </c>
      <c r="AF24" s="811">
        <f t="shared" si="7"/>
        <v>-0.66066448342249606</v>
      </c>
      <c r="AG24" s="811">
        <f t="shared" si="8"/>
        <v>-0.65278891826392083</v>
      </c>
      <c r="AH24" s="811"/>
      <c r="AI24" s="811"/>
      <c r="AJ24" s="111">
        <v>22</v>
      </c>
      <c r="AK24" s="111"/>
      <c r="AL24" s="874"/>
      <c r="AM24" s="871">
        <f t="shared" si="12"/>
        <v>-2.9166666666666785E-2</v>
      </c>
      <c r="AN24" s="111"/>
      <c r="AO24" s="111"/>
      <c r="AP24" s="111"/>
      <c r="AQ24" s="111"/>
      <c r="AR24" s="111"/>
      <c r="AS24" s="111"/>
      <c r="AT24" s="111"/>
      <c r="AU24" s="111"/>
      <c r="AV24" s="111"/>
      <c r="AW24" s="111"/>
      <c r="AX24" s="111"/>
      <c r="AY24" s="111"/>
      <c r="AZ24" s="111"/>
      <c r="BA24" s="111"/>
      <c r="BB24" s="111"/>
      <c r="BC24" s="111"/>
      <c r="BD24" s="111"/>
      <c r="BE24" s="111"/>
      <c r="BF24" s="239"/>
      <c r="BG24" s="239"/>
      <c r="BH24" s="239"/>
      <c r="BI24" s="239"/>
    </row>
    <row r="25" spans="1:61" x14ac:dyDescent="0.3">
      <c r="A25" s="515">
        <v>265</v>
      </c>
      <c r="B25" s="516" t="s">
        <v>176</v>
      </c>
      <c r="C25" s="103" t="s">
        <v>151</v>
      </c>
      <c r="D25" s="517" t="str">
        <f t="shared" si="13"/>
        <v>X</v>
      </c>
      <c r="E25" s="517" t="str">
        <f t="shared" si="14"/>
        <v>✓</v>
      </c>
      <c r="F25" s="518"/>
      <c r="G25" s="520">
        <v>8.6300000000000008</v>
      </c>
      <c r="H25" s="863">
        <v>8.6300000000000008</v>
      </c>
      <c r="I25" s="520"/>
      <c r="J25" s="520"/>
      <c r="K25" s="520"/>
      <c r="L25" s="520"/>
      <c r="M25" s="617"/>
      <c r="N25" s="239"/>
      <c r="O25" s="110"/>
      <c r="P25" s="111"/>
      <c r="Q25" s="522"/>
      <c r="R25" s="523"/>
      <c r="S25" s="839"/>
      <c r="T25" s="839" t="e">
        <f t="shared" si="15"/>
        <v>#DIV/0!</v>
      </c>
      <c r="U25" s="839" t="e">
        <f>Passby_Length_Adj!J29/ITE_LUC_Rates!P25</f>
        <v>#DIV/0!</v>
      </c>
      <c r="V25" s="839" t="e">
        <f>8.21*Passby_Length_Adj!H29/ITE_LUC_Rates!O25</f>
        <v>#DIV/0!</v>
      </c>
      <c r="W25" s="839" t="e">
        <f t="shared" si="16"/>
        <v>#DIV/0!</v>
      </c>
      <c r="X25" s="111"/>
      <c r="Y25" s="814">
        <f>FEE_3_Out!S34</f>
        <v>8927.2532571127977</v>
      </c>
      <c r="Z25" s="814">
        <f>FEE_3_Out!H34</f>
        <v>9134.4439615300762</v>
      </c>
      <c r="AA25" s="807">
        <f t="shared" si="3"/>
        <v>0</v>
      </c>
      <c r="AB25" s="807">
        <f>FEE_3_Out!Q34*2</f>
        <v>68.222347666221481</v>
      </c>
      <c r="AC25" s="826">
        <f t="shared" si="4"/>
        <v>0</v>
      </c>
      <c r="AD25" s="808">
        <f t="shared" si="5"/>
        <v>0</v>
      </c>
      <c r="AE25" s="808">
        <f t="shared" si="6"/>
        <v>0</v>
      </c>
      <c r="AF25" s="811">
        <f t="shared" si="7"/>
        <v>0</v>
      </c>
      <c r="AG25" s="811">
        <f t="shared" si="8"/>
        <v>0</v>
      </c>
      <c r="AH25" s="811"/>
      <c r="AI25" s="811"/>
      <c r="AJ25" s="111">
        <v>23</v>
      </c>
      <c r="AK25" s="111"/>
      <c r="AL25" s="874"/>
      <c r="AM25" s="871">
        <f t="shared" si="12"/>
        <v>0</v>
      </c>
      <c r="AN25" s="111"/>
      <c r="AO25" s="111"/>
      <c r="AP25" s="111"/>
      <c r="AQ25" s="111"/>
      <c r="AR25" s="111"/>
      <c r="AS25" s="111"/>
      <c r="AT25" s="111"/>
      <c r="AU25" s="111"/>
      <c r="AV25" s="111"/>
      <c r="AW25" s="111"/>
      <c r="AX25" s="111"/>
      <c r="AY25" s="111"/>
      <c r="AZ25" s="111"/>
      <c r="BA25" s="111"/>
      <c r="BB25" s="111"/>
      <c r="BC25" s="111"/>
      <c r="BD25" s="111"/>
      <c r="BE25" s="111"/>
      <c r="BF25" s="239"/>
      <c r="BG25" s="239"/>
      <c r="BH25" s="239"/>
      <c r="BI25" s="239"/>
    </row>
    <row r="26" spans="1:61" x14ac:dyDescent="0.3">
      <c r="A26" s="515">
        <v>270</v>
      </c>
      <c r="B26" s="516" t="s">
        <v>178</v>
      </c>
      <c r="C26" s="103" t="s">
        <v>151</v>
      </c>
      <c r="D26" s="517" t="str">
        <f t="shared" si="13"/>
        <v>X</v>
      </c>
      <c r="E26" s="517" t="str">
        <f t="shared" si="14"/>
        <v>✓</v>
      </c>
      <c r="F26" s="518"/>
      <c r="G26" s="520">
        <v>7.83</v>
      </c>
      <c r="H26" s="863">
        <v>7.31</v>
      </c>
      <c r="I26" s="520"/>
      <c r="J26" s="520"/>
      <c r="K26" s="520"/>
      <c r="L26" s="520"/>
      <c r="M26" s="617"/>
      <c r="N26" s="239"/>
      <c r="O26" s="110"/>
      <c r="P26" s="111"/>
      <c r="Q26" s="522"/>
      <c r="R26" s="523"/>
      <c r="S26" s="839"/>
      <c r="T26" s="839" t="e">
        <f t="shared" si="15"/>
        <v>#DIV/0!</v>
      </c>
      <c r="U26" s="839" t="e">
        <f>Passby_Length_Adj!J30/ITE_LUC_Rates!P26</f>
        <v>#DIV/0!</v>
      </c>
      <c r="V26" s="839" t="e">
        <f>8.21*Passby_Length_Adj!H30/ITE_LUC_Rates!O26</f>
        <v>#DIV/0!</v>
      </c>
      <c r="W26" s="839" t="e">
        <f t="shared" si="16"/>
        <v>#DIV/0!</v>
      </c>
      <c r="X26" s="111"/>
      <c r="Y26" s="814">
        <f>FEE_3_Out!S35</f>
        <v>8099.6979146226176</v>
      </c>
      <c r="Z26" s="814">
        <f>FEE_3_Out!H35</f>
        <v>8287.6820647486074</v>
      </c>
      <c r="AA26" s="807">
        <f t="shared" si="3"/>
        <v>0</v>
      </c>
      <c r="AB26" s="807">
        <f>FEE_3_Out!Q35*2</f>
        <v>61.898143942817391</v>
      </c>
      <c r="AC26" s="826">
        <f t="shared" si="4"/>
        <v>0</v>
      </c>
      <c r="AD26" s="808">
        <f t="shared" si="5"/>
        <v>0</v>
      </c>
      <c r="AE26" s="808">
        <f t="shared" si="6"/>
        <v>0</v>
      </c>
      <c r="AF26" s="811">
        <f t="shared" si="7"/>
        <v>0</v>
      </c>
      <c r="AG26" s="811">
        <f t="shared" si="8"/>
        <v>0</v>
      </c>
      <c r="AH26" s="811"/>
      <c r="AI26" s="811"/>
      <c r="AJ26" s="111">
        <v>24</v>
      </c>
      <c r="AK26" s="111"/>
      <c r="AL26" s="874"/>
      <c r="AM26" s="871">
        <f t="shared" si="12"/>
        <v>6.6411238825031985E-2</v>
      </c>
      <c r="AN26" s="111"/>
      <c r="AO26" s="111"/>
      <c r="AP26" s="111"/>
      <c r="AQ26" s="111"/>
      <c r="AR26" s="111"/>
      <c r="AS26" s="111"/>
      <c r="AT26" s="111"/>
      <c r="AU26" s="111"/>
      <c r="AV26" s="111"/>
      <c r="AW26" s="111"/>
      <c r="AX26" s="111"/>
      <c r="AY26" s="111"/>
      <c r="AZ26" s="111"/>
      <c r="BA26" s="111"/>
      <c r="BB26" s="111"/>
      <c r="BC26" s="111"/>
      <c r="BD26" s="111"/>
      <c r="BE26" s="111"/>
      <c r="BF26" s="239"/>
      <c r="BG26" s="239"/>
      <c r="BH26" s="239"/>
      <c r="BI26" s="239"/>
    </row>
    <row r="27" spans="1:61" s="136" customFormat="1" x14ac:dyDescent="0.3">
      <c r="A27" s="505" t="s">
        <v>447</v>
      </c>
      <c r="B27" s="506"/>
      <c r="C27" s="507"/>
      <c r="D27" s="508"/>
      <c r="E27" s="508"/>
      <c r="F27" s="534"/>
      <c r="G27" s="535"/>
      <c r="H27" s="863"/>
      <c r="I27" s="535"/>
      <c r="J27" s="535"/>
      <c r="K27" s="535"/>
      <c r="L27" s="535"/>
      <c r="M27" s="615"/>
      <c r="N27" s="616"/>
      <c r="O27" s="511"/>
      <c r="P27" s="512"/>
      <c r="Q27" s="536"/>
      <c r="R27" s="514"/>
      <c r="S27" s="838"/>
      <c r="T27" s="838"/>
      <c r="U27" s="838"/>
      <c r="V27" s="839" t="e">
        <f>8.21*Passby_Length_Adj!H31/ITE_LUC_Rates!O27</f>
        <v>#DIV/0!</v>
      </c>
      <c r="W27" s="838"/>
      <c r="X27" s="111"/>
      <c r="Y27" s="814">
        <f>FEE_3_Out!S36</f>
        <v>0</v>
      </c>
      <c r="Z27" s="814">
        <f>FEE_3_Out!H36</f>
        <v>0</v>
      </c>
      <c r="AA27" s="807">
        <f t="shared" si="3"/>
        <v>0</v>
      </c>
      <c r="AB27" s="807">
        <f>FEE_3_Out!Q36*2</f>
        <v>0</v>
      </c>
      <c r="AC27" s="826">
        <f t="shared" si="4"/>
        <v>0</v>
      </c>
      <c r="AD27" s="808">
        <f t="shared" si="5"/>
        <v>0</v>
      </c>
      <c r="AE27" s="808">
        <f t="shared" si="6"/>
        <v>0</v>
      </c>
      <c r="AF27" s="811">
        <f t="shared" si="7"/>
        <v>0</v>
      </c>
      <c r="AG27" s="811">
        <f t="shared" si="8"/>
        <v>0</v>
      </c>
      <c r="AH27" s="811"/>
      <c r="AI27" s="811"/>
      <c r="AJ27" s="111">
        <v>25</v>
      </c>
      <c r="AK27" s="111"/>
      <c r="AL27" s="874"/>
      <c r="AM27" s="871"/>
      <c r="AN27" s="111"/>
      <c r="AO27" s="111"/>
      <c r="AP27" s="111"/>
      <c r="AQ27" s="111"/>
      <c r="AR27" s="111"/>
      <c r="AS27" s="111"/>
      <c r="AT27" s="111"/>
      <c r="AU27" s="111"/>
      <c r="AV27" s="111"/>
      <c r="AW27" s="111"/>
      <c r="AX27" s="111"/>
      <c r="AY27" s="111"/>
      <c r="AZ27" s="111"/>
      <c r="BA27" s="111"/>
      <c r="BB27" s="111"/>
      <c r="BC27" s="111"/>
      <c r="BD27" s="111"/>
      <c r="BE27" s="111"/>
      <c r="BF27" s="239"/>
      <c r="BG27" s="239"/>
      <c r="BH27" s="239"/>
      <c r="BI27" s="239"/>
    </row>
    <row r="28" spans="1:61" x14ac:dyDescent="0.3">
      <c r="A28" s="515">
        <v>310</v>
      </c>
      <c r="B28" s="516" t="s">
        <v>180</v>
      </c>
      <c r="C28" s="103" t="s">
        <v>181</v>
      </c>
      <c r="D28" s="517" t="str">
        <f t="shared" ref="D28:E31" si="17">IF(F28,"✓","X")</f>
        <v>✓</v>
      </c>
      <c r="E28" s="517" t="str">
        <f t="shared" si="17"/>
        <v>✓</v>
      </c>
      <c r="F28" s="518">
        <v>8.92</v>
      </c>
      <c r="G28" s="520">
        <v>8.36</v>
      </c>
      <c r="H28" s="863">
        <v>7.99</v>
      </c>
      <c r="I28" s="520"/>
      <c r="J28" s="520">
        <v>5.49</v>
      </c>
      <c r="K28" s="520"/>
      <c r="L28" s="520"/>
      <c r="M28" s="617">
        <f t="shared" si="0"/>
        <v>8895.066106442544</v>
      </c>
      <c r="N28" s="239"/>
      <c r="O28" s="110">
        <v>6.09</v>
      </c>
      <c r="P28" s="521">
        <v>1</v>
      </c>
      <c r="Q28" s="522">
        <v>8894.4159999999993</v>
      </c>
      <c r="R28" s="523">
        <f t="shared" si="1"/>
        <v>0.99992691381550569</v>
      </c>
      <c r="S28" s="839"/>
      <c r="T28" s="839">
        <f t="shared" ref="T28:T29" si="18">G28/F28</f>
        <v>0.93721973094170397</v>
      </c>
      <c r="U28" s="839">
        <f>Passby_Length_Adj!J32/ITE_LUC_Rates!P28</f>
        <v>0.66300000000000003</v>
      </c>
      <c r="V28" s="839">
        <f>8.21*Passby_Length_Adj!H32/ITE_LUC_Rates!O28</f>
        <v>1.2727640279989485</v>
      </c>
      <c r="W28" s="839">
        <f t="shared" ref="W28:W29" si="19">V28*U28*T28</f>
        <v>0.79086588819610004</v>
      </c>
      <c r="X28" s="111"/>
      <c r="Y28" s="814">
        <f>FEE_3_Out!S37</f>
        <v>5413.1354391444729</v>
      </c>
      <c r="Z28" s="814">
        <f>FEE_3_Out!H37</f>
        <v>5538.7677375055482</v>
      </c>
      <c r="AA28" s="807">
        <f t="shared" si="3"/>
        <v>53.236344000000003</v>
      </c>
      <c r="AB28" s="807">
        <f>FEE_3_Out!Q37*2</f>
        <v>41.367349761184506</v>
      </c>
      <c r="AC28" s="826">
        <f t="shared" si="4"/>
        <v>-0.22294908603820529</v>
      </c>
      <c r="AD28" s="808">
        <f t="shared" si="5"/>
        <v>-6.2780269058296034E-2</v>
      </c>
      <c r="AE28" s="808">
        <f t="shared" si="6"/>
        <v>-0.16016881697990926</v>
      </c>
      <c r="AF28" s="811">
        <f t="shared" si="7"/>
        <v>-0.39140069014711332</v>
      </c>
      <c r="AG28" s="811">
        <f t="shared" si="8"/>
        <v>-0.37727583941367837</v>
      </c>
      <c r="AH28" s="811"/>
      <c r="AI28" s="811"/>
      <c r="AJ28" s="111">
        <v>26</v>
      </c>
      <c r="AK28" s="111"/>
      <c r="AL28" s="874"/>
      <c r="AM28" s="871">
        <f t="shared" si="12"/>
        <v>4.4258373205741539E-2</v>
      </c>
      <c r="AN28" s="111"/>
      <c r="AO28" s="111"/>
      <c r="AP28" s="111"/>
      <c r="AQ28" s="111"/>
      <c r="AR28" s="111"/>
      <c r="AS28" s="111"/>
      <c r="AT28" s="111"/>
      <c r="AU28" s="111"/>
      <c r="AV28" s="111"/>
      <c r="AW28" s="111"/>
      <c r="AX28" s="111"/>
      <c r="AY28" s="111"/>
      <c r="AZ28" s="111"/>
      <c r="BA28" s="111"/>
      <c r="BB28" s="111"/>
      <c r="BC28" s="111"/>
      <c r="BD28" s="111"/>
      <c r="BE28" s="111"/>
      <c r="BF28" s="239"/>
      <c r="BG28" s="239"/>
      <c r="BH28" s="239"/>
      <c r="BI28" s="239"/>
    </row>
    <row r="29" spans="1:61" x14ac:dyDescent="0.3">
      <c r="A29" s="515">
        <v>311</v>
      </c>
      <c r="B29" s="516" t="s">
        <v>183</v>
      </c>
      <c r="C29" s="103" t="s">
        <v>181</v>
      </c>
      <c r="D29" s="517" t="str">
        <f t="shared" si="17"/>
        <v>✓</v>
      </c>
      <c r="E29" s="517" t="str">
        <f t="shared" si="17"/>
        <v>✓</v>
      </c>
      <c r="F29" s="518">
        <v>6.24</v>
      </c>
      <c r="G29" s="520">
        <v>4.46</v>
      </c>
      <c r="H29" s="863">
        <v>4.4000000000000004</v>
      </c>
      <c r="I29" s="520">
        <v>2.2400000000000002</v>
      </c>
      <c r="J29" s="520"/>
      <c r="K29" s="520"/>
      <c r="L29" s="520"/>
      <c r="M29" s="617">
        <f t="shared" si="0"/>
        <v>6222.557455627968</v>
      </c>
      <c r="N29" s="239"/>
      <c r="O29" s="110">
        <v>6.09</v>
      </c>
      <c r="P29" s="521">
        <v>1</v>
      </c>
      <c r="Q29" s="522">
        <v>6221.7179999999998</v>
      </c>
      <c r="R29" s="523">
        <f t="shared" si="1"/>
        <v>0.99986509475662477</v>
      </c>
      <c r="S29" s="839"/>
      <c r="T29" s="839">
        <f t="shared" si="18"/>
        <v>0.71474358974358976</v>
      </c>
      <c r="U29" s="839">
        <f>Passby_Length_Adj!J33/ITE_LUC_Rates!P29</f>
        <v>0.66300000000000003</v>
      </c>
      <c r="V29" s="839">
        <f>8.21*Passby_Length_Adj!H33/ITE_LUC_Rates!O29</f>
        <v>1.2727640279989485</v>
      </c>
      <c r="W29" s="839">
        <f t="shared" si="19"/>
        <v>0.6031310537680018</v>
      </c>
      <c r="X29" s="111"/>
      <c r="Y29" s="814">
        <f>FEE_3_Out!S38</f>
        <v>2887.8689065292283</v>
      </c>
      <c r="Z29" s="814">
        <f>FEE_3_Out!H38</f>
        <v>2954.892836037649</v>
      </c>
      <c r="AA29" s="807">
        <f t="shared" si="3"/>
        <v>37.241568000000001</v>
      </c>
      <c r="AB29" s="807">
        <f>FEE_3_Out!Q38*2</f>
        <v>22.069184202737191</v>
      </c>
      <c r="AC29" s="826">
        <f t="shared" si="4"/>
        <v>-0.40740453778054697</v>
      </c>
      <c r="AD29" s="808">
        <f t="shared" si="5"/>
        <v>-0.28525641025641024</v>
      </c>
      <c r="AE29" s="808">
        <f t="shared" si="6"/>
        <v>-0.12214812752413673</v>
      </c>
      <c r="AF29" s="811">
        <f t="shared" si="7"/>
        <v>-0.53584059796197314</v>
      </c>
      <c r="AG29" s="811">
        <f t="shared" si="8"/>
        <v>-0.5250680220418783</v>
      </c>
      <c r="AH29" s="811"/>
      <c r="AI29" s="811"/>
      <c r="AJ29" s="111">
        <v>27</v>
      </c>
      <c r="AK29" s="111"/>
      <c r="AL29" s="874"/>
      <c r="AM29" s="871">
        <f t="shared" si="12"/>
        <v>1.345291479820619E-2</v>
      </c>
      <c r="AN29" s="111"/>
      <c r="AO29" s="111"/>
      <c r="AP29" s="111"/>
      <c r="AQ29" s="111"/>
      <c r="AR29" s="111"/>
      <c r="AS29" s="111"/>
      <c r="AT29" s="111"/>
      <c r="AU29" s="111"/>
      <c r="AV29" s="111"/>
      <c r="AW29" s="111"/>
      <c r="AX29" s="111"/>
      <c r="AY29" s="111"/>
      <c r="AZ29" s="111"/>
      <c r="BA29" s="111"/>
      <c r="BB29" s="111"/>
      <c r="BC29" s="111"/>
      <c r="BD29" s="111"/>
      <c r="BE29" s="111"/>
      <c r="BF29" s="239"/>
      <c r="BG29" s="239"/>
      <c r="BH29" s="239"/>
      <c r="BI29" s="239"/>
    </row>
    <row r="30" spans="1:61" x14ac:dyDescent="0.3">
      <c r="A30" s="515">
        <v>320</v>
      </c>
      <c r="B30" s="516" t="s">
        <v>185</v>
      </c>
      <c r="C30" s="103" t="s">
        <v>181</v>
      </c>
      <c r="D30" s="517" t="str">
        <f t="shared" si="17"/>
        <v>✓</v>
      </c>
      <c r="E30" s="517" t="str">
        <f t="shared" si="17"/>
        <v>✓</v>
      </c>
      <c r="F30" s="518">
        <v>9.11</v>
      </c>
      <c r="G30" s="520">
        <v>3.35</v>
      </c>
      <c r="H30" s="863">
        <v>3.35</v>
      </c>
      <c r="I30" s="520"/>
      <c r="J30" s="520"/>
      <c r="K30" s="520"/>
      <c r="L30" s="520"/>
      <c r="M30" s="842">
        <f t="shared" si="0"/>
        <v>9084.5350033286504</v>
      </c>
      <c r="N30" s="239"/>
      <c r="O30" s="110">
        <v>6.09</v>
      </c>
      <c r="P30" s="521">
        <v>1</v>
      </c>
      <c r="Q30" s="843">
        <v>9084.482</v>
      </c>
      <c r="R30" s="844">
        <f t="shared" si="1"/>
        <v>0.99999416554302112</v>
      </c>
      <c r="S30" s="845"/>
      <c r="T30" s="845"/>
      <c r="U30" s="845"/>
      <c r="V30" s="845">
        <f>8.21*Passby_Length_Adj!H34/ITE_LUC_Rates!O30</f>
        <v>0.88380734104246983</v>
      </c>
      <c r="W30" s="845"/>
      <c r="X30" s="111"/>
      <c r="Y30" s="814">
        <f>FEE_3_Out!S39</f>
        <v>1740.2529413406271</v>
      </c>
      <c r="Z30" s="814">
        <f>FEE_3_Out!H39</f>
        <v>1780.6420982734526</v>
      </c>
      <c r="AA30" s="807">
        <f t="shared" si="3"/>
        <v>54.370301999999995</v>
      </c>
      <c r="AB30" s="807">
        <f>FEE_3_Out!Q39*2</f>
        <v>13.299067223920327</v>
      </c>
      <c r="AC30" s="826">
        <f t="shared" si="4"/>
        <v>-0.7553983197680173</v>
      </c>
      <c r="AD30" s="808">
        <f t="shared" si="5"/>
        <v>-0.63227222832052687</v>
      </c>
      <c r="AE30" s="808">
        <f t="shared" si="6"/>
        <v>-0.12312609144749043</v>
      </c>
      <c r="AF30" s="846">
        <f t="shared" si="7"/>
        <v>-0.80843674506255536</v>
      </c>
      <c r="AG30" s="846">
        <f t="shared" si="8"/>
        <v>-0.80399079460188783</v>
      </c>
      <c r="AH30" s="846"/>
      <c r="AI30" s="846"/>
      <c r="AJ30" s="111">
        <v>28</v>
      </c>
      <c r="AK30" s="111"/>
      <c r="AL30" s="874"/>
      <c r="AM30" s="871">
        <f t="shared" si="12"/>
        <v>0</v>
      </c>
      <c r="AN30" s="111"/>
      <c r="AO30" s="111"/>
      <c r="AP30" s="111"/>
      <c r="AQ30" s="111"/>
      <c r="AR30" s="111"/>
      <c r="AS30" s="111"/>
      <c r="AT30" s="111"/>
      <c r="AU30" s="111"/>
      <c r="AV30" s="111"/>
      <c r="AW30" s="111"/>
      <c r="AX30" s="111"/>
      <c r="AY30" s="111"/>
      <c r="AZ30" s="111"/>
      <c r="BA30" s="111"/>
      <c r="BB30" s="111"/>
      <c r="BC30" s="111"/>
      <c r="BD30" s="111"/>
      <c r="BE30" s="111"/>
      <c r="BF30" s="239"/>
      <c r="BG30" s="239"/>
      <c r="BH30" s="239"/>
      <c r="BI30" s="239"/>
    </row>
    <row r="31" spans="1:61" x14ac:dyDescent="0.3">
      <c r="A31" s="515">
        <v>312</v>
      </c>
      <c r="B31" s="516" t="s">
        <v>187</v>
      </c>
      <c r="C31" s="103" t="s">
        <v>181</v>
      </c>
      <c r="D31" s="517" t="str">
        <f t="shared" si="17"/>
        <v>X</v>
      </c>
      <c r="E31" s="517" t="str">
        <f t="shared" si="17"/>
        <v>✓</v>
      </c>
      <c r="F31" s="518"/>
      <c r="G31" s="520">
        <v>4.0199999999999996</v>
      </c>
      <c r="H31" s="863">
        <v>4.0199999999999996</v>
      </c>
      <c r="I31" s="520"/>
      <c r="J31" s="520">
        <v>2.72</v>
      </c>
      <c r="K31" s="520"/>
      <c r="L31" s="520"/>
      <c r="M31" s="617"/>
      <c r="N31" s="239"/>
      <c r="O31" s="110"/>
      <c r="P31" s="111"/>
      <c r="Q31" s="522"/>
      <c r="R31" s="523"/>
      <c r="S31" s="839"/>
      <c r="T31" s="839" t="e">
        <f>G31/F31</f>
        <v>#DIV/0!</v>
      </c>
      <c r="U31" s="839" t="e">
        <f>Passby_Length_Adj!J35/ITE_LUC_Rates!P31</f>
        <v>#DIV/0!</v>
      </c>
      <c r="V31" s="839" t="e">
        <f>8.21*Passby_Length_Adj!H35/ITE_LUC_Rates!O31</f>
        <v>#DIV/0!</v>
      </c>
      <c r="W31" s="839" t="e">
        <f>V31*U31*T31</f>
        <v>#DIV/0!</v>
      </c>
      <c r="X31" s="111"/>
      <c r="Y31" s="814">
        <f>FEE_3_Out!S40</f>
        <v>2602.967041311098</v>
      </c>
      <c r="Z31" s="814">
        <f>FEE_3_Out!H40</f>
        <v>2663.3787445899884</v>
      </c>
      <c r="AA31" s="807">
        <f t="shared" si="3"/>
        <v>0</v>
      </c>
      <c r="AB31" s="807">
        <f>FEE_3_Out!Q40*2</f>
        <v>19.891955267938002</v>
      </c>
      <c r="AC31" s="826">
        <f t="shared" si="4"/>
        <v>0</v>
      </c>
      <c r="AD31" s="808">
        <f t="shared" si="5"/>
        <v>0</v>
      </c>
      <c r="AE31" s="808">
        <f t="shared" si="6"/>
        <v>0</v>
      </c>
      <c r="AF31" s="811">
        <f t="shared" si="7"/>
        <v>0</v>
      </c>
      <c r="AG31" s="811">
        <f t="shared" si="8"/>
        <v>0</v>
      </c>
      <c r="AH31" s="811"/>
      <c r="AI31" s="811"/>
      <c r="AJ31" s="111">
        <v>29</v>
      </c>
      <c r="AK31" s="111"/>
      <c r="AL31" s="874"/>
      <c r="AM31" s="871">
        <f t="shared" si="12"/>
        <v>0</v>
      </c>
      <c r="AN31" s="111"/>
      <c r="AO31" s="111"/>
      <c r="AP31" s="111"/>
      <c r="AQ31" s="111"/>
      <c r="AR31" s="111"/>
      <c r="AS31" s="111"/>
      <c r="AT31" s="111"/>
      <c r="AU31" s="111"/>
      <c r="AV31" s="111"/>
      <c r="AW31" s="111"/>
      <c r="AX31" s="111"/>
      <c r="AY31" s="111"/>
      <c r="AZ31" s="111"/>
      <c r="BA31" s="111"/>
      <c r="BB31" s="111"/>
      <c r="BC31" s="111"/>
      <c r="BD31" s="111"/>
      <c r="BE31" s="111"/>
      <c r="BF31" s="239"/>
      <c r="BG31" s="239"/>
      <c r="BH31" s="239"/>
      <c r="BI31" s="239"/>
    </row>
    <row r="32" spans="1:61" s="136" customFormat="1" x14ac:dyDescent="0.3">
      <c r="A32" s="505" t="s">
        <v>448</v>
      </c>
      <c r="B32" s="506"/>
      <c r="C32" s="507"/>
      <c r="D32" s="508"/>
      <c r="E32" s="508"/>
      <c r="F32" s="537"/>
      <c r="G32" s="535"/>
      <c r="H32" s="863"/>
      <c r="I32" s="535"/>
      <c r="J32" s="535"/>
      <c r="K32" s="535"/>
      <c r="L32" s="535"/>
      <c r="M32" s="615"/>
      <c r="N32" s="616"/>
      <c r="O32" s="511"/>
      <c r="P32" s="512"/>
      <c r="Q32" s="536"/>
      <c r="R32" s="514"/>
      <c r="S32" s="838"/>
      <c r="T32" s="838"/>
      <c r="U32" s="838"/>
      <c r="V32" s="839" t="e">
        <f>8.21*Passby_Length_Adj!H36/ITE_LUC_Rates!O32</f>
        <v>#DIV/0!</v>
      </c>
      <c r="W32" s="838"/>
      <c r="X32" s="111"/>
      <c r="Y32" s="814">
        <f>FEE_3_Out!S41</f>
        <v>0</v>
      </c>
      <c r="Z32" s="814">
        <f>FEE_3_Out!H41</f>
        <v>0</v>
      </c>
      <c r="AA32" s="807">
        <f t="shared" si="3"/>
        <v>0</v>
      </c>
      <c r="AB32" s="807">
        <f>FEE_3_Out!Q41*2</f>
        <v>0</v>
      </c>
      <c r="AC32" s="826">
        <f t="shared" si="4"/>
        <v>0</v>
      </c>
      <c r="AD32" s="808">
        <f t="shared" si="5"/>
        <v>0</v>
      </c>
      <c r="AE32" s="808">
        <f t="shared" si="6"/>
        <v>0</v>
      </c>
      <c r="AF32" s="811">
        <f t="shared" si="7"/>
        <v>0</v>
      </c>
      <c r="AG32" s="811">
        <f t="shared" si="8"/>
        <v>0</v>
      </c>
      <c r="AH32" s="811"/>
      <c r="AI32" s="811"/>
      <c r="AJ32" s="111">
        <v>30</v>
      </c>
      <c r="AK32" s="111"/>
      <c r="AL32" s="874"/>
      <c r="AM32" s="871"/>
      <c r="AN32" s="111"/>
      <c r="AO32" s="111"/>
      <c r="AP32" s="111"/>
      <c r="AQ32" s="111"/>
      <c r="AR32" s="111"/>
      <c r="AS32" s="111"/>
      <c r="AT32" s="111"/>
      <c r="AU32" s="111"/>
      <c r="AV32" s="111"/>
      <c r="AW32" s="111"/>
      <c r="AX32" s="111"/>
      <c r="AY32" s="111"/>
      <c r="AZ32" s="111"/>
      <c r="BA32" s="111"/>
      <c r="BB32" s="111"/>
      <c r="BC32" s="111"/>
      <c r="BD32" s="111"/>
      <c r="BE32" s="111"/>
      <c r="BF32" s="239"/>
      <c r="BG32" s="239"/>
      <c r="BH32" s="239"/>
      <c r="BI32" s="239"/>
    </row>
    <row r="33" spans="1:61" x14ac:dyDescent="0.3">
      <c r="A33" s="515">
        <v>420</v>
      </c>
      <c r="B33" s="516" t="s">
        <v>189</v>
      </c>
      <c r="C33" s="103" t="s">
        <v>190</v>
      </c>
      <c r="D33" s="517" t="str">
        <f t="shared" ref="D33:E41" si="20">IF(F33,"✓","X")</f>
        <v>✓</v>
      </c>
      <c r="E33" s="517" t="str">
        <f t="shared" si="20"/>
        <v>✓</v>
      </c>
      <c r="F33" s="518">
        <v>2.96</v>
      </c>
      <c r="G33" s="520">
        <v>2.41</v>
      </c>
      <c r="H33" s="863">
        <v>2.41</v>
      </c>
      <c r="I33" s="520"/>
      <c r="J33" s="520"/>
      <c r="K33" s="520"/>
      <c r="L33" s="520"/>
      <c r="M33" s="617">
        <f t="shared" si="0"/>
        <v>3053.5096267670401</v>
      </c>
      <c r="N33" s="239"/>
      <c r="O33" s="110">
        <v>6.3</v>
      </c>
      <c r="P33" s="521">
        <v>1</v>
      </c>
      <c r="Q33" s="522">
        <v>3052.83</v>
      </c>
      <c r="R33" s="523">
        <f t="shared" si="1"/>
        <v>0.99977742766517497</v>
      </c>
      <c r="S33" s="839"/>
      <c r="T33" s="839">
        <f t="shared" ref="T33:T41" si="21">G33/F33</f>
        <v>0.81418918918918926</v>
      </c>
      <c r="U33" s="839">
        <f>Passby_Length_Adj!J37/ITE_LUC_Rates!P33</f>
        <v>1</v>
      </c>
      <c r="V33" s="839">
        <f>8.21*Passby_Length_Adj!H37/ITE_LUC_Rates!O33</f>
        <v>1.2303385603989836</v>
      </c>
      <c r="W33" s="839">
        <f t="shared" ref="W33:W41" si="22">V33*U33*T33</f>
        <v>1.0017283549194429</v>
      </c>
      <c r="X33" s="111"/>
      <c r="Y33" s="814">
        <f>FEE_3_Out!S42</f>
        <v>2354.1702802713853</v>
      </c>
      <c r="Z33" s="814">
        <f>FEE_3_Out!H42</f>
        <v>2408.9140739193449</v>
      </c>
      <c r="AA33" s="807">
        <f t="shared" si="3"/>
        <v>18.275040000000001</v>
      </c>
      <c r="AB33" s="807">
        <f>FEE_3_Out!Q42*2</f>
        <v>17.990642664718479</v>
      </c>
      <c r="AC33" s="826">
        <f t="shared" si="4"/>
        <v>-1.5562063627850953E-2</v>
      </c>
      <c r="AD33" s="808">
        <f t="shared" si="5"/>
        <v>-0.18581081081081074</v>
      </c>
      <c r="AE33" s="808">
        <f t="shared" si="6"/>
        <v>0.17024874718295979</v>
      </c>
      <c r="AF33" s="811">
        <f t="shared" si="7"/>
        <v>-0.22885641183053584</v>
      </c>
      <c r="AG33" s="811">
        <f t="shared" si="8"/>
        <v>-0.21092426570777112</v>
      </c>
      <c r="AH33" s="811"/>
      <c r="AI33" s="811"/>
      <c r="AJ33" s="111">
        <v>31</v>
      </c>
      <c r="AK33" s="111"/>
      <c r="AL33" s="874"/>
      <c r="AM33" s="871">
        <f t="shared" si="12"/>
        <v>0</v>
      </c>
      <c r="AN33" s="111"/>
      <c r="AO33" s="111"/>
      <c r="AP33" s="111"/>
      <c r="AQ33" s="111"/>
      <c r="AR33" s="111"/>
      <c r="AS33" s="111"/>
      <c r="AT33" s="111"/>
      <c r="AU33" s="111"/>
      <c r="AV33" s="111"/>
      <c r="AW33" s="111"/>
      <c r="AX33" s="111"/>
      <c r="AY33" s="111"/>
      <c r="AZ33" s="111"/>
      <c r="BA33" s="111"/>
      <c r="BB33" s="111"/>
      <c r="BC33" s="111"/>
      <c r="BD33" s="111"/>
      <c r="BE33" s="111"/>
      <c r="BF33" s="239"/>
      <c r="BG33" s="239"/>
      <c r="BH33" s="239"/>
      <c r="BI33" s="239"/>
    </row>
    <row r="34" spans="1:61" x14ac:dyDescent="0.3">
      <c r="A34" s="515">
        <v>430</v>
      </c>
      <c r="B34" s="516" t="s">
        <v>192</v>
      </c>
      <c r="C34" s="103" t="s">
        <v>193</v>
      </c>
      <c r="D34" s="517" t="str">
        <f t="shared" si="20"/>
        <v>✓</v>
      </c>
      <c r="E34" s="517" t="str">
        <f t="shared" si="20"/>
        <v>✓</v>
      </c>
      <c r="F34" s="518">
        <v>35.74</v>
      </c>
      <c r="G34" s="520">
        <v>30.38</v>
      </c>
      <c r="H34" s="863">
        <v>30.38</v>
      </c>
      <c r="I34" s="520"/>
      <c r="J34" s="520"/>
      <c r="K34" s="520"/>
      <c r="L34" s="520"/>
      <c r="M34" s="617">
        <f t="shared" si="0"/>
        <v>36869.065561031763</v>
      </c>
      <c r="N34" s="239"/>
      <c r="O34" s="110">
        <v>6.3</v>
      </c>
      <c r="P34" s="521">
        <v>1</v>
      </c>
      <c r="Q34" s="522">
        <v>36869.440000000002</v>
      </c>
      <c r="R34" s="523">
        <f t="shared" si="1"/>
        <v>1.0000101559115357</v>
      </c>
      <c r="S34" s="839"/>
      <c r="T34" s="839">
        <f t="shared" si="21"/>
        <v>0.85002797985450473</v>
      </c>
      <c r="U34" s="839">
        <f>Passby_Length_Adj!J38/ITE_LUC_Rates!P34</f>
        <v>1</v>
      </c>
      <c r="V34" s="839">
        <f>8.21*Passby_Length_Adj!H38/ITE_LUC_Rates!O34</f>
        <v>0.83181056087510608</v>
      </c>
      <c r="W34" s="839">
        <f t="shared" si="22"/>
        <v>0.70706225068230899</v>
      </c>
      <c r="X34" s="111"/>
      <c r="Y34" s="814">
        <f>FEE_3_Out!S43</f>
        <v>20063.578435545805</v>
      </c>
      <c r="Z34" s="814">
        <f>FEE_3_Out!H43</f>
        <v>20530.136189213717</v>
      </c>
      <c r="AA34" s="807">
        <f t="shared" si="3"/>
        <v>220.65876</v>
      </c>
      <c r="AB34" s="807">
        <f>FEE_3_Out!Q43*2</f>
        <v>153.32649181513133</v>
      </c>
      <c r="AC34" s="826">
        <f t="shared" si="4"/>
        <v>-0.30514205819369544</v>
      </c>
      <c r="AD34" s="808">
        <f t="shared" si="5"/>
        <v>-0.14997202014549527</v>
      </c>
      <c r="AE34" s="808">
        <f t="shared" si="6"/>
        <v>-0.15517003804820018</v>
      </c>
      <c r="AF34" s="811">
        <f t="shared" si="7"/>
        <v>-0.45582090654086949</v>
      </c>
      <c r="AG34" s="811">
        <f t="shared" si="8"/>
        <v>-0.4431665848677464</v>
      </c>
      <c r="AH34" s="811"/>
      <c r="AI34" s="811"/>
      <c r="AJ34" s="111">
        <v>32</v>
      </c>
      <c r="AK34" s="111"/>
      <c r="AL34" s="874"/>
      <c r="AM34" s="871">
        <f t="shared" si="12"/>
        <v>0</v>
      </c>
      <c r="AN34" s="111"/>
      <c r="AO34" s="111"/>
      <c r="AP34" s="111"/>
      <c r="AQ34" s="111"/>
      <c r="AR34" s="111"/>
      <c r="AS34" s="111"/>
      <c r="AT34" s="111"/>
      <c r="AU34" s="111"/>
      <c r="AV34" s="111"/>
      <c r="AW34" s="111"/>
      <c r="AX34" s="111"/>
      <c r="AY34" s="111"/>
      <c r="AZ34" s="111"/>
      <c r="BA34" s="111"/>
      <c r="BB34" s="111"/>
      <c r="BC34" s="111"/>
      <c r="BD34" s="111"/>
      <c r="BE34" s="111"/>
      <c r="BF34" s="239"/>
      <c r="BG34" s="239"/>
      <c r="BH34" s="239"/>
      <c r="BI34" s="239"/>
    </row>
    <row r="35" spans="1:61" x14ac:dyDescent="0.3">
      <c r="A35" s="515">
        <v>444</v>
      </c>
      <c r="B35" s="516" t="s">
        <v>195</v>
      </c>
      <c r="C35" s="103" t="s">
        <v>112</v>
      </c>
      <c r="D35" s="517" t="str">
        <f t="shared" si="20"/>
        <v>X</v>
      </c>
      <c r="E35" s="517" t="str">
        <f t="shared" si="20"/>
        <v>✓</v>
      </c>
      <c r="F35" s="518"/>
      <c r="G35" s="520">
        <v>78.09</v>
      </c>
      <c r="H35" s="863">
        <v>78.09</v>
      </c>
      <c r="I35" s="520"/>
      <c r="J35" s="520"/>
      <c r="K35" s="520"/>
      <c r="L35" s="520"/>
      <c r="M35" s="617"/>
      <c r="N35" s="239"/>
      <c r="O35" s="110"/>
      <c r="P35" s="111"/>
      <c r="Q35" s="522"/>
      <c r="R35" s="523"/>
      <c r="S35" s="839"/>
      <c r="T35" s="839" t="e">
        <f t="shared" si="21"/>
        <v>#DIV/0!</v>
      </c>
      <c r="U35" s="839" t="e">
        <f>Passby_Length_Adj!J39/ITE_LUC_Rates!P35</f>
        <v>#DIV/0!</v>
      </c>
      <c r="V35" s="839" t="e">
        <f>8.21*Passby_Length_Adj!H39/ITE_LUC_Rates!O35</f>
        <v>#DIV/0!</v>
      </c>
      <c r="W35" s="839" t="e">
        <f t="shared" si="22"/>
        <v>#DIV/0!</v>
      </c>
      <c r="X35" s="111"/>
      <c r="Y35" s="814">
        <f>FEE_3_Out!S44</f>
        <v>23789.41299926498</v>
      </c>
      <c r="Z35" s="814">
        <f>FEE_3_Out!H44</f>
        <v>24342.611180021777</v>
      </c>
      <c r="AA35" s="807">
        <f t="shared" ref="AA35:AA66" si="23">F35*O35*P35*0.98</f>
        <v>0</v>
      </c>
      <c r="AB35" s="807">
        <f>FEE_3_Out!Q44*2</f>
        <v>181.79943569071276</v>
      </c>
      <c r="AC35" s="826">
        <f t="shared" si="4"/>
        <v>0</v>
      </c>
      <c r="AD35" s="808">
        <f t="shared" si="5"/>
        <v>0</v>
      </c>
      <c r="AE35" s="808">
        <f t="shared" si="6"/>
        <v>0</v>
      </c>
      <c r="AF35" s="811">
        <f t="shared" si="7"/>
        <v>0</v>
      </c>
      <c r="AG35" s="811">
        <f t="shared" si="8"/>
        <v>0</v>
      </c>
      <c r="AH35" s="811"/>
      <c r="AI35" s="811"/>
      <c r="AJ35" s="111">
        <v>33</v>
      </c>
      <c r="AK35" s="111"/>
      <c r="AL35" s="874" t="s">
        <v>449</v>
      </c>
      <c r="AM35" s="871">
        <f t="shared" si="12"/>
        <v>0</v>
      </c>
      <c r="AN35" s="111"/>
      <c r="AO35" s="111"/>
      <c r="AP35" s="111"/>
      <c r="AQ35" s="111"/>
      <c r="AR35" s="111"/>
      <c r="AS35" s="111"/>
      <c r="AT35" s="111"/>
      <c r="AU35" s="111"/>
      <c r="AV35" s="111"/>
      <c r="AW35" s="111"/>
      <c r="AX35" s="111"/>
      <c r="AY35" s="111"/>
      <c r="AZ35" s="111"/>
      <c r="BA35" s="111"/>
      <c r="BB35" s="111"/>
      <c r="BC35" s="111"/>
      <c r="BD35" s="111"/>
      <c r="BE35" s="111"/>
      <c r="BF35" s="239"/>
      <c r="BG35" s="239"/>
      <c r="BH35" s="239"/>
      <c r="BI35" s="239"/>
    </row>
    <row r="36" spans="1:61" x14ac:dyDescent="0.3">
      <c r="A36" s="515">
        <v>444</v>
      </c>
      <c r="B36" s="516" t="s">
        <v>195</v>
      </c>
      <c r="C36" s="103" t="s">
        <v>197</v>
      </c>
      <c r="D36" s="517" t="str">
        <f t="shared" si="20"/>
        <v>X</v>
      </c>
      <c r="E36" s="517" t="str">
        <f t="shared" si="20"/>
        <v>✓</v>
      </c>
      <c r="F36" s="518"/>
      <c r="G36" s="520">
        <v>220</v>
      </c>
      <c r="H36" s="863">
        <v>220</v>
      </c>
      <c r="I36" s="520"/>
      <c r="J36" s="520"/>
      <c r="K36" s="520"/>
      <c r="L36" s="520"/>
      <c r="M36" s="617"/>
      <c r="N36" s="239"/>
      <c r="O36" s="110"/>
      <c r="P36" s="111"/>
      <c r="Q36" s="522"/>
      <c r="R36" s="523"/>
      <c r="S36" s="839"/>
      <c r="T36" s="839" t="e">
        <f t="shared" si="21"/>
        <v>#DIV/0!</v>
      </c>
      <c r="U36" s="839" t="e">
        <f>Passby_Length_Adj!J40/ITE_LUC_Rates!P36</f>
        <v>#DIV/0!</v>
      </c>
      <c r="V36" s="839" t="e">
        <f>8.21*Passby_Length_Adj!H40/ITE_LUC_Rates!O36</f>
        <v>#DIV/0!</v>
      </c>
      <c r="W36" s="839" t="e">
        <f t="shared" si="22"/>
        <v>#DIV/0!</v>
      </c>
      <c r="X36" s="111"/>
      <c r="Y36" s="814">
        <f>FEE_3_Out!S45</f>
        <v>67021.012419494131</v>
      </c>
      <c r="Z36" s="814">
        <f>FEE_3_Out!H45</f>
        <v>68579.516706425828</v>
      </c>
      <c r="AA36" s="807">
        <f t="shared" si="23"/>
        <v>0</v>
      </c>
      <c r="AB36" s="807">
        <f>FEE_3_Out!Q45*2</f>
        <v>512.17666605143825</v>
      </c>
      <c r="AC36" s="826">
        <f t="shared" si="4"/>
        <v>0</v>
      </c>
      <c r="AD36" s="808">
        <f t="shared" si="5"/>
        <v>0</v>
      </c>
      <c r="AE36" s="808">
        <f t="shared" si="6"/>
        <v>0</v>
      </c>
      <c r="AF36" s="811">
        <f t="shared" si="7"/>
        <v>0</v>
      </c>
      <c r="AG36" s="811">
        <f t="shared" si="8"/>
        <v>0</v>
      </c>
      <c r="AH36" s="811"/>
      <c r="AI36" s="811"/>
      <c r="AJ36" s="111">
        <v>34</v>
      </c>
      <c r="AK36" s="111"/>
      <c r="AL36" s="874" t="s">
        <v>450</v>
      </c>
      <c r="AM36" s="871">
        <f t="shared" si="12"/>
        <v>0</v>
      </c>
      <c r="AN36" s="111"/>
      <c r="AO36" s="111"/>
      <c r="AP36" s="111"/>
      <c r="AQ36" s="111"/>
      <c r="AR36" s="111"/>
      <c r="AS36" s="111"/>
      <c r="AT36" s="111"/>
      <c r="AU36" s="111"/>
      <c r="AV36" s="111"/>
      <c r="AW36" s="111"/>
      <c r="AX36" s="111"/>
      <c r="AY36" s="111"/>
      <c r="AZ36" s="111"/>
      <c r="BA36" s="111"/>
      <c r="BB36" s="111"/>
      <c r="BC36" s="111"/>
      <c r="BD36" s="111"/>
      <c r="BE36" s="111"/>
      <c r="BF36" s="239"/>
      <c r="BG36" s="239"/>
      <c r="BH36" s="239"/>
      <c r="BI36" s="239"/>
    </row>
    <row r="37" spans="1:61" x14ac:dyDescent="0.3">
      <c r="A37" s="515">
        <v>480</v>
      </c>
      <c r="B37" s="516" t="s">
        <v>199</v>
      </c>
      <c r="C37" s="103" t="s">
        <v>200</v>
      </c>
      <c r="D37" s="517" t="str">
        <f t="shared" si="20"/>
        <v>✓</v>
      </c>
      <c r="E37" s="517" t="str">
        <f t="shared" si="20"/>
        <v>✓</v>
      </c>
      <c r="F37" s="518">
        <v>75.760000000000005</v>
      </c>
      <c r="G37" s="520">
        <v>53.41</v>
      </c>
      <c r="H37" s="863">
        <v>53.41</v>
      </c>
      <c r="I37" s="520"/>
      <c r="J37" s="520"/>
      <c r="K37" s="520"/>
      <c r="L37" s="520"/>
      <c r="M37" s="617">
        <f t="shared" si="0"/>
        <v>78153.340987794232</v>
      </c>
      <c r="N37" s="239"/>
      <c r="O37" s="110">
        <v>6.3</v>
      </c>
      <c r="P37" s="521">
        <v>1</v>
      </c>
      <c r="Q37" s="522">
        <v>78154.13</v>
      </c>
      <c r="R37" s="523">
        <f t="shared" si="1"/>
        <v>1.0000100956938731</v>
      </c>
      <c r="S37" s="839"/>
      <c r="T37" s="839">
        <f t="shared" si="21"/>
        <v>0.70498944033790911</v>
      </c>
      <c r="U37" s="839">
        <f>Passby_Length_Adj!J41/ITE_LUC_Rates!P37</f>
        <v>1</v>
      </c>
      <c r="V37" s="839">
        <f>8.21*Passby_Length_Adj!H41/ITE_LUC_Rates!O37</f>
        <v>0.83181056087510608</v>
      </c>
      <c r="W37" s="839">
        <f t="shared" si="22"/>
        <v>0.5864176617785033</v>
      </c>
      <c r="X37" s="111"/>
      <c r="Y37" s="814">
        <f>FEE_3_Out!S46</f>
        <v>35273.065314104715</v>
      </c>
      <c r="Z37" s="814">
        <f>FEE_3_Out!H46</f>
        <v>36093.30394555314</v>
      </c>
      <c r="AA37" s="807">
        <f t="shared" si="23"/>
        <v>467.74223999999998</v>
      </c>
      <c r="AB37" s="807">
        <f>FEE_3_Out!Q46*2</f>
        <v>269.55786464273086</v>
      </c>
      <c r="AC37" s="826">
        <f t="shared" si="4"/>
        <v>-0.423704250779808</v>
      </c>
      <c r="AD37" s="808">
        <f t="shared" si="5"/>
        <v>-0.29501055966209089</v>
      </c>
      <c r="AE37" s="808">
        <f t="shared" si="6"/>
        <v>-0.12869369111771711</v>
      </c>
      <c r="AF37" s="811">
        <f t="shared" si="7"/>
        <v>-0.54867304755225721</v>
      </c>
      <c r="AG37" s="811">
        <f t="shared" si="8"/>
        <v>-0.53817790633005402</v>
      </c>
      <c r="AH37" s="811"/>
      <c r="AI37" s="811"/>
      <c r="AJ37" s="111">
        <v>35</v>
      </c>
      <c r="AK37" s="111"/>
      <c r="AL37" s="874"/>
      <c r="AM37" s="871">
        <f t="shared" si="12"/>
        <v>0</v>
      </c>
      <c r="AN37" s="111"/>
      <c r="AO37" s="111"/>
      <c r="AP37" s="111"/>
      <c r="AQ37" s="111"/>
      <c r="AR37" s="111"/>
      <c r="AS37" s="111"/>
      <c r="AT37" s="111"/>
      <c r="AU37" s="111"/>
      <c r="AV37" s="111"/>
      <c r="AW37" s="111"/>
      <c r="AX37" s="111"/>
      <c r="AY37" s="111"/>
      <c r="AZ37" s="111"/>
      <c r="BA37" s="111"/>
      <c r="BB37" s="111"/>
      <c r="BC37" s="111"/>
      <c r="BD37" s="111"/>
      <c r="BE37" s="111"/>
      <c r="BF37" s="239"/>
      <c r="BG37" s="239"/>
      <c r="BH37" s="239"/>
      <c r="BI37" s="239"/>
    </row>
    <row r="38" spans="1:61" x14ac:dyDescent="0.3">
      <c r="A38" s="515">
        <v>490</v>
      </c>
      <c r="B38" s="516" t="s">
        <v>202</v>
      </c>
      <c r="C38" s="103" t="s">
        <v>203</v>
      </c>
      <c r="D38" s="517" t="str">
        <f t="shared" si="20"/>
        <v>✓</v>
      </c>
      <c r="E38" s="517" t="str">
        <f t="shared" si="20"/>
        <v>✓</v>
      </c>
      <c r="F38" s="518">
        <v>31.04</v>
      </c>
      <c r="G38" s="520">
        <v>30.32</v>
      </c>
      <c r="H38" s="863">
        <v>30.32</v>
      </c>
      <c r="I38" s="520"/>
      <c r="J38" s="520"/>
      <c r="K38" s="520"/>
      <c r="L38" s="520"/>
      <c r="M38" s="617">
        <f t="shared" si="0"/>
        <v>32020.587437448958</v>
      </c>
      <c r="N38" s="239"/>
      <c r="O38" s="239">
        <v>6.3</v>
      </c>
      <c r="P38" s="521">
        <v>1</v>
      </c>
      <c r="Q38" s="522">
        <v>32020.234</v>
      </c>
      <c r="R38" s="523">
        <f t="shared" si="1"/>
        <v>0.99998896218098288</v>
      </c>
      <c r="S38" s="839"/>
      <c r="T38" s="839">
        <f t="shared" si="21"/>
        <v>0.97680412371134029</v>
      </c>
      <c r="U38" s="839">
        <f>Passby_Length_Adj!J42/ITE_LUC_Rates!P38</f>
        <v>1</v>
      </c>
      <c r="V38" s="839">
        <f>8.21*Passby_Length_Adj!H42/ITE_LUC_Rates!O38</f>
        <v>0.83181056087510608</v>
      </c>
      <c r="W38" s="839">
        <f t="shared" si="22"/>
        <v>0.81251598600944641</v>
      </c>
      <c r="X38" s="111"/>
      <c r="Y38" s="814">
        <f>FEE_3_Out!S47</f>
        <v>20023.953198345909</v>
      </c>
      <c r="Z38" s="814">
        <f>FEE_3_Out!H47</f>
        <v>20489.589508129025</v>
      </c>
      <c r="AA38" s="807">
        <f t="shared" si="23"/>
        <v>191.64095999999998</v>
      </c>
      <c r="AB38" s="807">
        <f>FEE_3_Out!Q47*2</f>
        <v>153.02367451727392</v>
      </c>
      <c r="AC38" s="826">
        <f t="shared" si="4"/>
        <v>-0.2015085161477278</v>
      </c>
      <c r="AD38" s="808">
        <f t="shared" si="5"/>
        <v>-2.3195876288659711E-2</v>
      </c>
      <c r="AE38" s="808">
        <f t="shared" si="6"/>
        <v>-0.17831263985906809</v>
      </c>
      <c r="AF38" s="811">
        <f t="shared" si="7"/>
        <v>-0.37464688114565592</v>
      </c>
      <c r="AG38" s="811">
        <f t="shared" si="8"/>
        <v>-0.36010494151513617</v>
      </c>
      <c r="AH38" s="811"/>
      <c r="AI38" s="811"/>
      <c r="AJ38" s="111">
        <v>36</v>
      </c>
      <c r="AK38" s="111"/>
      <c r="AL38" s="874"/>
      <c r="AM38" s="871">
        <f t="shared" si="12"/>
        <v>0</v>
      </c>
      <c r="AN38" s="111"/>
      <c r="AO38" s="111"/>
      <c r="AP38" s="111"/>
      <c r="AQ38" s="111"/>
      <c r="AR38" s="111"/>
      <c r="AS38" s="111"/>
      <c r="AT38" s="111"/>
      <c r="AU38" s="111"/>
      <c r="AV38" s="111"/>
      <c r="AW38" s="111"/>
      <c r="AX38" s="111"/>
      <c r="AY38" s="111"/>
      <c r="AZ38" s="111"/>
      <c r="BA38" s="111"/>
      <c r="BB38" s="111"/>
      <c r="BC38" s="111"/>
      <c r="BD38" s="111"/>
      <c r="BE38" s="111"/>
      <c r="BF38" s="239"/>
      <c r="BG38" s="239"/>
      <c r="BH38" s="239"/>
      <c r="BI38" s="239"/>
    </row>
    <row r="39" spans="1:61" x14ac:dyDescent="0.3">
      <c r="A39" s="515">
        <v>491</v>
      </c>
      <c r="B39" s="516" t="s">
        <v>451</v>
      </c>
      <c r="C39" s="103" t="s">
        <v>203</v>
      </c>
      <c r="D39" s="517" t="str">
        <f t="shared" si="20"/>
        <v>✓</v>
      </c>
      <c r="E39" s="517" t="str">
        <f t="shared" si="20"/>
        <v>✓</v>
      </c>
      <c r="F39" s="518">
        <v>38.700000000000003</v>
      </c>
      <c r="G39" s="519">
        <v>38.700000000000003</v>
      </c>
      <c r="H39" s="863">
        <v>27.71</v>
      </c>
      <c r="I39" s="520"/>
      <c r="J39" s="520"/>
      <c r="K39" s="520"/>
      <c r="L39" s="520"/>
      <c r="M39" s="617">
        <f t="shared" si="0"/>
        <v>39922.5751877988</v>
      </c>
      <c r="N39" s="239"/>
      <c r="O39" s="110">
        <v>6.3</v>
      </c>
      <c r="P39" s="521">
        <v>1</v>
      </c>
      <c r="Q39" s="522">
        <v>39922.269999999997</v>
      </c>
      <c r="R39" s="523">
        <f t="shared" si="1"/>
        <v>0.99999235550819632</v>
      </c>
      <c r="S39" s="839"/>
      <c r="T39" s="839">
        <f t="shared" si="21"/>
        <v>1</v>
      </c>
      <c r="U39" s="839">
        <f>Passby_Length_Adj!J43/ITE_LUC_Rates!P39</f>
        <v>1</v>
      </c>
      <c r="V39" s="839">
        <f>8.21*Passby_Length_Adj!H43/ITE_LUC_Rates!O39</f>
        <v>0.83181056087510608</v>
      </c>
      <c r="W39" s="839">
        <f t="shared" si="22"/>
        <v>0.83181056087510608</v>
      </c>
      <c r="X39" s="111"/>
      <c r="Y39" s="814">
        <f>FEE_3_Out!S48</f>
        <v>25558.277993930966</v>
      </c>
      <c r="Z39" s="814">
        <f>FEE_3_Out!H48</f>
        <v>26152.609299623797</v>
      </c>
      <c r="AA39" s="807">
        <f t="shared" si="23"/>
        <v>238.93379999999999</v>
      </c>
      <c r="AB39" s="807">
        <f>FEE_3_Out!Q48*2</f>
        <v>195.31715711802448</v>
      </c>
      <c r="AC39" s="826">
        <f t="shared" si="4"/>
        <v>-0.18254697695334654</v>
      </c>
      <c r="AD39" s="808">
        <f t="shared" si="5"/>
        <v>0</v>
      </c>
      <c r="AE39" s="808">
        <f t="shared" si="6"/>
        <v>-0.18254697695334654</v>
      </c>
      <c r="AF39" s="811">
        <f t="shared" si="7"/>
        <v>-0.35979897951867545</v>
      </c>
      <c r="AG39" s="811">
        <f t="shared" si="8"/>
        <v>-0.34491176730121309</v>
      </c>
      <c r="AH39" s="811"/>
      <c r="AI39" s="811"/>
      <c r="AJ39" s="111">
        <v>37</v>
      </c>
      <c r="AK39" s="111"/>
      <c r="AL39" s="874"/>
      <c r="AM39" s="871">
        <f t="shared" si="12"/>
        <v>0.28397932816537469</v>
      </c>
      <c r="AN39" s="111"/>
      <c r="AO39" s="111"/>
      <c r="AP39" s="111"/>
      <c r="AQ39" s="111"/>
      <c r="AR39" s="111"/>
      <c r="AS39" s="111"/>
      <c r="AT39" s="111"/>
      <c r="AU39" s="111"/>
      <c r="AV39" s="111"/>
      <c r="AW39" s="111"/>
      <c r="AX39" s="111"/>
      <c r="AY39" s="111"/>
      <c r="AZ39" s="111"/>
      <c r="BA39" s="111"/>
      <c r="BB39" s="111"/>
      <c r="BC39" s="111"/>
      <c r="BD39" s="111"/>
      <c r="BE39" s="111"/>
      <c r="BF39" s="239"/>
      <c r="BG39" s="239"/>
      <c r="BH39" s="239"/>
      <c r="BI39" s="239"/>
    </row>
    <row r="40" spans="1:61" x14ac:dyDescent="0.3">
      <c r="A40" s="515">
        <v>492</v>
      </c>
      <c r="B40" s="516" t="s">
        <v>207</v>
      </c>
      <c r="C40" s="103" t="s">
        <v>112</v>
      </c>
      <c r="D40" s="517" t="str">
        <f t="shared" si="20"/>
        <v>✓</v>
      </c>
      <c r="E40" s="517" t="str">
        <f t="shared" si="20"/>
        <v>✓</v>
      </c>
      <c r="F40" s="518">
        <v>4.0199999999999996</v>
      </c>
      <c r="G40" s="519">
        <v>4.0199999999999996</v>
      </c>
      <c r="H40" s="863">
        <v>1.31</v>
      </c>
      <c r="I40" s="520"/>
      <c r="J40" s="520"/>
      <c r="K40" s="520"/>
      <c r="L40" s="520"/>
      <c r="M40" s="617">
        <f t="shared" si="0"/>
        <v>4146.9961822984797</v>
      </c>
      <c r="N40" s="239"/>
      <c r="O40" s="110">
        <v>6.3</v>
      </c>
      <c r="P40" s="521">
        <v>1</v>
      </c>
      <c r="Q40" s="522">
        <v>4147.8</v>
      </c>
      <c r="R40" s="523">
        <f t="shared" si="1"/>
        <v>1.0001938313097445</v>
      </c>
      <c r="S40" s="839"/>
      <c r="T40" s="839">
        <f t="shared" si="21"/>
        <v>1</v>
      </c>
      <c r="U40" s="839">
        <f>Passby_Length_Adj!J44/ITE_LUC_Rates!P40</f>
        <v>0.94</v>
      </c>
      <c r="V40" s="839">
        <f>8.21*Passby_Length_Adj!H44/ITE_LUC_Rates!O40</f>
        <v>0.83181056087510608</v>
      </c>
      <c r="W40" s="839">
        <f t="shared" si="22"/>
        <v>0.78190192722259966</v>
      </c>
      <c r="X40" s="111"/>
      <c r="Y40" s="814">
        <f>FEE_3_Out!S49</f>
        <v>2495.5974388492587</v>
      </c>
      <c r="Z40" s="814">
        <f>FEE_3_Out!H49</f>
        <v>2553.6299747136532</v>
      </c>
      <c r="AA40" s="807">
        <f t="shared" si="23"/>
        <v>24.819479999999995</v>
      </c>
      <c r="AB40" s="807">
        <f>FEE_3_Out!Q49*2</f>
        <v>19.07143341905919</v>
      </c>
      <c r="AC40" s="826">
        <f t="shared" si="4"/>
        <v>-0.23159415833614594</v>
      </c>
      <c r="AD40" s="808">
        <f t="shared" si="5"/>
        <v>0</v>
      </c>
      <c r="AE40" s="808">
        <f t="shared" si="6"/>
        <v>-0.23159415833614594</v>
      </c>
      <c r="AF40" s="811">
        <f t="shared" si="7"/>
        <v>-0.39833226316378356</v>
      </c>
      <c r="AG40" s="811">
        <f t="shared" si="8"/>
        <v>-0.38434110258121101</v>
      </c>
      <c r="AH40" s="811"/>
      <c r="AI40" s="811"/>
      <c r="AJ40" s="111">
        <v>38</v>
      </c>
      <c r="AK40" s="111"/>
      <c r="AL40" s="874"/>
      <c r="AM40" s="871">
        <f t="shared" si="12"/>
        <v>0.67412935323383083</v>
      </c>
      <c r="AN40" s="111"/>
      <c r="AO40" s="111"/>
      <c r="AP40" s="111"/>
      <c r="AQ40" s="111"/>
      <c r="AR40" s="111"/>
      <c r="AS40" s="111"/>
      <c r="AT40" s="111"/>
      <c r="AU40" s="111"/>
      <c r="AV40" s="111"/>
      <c r="AW40" s="111"/>
      <c r="AX40" s="111"/>
      <c r="AY40" s="111"/>
      <c r="AZ40" s="111"/>
      <c r="BA40" s="111"/>
      <c r="BB40" s="111"/>
      <c r="BC40" s="111"/>
      <c r="BD40" s="111"/>
      <c r="BE40" s="111"/>
      <c r="BF40" s="239"/>
      <c r="BG40" s="239"/>
      <c r="BH40" s="239"/>
      <c r="BI40" s="239"/>
    </row>
    <row r="41" spans="1:61" x14ac:dyDescent="0.3">
      <c r="A41" s="515">
        <v>495</v>
      </c>
      <c r="B41" s="516" t="s">
        <v>209</v>
      </c>
      <c r="C41" s="103" t="s">
        <v>112</v>
      </c>
      <c r="D41" s="517" t="str">
        <f t="shared" si="20"/>
        <v>X</v>
      </c>
      <c r="E41" s="517" t="str">
        <f t="shared" si="20"/>
        <v>✓</v>
      </c>
      <c r="F41" s="518"/>
      <c r="G41" s="520">
        <v>28.82</v>
      </c>
      <c r="H41" s="863">
        <v>28.82</v>
      </c>
      <c r="I41" s="520"/>
      <c r="J41" s="520"/>
      <c r="K41" s="520"/>
      <c r="L41" s="520"/>
      <c r="M41" s="617"/>
      <c r="N41" s="239"/>
      <c r="O41" s="110"/>
      <c r="P41" s="521"/>
      <c r="Q41" s="522"/>
      <c r="R41" s="523"/>
      <c r="S41" s="839"/>
      <c r="T41" s="839" t="e">
        <f t="shared" si="21"/>
        <v>#DIV/0!</v>
      </c>
      <c r="U41" s="839" t="e">
        <f>Passby_Length_Adj!J45/ITE_LUC_Rates!P41</f>
        <v>#DIV/0!</v>
      </c>
      <c r="V41" s="839" t="e">
        <f>8.21*Passby_Length_Adj!H45/ITE_LUC_Rates!O41</f>
        <v>#DIV/0!</v>
      </c>
      <c r="W41" s="839" t="e">
        <f t="shared" si="22"/>
        <v>#DIV/0!</v>
      </c>
      <c r="X41" s="111"/>
      <c r="Y41" s="814">
        <f>FEE_3_Out!S50</f>
        <v>19033.322268348587</v>
      </c>
      <c r="Z41" s="814">
        <f>FEE_3_Out!H50</f>
        <v>19475.922481011825</v>
      </c>
      <c r="AA41" s="807">
        <f t="shared" si="23"/>
        <v>0</v>
      </c>
      <c r="AB41" s="807">
        <f>FEE_3_Out!Q50*2</f>
        <v>145.45324207083888</v>
      </c>
      <c r="AC41" s="826">
        <f t="shared" si="4"/>
        <v>0</v>
      </c>
      <c r="AD41" s="808">
        <f t="shared" si="5"/>
        <v>0</v>
      </c>
      <c r="AE41" s="808">
        <f t="shared" si="6"/>
        <v>0</v>
      </c>
      <c r="AF41" s="811">
        <f t="shared" si="7"/>
        <v>0</v>
      </c>
      <c r="AG41" s="811">
        <f t="shared" si="8"/>
        <v>0</v>
      </c>
      <c r="AH41" s="811"/>
      <c r="AI41" s="811"/>
      <c r="AJ41" s="111">
        <v>39</v>
      </c>
      <c r="AK41" s="111"/>
      <c r="AL41" s="874"/>
      <c r="AM41" s="871">
        <f t="shared" si="12"/>
        <v>0</v>
      </c>
      <c r="AN41" s="111"/>
      <c r="AO41" s="111"/>
      <c r="AP41" s="111"/>
      <c r="AQ41" s="111"/>
      <c r="AR41" s="111"/>
      <c r="AS41" s="111"/>
      <c r="AT41" s="111"/>
      <c r="AU41" s="111"/>
      <c r="AV41" s="111"/>
      <c r="AW41" s="111"/>
      <c r="AX41" s="111"/>
      <c r="AY41" s="111"/>
      <c r="AZ41" s="111"/>
      <c r="BA41" s="111"/>
      <c r="BB41" s="111"/>
      <c r="BC41" s="111"/>
      <c r="BD41" s="111"/>
      <c r="BE41" s="111"/>
      <c r="BF41" s="239"/>
      <c r="BG41" s="239"/>
      <c r="BH41" s="239"/>
      <c r="BI41" s="239"/>
    </row>
    <row r="42" spans="1:61" s="136" customFormat="1" x14ac:dyDescent="0.3">
      <c r="A42" s="505" t="s">
        <v>452</v>
      </c>
      <c r="B42" s="506"/>
      <c r="C42" s="507"/>
      <c r="D42" s="508"/>
      <c r="E42" s="508"/>
      <c r="F42" s="534"/>
      <c r="G42" s="535"/>
      <c r="H42" s="863"/>
      <c r="I42" s="535"/>
      <c r="J42" s="535"/>
      <c r="K42" s="535"/>
      <c r="L42" s="535"/>
      <c r="M42" s="615"/>
      <c r="N42" s="616"/>
      <c r="O42" s="511"/>
      <c r="P42" s="512"/>
      <c r="Q42" s="536"/>
      <c r="R42" s="514"/>
      <c r="S42" s="838"/>
      <c r="T42" s="838"/>
      <c r="U42" s="838"/>
      <c r="V42" s="839" t="e">
        <f>8.21*Passby_Length_Adj!H46/ITE_LUC_Rates!O42</f>
        <v>#DIV/0!</v>
      </c>
      <c r="W42" s="838"/>
      <c r="X42" s="111"/>
      <c r="Y42" s="814">
        <f>FEE_3_Out!S51</f>
        <v>0</v>
      </c>
      <c r="Z42" s="814">
        <f>FEE_3_Out!H51</f>
        <v>0</v>
      </c>
      <c r="AA42" s="807">
        <f t="shared" si="23"/>
        <v>0</v>
      </c>
      <c r="AB42" s="807">
        <f>FEE_3_Out!Q51*2</f>
        <v>0</v>
      </c>
      <c r="AC42" s="826">
        <f t="shared" si="4"/>
        <v>0</v>
      </c>
      <c r="AD42" s="808">
        <f t="shared" si="5"/>
        <v>0</v>
      </c>
      <c r="AE42" s="808">
        <f t="shared" si="6"/>
        <v>0</v>
      </c>
      <c r="AF42" s="811">
        <f t="shared" si="7"/>
        <v>0</v>
      </c>
      <c r="AG42" s="811">
        <f t="shared" si="8"/>
        <v>0</v>
      </c>
      <c r="AH42" s="811"/>
      <c r="AI42" s="811"/>
      <c r="AJ42" s="111">
        <v>40</v>
      </c>
      <c r="AK42" s="111"/>
      <c r="AL42" s="874"/>
      <c r="AM42" s="871"/>
      <c r="AN42" s="111"/>
      <c r="AO42" s="111"/>
      <c r="AP42" s="111"/>
      <c r="AQ42" s="111"/>
      <c r="AR42" s="111"/>
      <c r="AS42" s="111"/>
      <c r="AT42" s="111"/>
      <c r="AU42" s="111"/>
      <c r="AV42" s="111"/>
      <c r="AW42" s="111"/>
      <c r="AX42" s="111"/>
      <c r="AY42" s="111"/>
      <c r="AZ42" s="111"/>
      <c r="BA42" s="111"/>
      <c r="BB42" s="111"/>
      <c r="BC42" s="111"/>
      <c r="BD42" s="111"/>
      <c r="BE42" s="111"/>
      <c r="BF42" s="239"/>
      <c r="BG42" s="239"/>
      <c r="BH42" s="239"/>
      <c r="BI42" s="239"/>
    </row>
    <row r="43" spans="1:61" x14ac:dyDescent="0.3">
      <c r="A43" s="515">
        <v>520</v>
      </c>
      <c r="B43" s="516" t="s">
        <v>211</v>
      </c>
      <c r="C43" s="103" t="s">
        <v>212</v>
      </c>
      <c r="D43" s="517" t="str">
        <f t="shared" ref="D43:D51" si="24">IF(F43,"✓","X")</f>
        <v>✓</v>
      </c>
      <c r="E43" s="517" t="str">
        <f t="shared" ref="E43:E51" si="25">IF(G43,"✓","X")</f>
        <v>✓</v>
      </c>
      <c r="F43" s="518">
        <v>1.29</v>
      </c>
      <c r="G43" s="520">
        <v>1.89</v>
      </c>
      <c r="H43" s="867">
        <v>0.93</v>
      </c>
      <c r="I43" s="520"/>
      <c r="J43" s="520"/>
      <c r="K43" s="520"/>
      <c r="L43" s="520"/>
      <c r="M43" s="617">
        <f t="shared" si="0"/>
        <v>198.02864676487505</v>
      </c>
      <c r="N43" s="239"/>
      <c r="O43" s="110">
        <v>1.25</v>
      </c>
      <c r="P43" s="521">
        <v>0.75</v>
      </c>
      <c r="Q43" s="522">
        <v>198.476</v>
      </c>
      <c r="R43" s="523">
        <f t="shared" si="1"/>
        <v>1.0022590329350485</v>
      </c>
      <c r="S43" s="839"/>
      <c r="T43" s="839">
        <f t="shared" ref="T43:T51" si="26">G43/F43</f>
        <v>1.4651162790697674</v>
      </c>
      <c r="U43" s="839">
        <f>Passby_Length_Adj!J47/ITE_LUC_Rates!P43</f>
        <v>0.71415270018621968</v>
      </c>
      <c r="V43" s="839">
        <f>8.21*Passby_Length_Adj!H47/ITE_LUC_Rates!O43</f>
        <v>5.7150544962945151</v>
      </c>
      <c r="W43" s="839">
        <f t="shared" ref="W43:W51" si="27">V43*U43*T43</f>
        <v>5.9797572282587863</v>
      </c>
      <c r="X43" s="111"/>
      <c r="Y43" s="814">
        <f>FEE_3_Out!S52</f>
        <v>911.38144888349302</v>
      </c>
      <c r="Z43" s="814">
        <f>FEE_3_Out!H52</f>
        <v>932.57468133161706</v>
      </c>
      <c r="AA43" s="807">
        <f t="shared" si="23"/>
        <v>1.1851875000000001</v>
      </c>
      <c r="AB43" s="807">
        <f>FEE_3_Out!Q52*2</f>
        <v>6.96480544144248</v>
      </c>
      <c r="AC43" s="826">
        <f t="shared" si="4"/>
        <v>4.8765431135938231</v>
      </c>
      <c r="AD43" s="808">
        <f t="shared" si="5"/>
        <v>0.46511627906976738</v>
      </c>
      <c r="AE43" s="808">
        <f t="shared" si="6"/>
        <v>4.4114268345240557</v>
      </c>
      <c r="AF43" s="811">
        <f t="shared" si="7"/>
        <v>3.591897503393322</v>
      </c>
      <c r="AG43" s="811">
        <f t="shared" si="8"/>
        <v>3.6986773278966583</v>
      </c>
      <c r="AH43" s="811"/>
      <c r="AI43" s="811"/>
      <c r="AJ43" s="111">
        <v>41</v>
      </c>
      <c r="AK43" s="111"/>
      <c r="AL43" s="874"/>
      <c r="AM43" s="871">
        <f t="shared" si="12"/>
        <v>0.50793650793650791</v>
      </c>
      <c r="AN43" s="111"/>
      <c r="AO43" s="111"/>
      <c r="AP43" s="111"/>
      <c r="AQ43" s="111"/>
      <c r="AR43" s="111"/>
      <c r="AS43" s="111"/>
      <c r="AT43" s="111"/>
      <c r="AU43" s="111"/>
      <c r="AV43" s="111"/>
      <c r="AW43" s="111"/>
      <c r="AX43" s="111"/>
      <c r="AY43" s="111"/>
      <c r="AZ43" s="111"/>
      <c r="BA43" s="111"/>
      <c r="BB43" s="111"/>
      <c r="BC43" s="111"/>
      <c r="BD43" s="111"/>
      <c r="BE43" s="111"/>
      <c r="BF43" s="239"/>
      <c r="BG43" s="239"/>
      <c r="BH43" s="239"/>
      <c r="BI43" s="239"/>
    </row>
    <row r="44" spans="1:61" x14ac:dyDescent="0.3">
      <c r="A44" s="515">
        <v>530</v>
      </c>
      <c r="B44" s="516" t="s">
        <v>214</v>
      </c>
      <c r="C44" s="103" t="s">
        <v>212</v>
      </c>
      <c r="D44" s="517" t="str">
        <f t="shared" si="24"/>
        <v>✓</v>
      </c>
      <c r="E44" s="517" t="str">
        <f t="shared" si="25"/>
        <v>✓</v>
      </c>
      <c r="F44" s="518">
        <v>1.71</v>
      </c>
      <c r="G44" s="520">
        <v>2.0299999999999998</v>
      </c>
      <c r="H44" s="867">
        <v>1.94</v>
      </c>
      <c r="I44" s="520"/>
      <c r="J44" s="520"/>
      <c r="K44" s="520"/>
      <c r="L44" s="520"/>
      <c r="M44" s="617">
        <f t="shared" si="0"/>
        <v>1120.0131835632001</v>
      </c>
      <c r="N44" s="239"/>
      <c r="O44" s="110">
        <v>4</v>
      </c>
      <c r="P44" s="521">
        <v>1</v>
      </c>
      <c r="Q44" s="522">
        <v>1120.212</v>
      </c>
      <c r="R44" s="523">
        <f t="shared" si="1"/>
        <v>1.0001775125862067</v>
      </c>
      <c r="S44" s="839"/>
      <c r="T44" s="839">
        <f t="shared" si="26"/>
        <v>1.1871345029239766</v>
      </c>
      <c r="U44" s="839">
        <f>Passby_Length_Adj!J48/ITE_LUC_Rates!P44</f>
        <v>0.53561452513966479</v>
      </c>
      <c r="V44" s="839">
        <f>8.21*Passby_Length_Adj!H48/ITE_LUC_Rates!O44</f>
        <v>1.7859545300920359</v>
      </c>
      <c r="W44" s="839">
        <f t="shared" si="27"/>
        <v>1.1355929068650563</v>
      </c>
      <c r="X44" s="111"/>
      <c r="Y44" s="814">
        <f>FEE_3_Out!S53</f>
        <v>978.89118583782556</v>
      </c>
      <c r="Z44" s="814">
        <f>FEE_3_Out!H53</f>
        <v>1001.6542873561809</v>
      </c>
      <c r="AA44" s="807">
        <f t="shared" si="23"/>
        <v>6.7031999999999998</v>
      </c>
      <c r="AB44" s="807">
        <f>FEE_3_Out!Q53*2</f>
        <v>7.4807169556234028</v>
      </c>
      <c r="AC44" s="826">
        <f t="shared" si="4"/>
        <v>0.11599190768937273</v>
      </c>
      <c r="AD44" s="808">
        <f t="shared" si="5"/>
        <v>0.1871345029239766</v>
      </c>
      <c r="AE44" s="808">
        <f t="shared" si="6"/>
        <v>-7.1142595234603867E-2</v>
      </c>
      <c r="AF44" s="811">
        <f t="shared" si="7"/>
        <v>-0.1261554189404992</v>
      </c>
      <c r="AG44" s="811">
        <f t="shared" si="8"/>
        <v>-0.10583506750848859</v>
      </c>
      <c r="AH44" s="811"/>
      <c r="AI44" s="811"/>
      <c r="AJ44" s="111">
        <v>42</v>
      </c>
      <c r="AK44" s="111"/>
      <c r="AL44" s="874"/>
      <c r="AM44" s="871">
        <f t="shared" si="12"/>
        <v>4.433497536945806E-2</v>
      </c>
      <c r="AN44" s="111"/>
      <c r="AO44" s="111"/>
      <c r="AP44" s="111"/>
      <c r="AQ44" s="111"/>
      <c r="AR44" s="111"/>
      <c r="AS44" s="111"/>
      <c r="AT44" s="111"/>
      <c r="AU44" s="111"/>
      <c r="AV44" s="111"/>
      <c r="AW44" s="111"/>
      <c r="AX44" s="111"/>
      <c r="AY44" s="111"/>
      <c r="AZ44" s="111"/>
      <c r="BA44" s="111"/>
      <c r="BB44" s="111"/>
      <c r="BC44" s="111"/>
      <c r="BD44" s="111"/>
      <c r="BE44" s="111"/>
      <c r="BF44" s="239"/>
      <c r="BG44" s="239"/>
      <c r="BH44" s="239"/>
      <c r="BI44" s="239"/>
    </row>
    <row r="45" spans="1:61" x14ac:dyDescent="0.3">
      <c r="A45" s="515">
        <v>534</v>
      </c>
      <c r="B45" s="516" t="s">
        <v>216</v>
      </c>
      <c r="C45" s="103" t="s">
        <v>212</v>
      </c>
      <c r="D45" s="517" t="str">
        <f t="shared" si="24"/>
        <v>X</v>
      </c>
      <c r="E45" s="517" t="str">
        <f t="shared" si="25"/>
        <v>✓</v>
      </c>
      <c r="F45" s="518"/>
      <c r="G45" s="520">
        <v>4.1100000000000003</v>
      </c>
      <c r="H45" s="867">
        <v>4.1100000000000003</v>
      </c>
      <c r="I45" s="520"/>
      <c r="J45" s="520"/>
      <c r="K45" s="520"/>
      <c r="L45" s="520"/>
      <c r="M45" s="617"/>
      <c r="N45" s="239"/>
      <c r="O45" s="110"/>
      <c r="P45" s="111"/>
      <c r="Q45" s="522"/>
      <c r="R45" s="523"/>
      <c r="S45" s="839"/>
      <c r="T45" s="839" t="e">
        <f t="shared" si="26"/>
        <v>#DIV/0!</v>
      </c>
      <c r="U45" s="839" t="e">
        <f>Passby_Length_Adj!J49/ITE_LUC_Rates!P45</f>
        <v>#DIV/0!</v>
      </c>
      <c r="V45" s="839" t="e">
        <f>8.21*Passby_Length_Adj!H49/ITE_LUC_Rates!O45</f>
        <v>#DIV/0!</v>
      </c>
      <c r="W45" s="839" t="e">
        <f t="shared" si="27"/>
        <v>#DIV/0!</v>
      </c>
      <c r="X45" s="111"/>
      <c r="Y45" s="814">
        <f>FEE_3_Out!S54</f>
        <v>1745.2622872752561</v>
      </c>
      <c r="Z45" s="814">
        <f>FEE_3_Out!H54</f>
        <v>1785.8465556762442</v>
      </c>
      <c r="AA45" s="807">
        <f t="shared" si="23"/>
        <v>0</v>
      </c>
      <c r="AB45" s="807">
        <f>FEE_3_Out!Q54*2</f>
        <v>13.337348801701303</v>
      </c>
      <c r="AC45" s="826">
        <f t="shared" si="4"/>
        <v>0</v>
      </c>
      <c r="AD45" s="808">
        <f t="shared" si="5"/>
        <v>0</v>
      </c>
      <c r="AE45" s="808">
        <f t="shared" si="6"/>
        <v>0</v>
      </c>
      <c r="AF45" s="811">
        <f t="shared" si="7"/>
        <v>0</v>
      </c>
      <c r="AG45" s="811">
        <f t="shared" si="8"/>
        <v>0</v>
      </c>
      <c r="AH45" s="811"/>
      <c r="AI45" s="811"/>
      <c r="AJ45" s="111">
        <v>43</v>
      </c>
      <c r="AK45" s="111"/>
      <c r="AL45" s="874"/>
      <c r="AM45" s="871">
        <f t="shared" si="12"/>
        <v>0</v>
      </c>
      <c r="AN45" s="111"/>
      <c r="AO45" s="111"/>
      <c r="AP45" s="111"/>
      <c r="AQ45" s="111"/>
      <c r="AR45" s="111"/>
      <c r="AS45" s="111"/>
      <c r="AT45" s="111"/>
      <c r="AU45" s="111"/>
      <c r="AV45" s="111"/>
      <c r="AW45" s="111"/>
      <c r="AX45" s="111"/>
      <c r="AY45" s="111"/>
      <c r="AZ45" s="111"/>
      <c r="BA45" s="111"/>
      <c r="BB45" s="111"/>
      <c r="BC45" s="111"/>
      <c r="BD45" s="111"/>
      <c r="BE45" s="111"/>
      <c r="BF45" s="239"/>
      <c r="BG45" s="239"/>
      <c r="BH45" s="239"/>
      <c r="BI45" s="239"/>
    </row>
    <row r="46" spans="1:61" x14ac:dyDescent="0.3">
      <c r="A46" s="515">
        <v>536</v>
      </c>
      <c r="B46" s="516" t="s">
        <v>218</v>
      </c>
      <c r="C46" s="103" t="s">
        <v>212</v>
      </c>
      <c r="D46" s="517" t="str">
        <f t="shared" si="24"/>
        <v>X</v>
      </c>
      <c r="E46" s="517" t="str">
        <f t="shared" si="25"/>
        <v>✓</v>
      </c>
      <c r="F46" s="518"/>
      <c r="G46" s="520">
        <v>2.48</v>
      </c>
      <c r="H46" s="867">
        <v>2.48</v>
      </c>
      <c r="I46" s="520"/>
      <c r="J46" s="520"/>
      <c r="K46" s="520"/>
      <c r="L46" s="520"/>
      <c r="M46" s="617"/>
      <c r="N46" s="239"/>
      <c r="O46" s="110"/>
      <c r="P46" s="111"/>
      <c r="Q46" s="522"/>
      <c r="R46" s="523"/>
      <c r="S46" s="839"/>
      <c r="T46" s="839" t="e">
        <f t="shared" si="26"/>
        <v>#DIV/0!</v>
      </c>
      <c r="U46" s="839" t="e">
        <f>Passby_Length_Adj!J50/ITE_LUC_Rates!P46</f>
        <v>#DIV/0!</v>
      </c>
      <c r="V46" s="839" t="e">
        <f>8.21*Passby_Length_Adj!H50/ITE_LUC_Rates!O46</f>
        <v>#DIV/0!</v>
      </c>
      <c r="W46" s="839" t="e">
        <f t="shared" si="27"/>
        <v>#DIV/0!</v>
      </c>
      <c r="X46" s="111"/>
      <c r="Y46" s="814">
        <f>FEE_3_Out!S55</f>
        <v>1053.102304730568</v>
      </c>
      <c r="Z46" s="814">
        <f>FEE_3_Out!H55</f>
        <v>1077.5911090211885</v>
      </c>
      <c r="AA46" s="807">
        <f t="shared" si="23"/>
        <v>0</v>
      </c>
      <c r="AB46" s="807">
        <f>FEE_3_Out!Q55*2</f>
        <v>8.0478406394693991</v>
      </c>
      <c r="AC46" s="826">
        <f t="shared" si="4"/>
        <v>0</v>
      </c>
      <c r="AD46" s="808">
        <f t="shared" si="5"/>
        <v>0</v>
      </c>
      <c r="AE46" s="808">
        <f t="shared" si="6"/>
        <v>0</v>
      </c>
      <c r="AF46" s="811">
        <f t="shared" si="7"/>
        <v>0</v>
      </c>
      <c r="AG46" s="811">
        <f t="shared" si="8"/>
        <v>0</v>
      </c>
      <c r="AH46" s="811"/>
      <c r="AI46" s="811"/>
      <c r="AJ46" s="111">
        <v>44</v>
      </c>
      <c r="AK46" s="111"/>
      <c r="AL46" s="874"/>
      <c r="AM46" s="871">
        <f t="shared" si="12"/>
        <v>0</v>
      </c>
      <c r="AN46" s="111"/>
      <c r="AO46" s="111"/>
      <c r="AP46" s="111"/>
      <c r="AQ46" s="111"/>
      <c r="AR46" s="111"/>
      <c r="AS46" s="111"/>
      <c r="AT46" s="111"/>
      <c r="AU46" s="111"/>
      <c r="AV46" s="111"/>
      <c r="AW46" s="111"/>
      <c r="AX46" s="111"/>
      <c r="AY46" s="111"/>
      <c r="AZ46" s="111"/>
      <c r="BA46" s="111"/>
      <c r="BB46" s="111"/>
      <c r="BC46" s="111"/>
      <c r="BD46" s="111"/>
      <c r="BE46" s="111"/>
      <c r="BF46" s="239"/>
      <c r="BG46" s="239"/>
      <c r="BH46" s="239"/>
      <c r="BI46" s="239"/>
    </row>
    <row r="47" spans="1:61" x14ac:dyDescent="0.3">
      <c r="A47" s="515">
        <v>537</v>
      </c>
      <c r="B47" s="516" t="s">
        <v>220</v>
      </c>
      <c r="C47" s="103" t="s">
        <v>212</v>
      </c>
      <c r="D47" s="517" t="str">
        <f t="shared" si="24"/>
        <v>X</v>
      </c>
      <c r="E47" s="517" t="str">
        <f t="shared" si="25"/>
        <v>✓</v>
      </c>
      <c r="F47" s="518"/>
      <c r="G47" s="520">
        <v>1.85</v>
      </c>
      <c r="H47" s="867">
        <v>1.85</v>
      </c>
      <c r="I47" s="520"/>
      <c r="J47" s="520"/>
      <c r="K47" s="520"/>
      <c r="L47" s="520"/>
      <c r="M47" s="617"/>
      <c r="N47" s="239"/>
      <c r="O47" s="110"/>
      <c r="P47" s="111"/>
      <c r="Q47" s="522"/>
      <c r="R47" s="523"/>
      <c r="S47" s="839"/>
      <c r="T47" s="839" t="e">
        <f t="shared" si="26"/>
        <v>#DIV/0!</v>
      </c>
      <c r="U47" s="839" t="e">
        <f>Passby_Length_Adj!J51/ITE_LUC_Rates!P47</f>
        <v>#DIV/0!</v>
      </c>
      <c r="V47" s="839" t="e">
        <f>8.21*Passby_Length_Adj!H51/ITE_LUC_Rates!O47</f>
        <v>#DIV/0!</v>
      </c>
      <c r="W47" s="839" t="e">
        <f t="shared" si="27"/>
        <v>#DIV/0!</v>
      </c>
      <c r="X47" s="111"/>
      <c r="Y47" s="814">
        <f>FEE_3_Out!S56</f>
        <v>1914.1260363474628</v>
      </c>
      <c r="Z47" s="814">
        <f>FEE_3_Out!H56</f>
        <v>1958.6370564839981</v>
      </c>
      <c r="AA47" s="807">
        <f t="shared" si="23"/>
        <v>0</v>
      </c>
      <c r="AB47" s="807">
        <f>FEE_3_Out!Q56*2</f>
        <v>14.627810835837824</v>
      </c>
      <c r="AC47" s="826">
        <f t="shared" si="4"/>
        <v>0</v>
      </c>
      <c r="AD47" s="808">
        <f t="shared" si="5"/>
        <v>0</v>
      </c>
      <c r="AE47" s="808">
        <f t="shared" si="6"/>
        <v>0</v>
      </c>
      <c r="AF47" s="811">
        <f t="shared" si="7"/>
        <v>0</v>
      </c>
      <c r="AG47" s="811">
        <f t="shared" si="8"/>
        <v>0</v>
      </c>
      <c r="AH47" s="811"/>
      <c r="AI47" s="811"/>
      <c r="AJ47" s="111">
        <v>45</v>
      </c>
      <c r="AK47" s="111"/>
      <c r="AL47" s="874"/>
      <c r="AM47" s="871">
        <f t="shared" si="12"/>
        <v>0</v>
      </c>
      <c r="AN47" s="111"/>
      <c r="AO47" s="111"/>
      <c r="AP47" s="111"/>
      <c r="AQ47" s="111"/>
      <c r="AR47" s="111"/>
      <c r="AS47" s="111"/>
      <c r="AT47" s="111"/>
      <c r="AU47" s="111"/>
      <c r="AV47" s="111"/>
      <c r="AW47" s="111"/>
      <c r="AX47" s="111"/>
      <c r="AY47" s="111"/>
      <c r="AZ47" s="111"/>
      <c r="BA47" s="111"/>
      <c r="BB47" s="111"/>
      <c r="BC47" s="111"/>
      <c r="BD47" s="111"/>
      <c r="BE47" s="111"/>
      <c r="BF47" s="239"/>
      <c r="BG47" s="239"/>
      <c r="BH47" s="239"/>
      <c r="BI47" s="239"/>
    </row>
    <row r="48" spans="1:61" x14ac:dyDescent="0.3">
      <c r="A48" s="515">
        <v>540</v>
      </c>
      <c r="B48" s="516" t="s">
        <v>222</v>
      </c>
      <c r="C48" s="103" t="s">
        <v>212</v>
      </c>
      <c r="D48" s="517" t="str">
        <f t="shared" si="24"/>
        <v>✓</v>
      </c>
      <c r="E48" s="517" t="str">
        <f t="shared" si="25"/>
        <v>✓</v>
      </c>
      <c r="F48" s="518">
        <v>1.2</v>
      </c>
      <c r="G48" s="520">
        <v>1.1499999999999999</v>
      </c>
      <c r="H48" s="867">
        <v>1.1499999999999999</v>
      </c>
      <c r="I48" s="520"/>
      <c r="J48" s="520"/>
      <c r="K48" s="520"/>
      <c r="L48" s="520"/>
      <c r="M48" s="617">
        <f t="shared" si="0"/>
        <v>1192.7157937243198</v>
      </c>
      <c r="N48" s="239"/>
      <c r="O48" s="110">
        <v>6.07</v>
      </c>
      <c r="P48" s="521">
        <v>1</v>
      </c>
      <c r="Q48" s="522">
        <v>1192.538</v>
      </c>
      <c r="R48" s="523">
        <f t="shared" si="1"/>
        <v>0.99985093370503242</v>
      </c>
      <c r="S48" s="839"/>
      <c r="T48" s="839">
        <f t="shared" si="26"/>
        <v>0.95833333333333326</v>
      </c>
      <c r="U48" s="839">
        <f>Passby_Length_Adj!J52/ITE_LUC_Rates!P48</f>
        <v>0.53561452513966479</v>
      </c>
      <c r="V48" s="839">
        <f>8.21*Passby_Length_Adj!H52/ITE_LUC_Rates!O48</f>
        <v>1.0363875809987901</v>
      </c>
      <c r="W48" s="839">
        <f t="shared" si="27"/>
        <v>0.5319748986382582</v>
      </c>
      <c r="X48" s="111"/>
      <c r="Y48" s="814">
        <f>FEE_3_Out!S57</f>
        <v>488.33373001619077</v>
      </c>
      <c r="Z48" s="814">
        <f>FEE_3_Out!H57</f>
        <v>499.6894255541801</v>
      </c>
      <c r="AA48" s="807">
        <f t="shared" si="23"/>
        <v>7.1383199999999993</v>
      </c>
      <c r="AB48" s="807">
        <f>FEE_3_Out!Q57*2</f>
        <v>3.7318615868507288</v>
      </c>
      <c r="AC48" s="826">
        <f t="shared" si="4"/>
        <v>-0.47720729991780575</v>
      </c>
      <c r="AD48" s="808">
        <f t="shared" si="5"/>
        <v>-4.1666666666666741E-2</v>
      </c>
      <c r="AE48" s="808">
        <f t="shared" si="6"/>
        <v>-0.43554063325113901</v>
      </c>
      <c r="AF48" s="811">
        <f t="shared" si="7"/>
        <v>-0.59050887265966301</v>
      </c>
      <c r="AG48" s="811">
        <f t="shared" si="8"/>
        <v>-0.58098658025641103</v>
      </c>
      <c r="AH48" s="811"/>
      <c r="AI48" s="811"/>
      <c r="AJ48" s="111">
        <v>46</v>
      </c>
      <c r="AK48" s="111"/>
      <c r="AL48" s="874"/>
      <c r="AM48" s="871">
        <f t="shared" si="12"/>
        <v>0</v>
      </c>
      <c r="AN48" s="111"/>
      <c r="AO48" s="111"/>
      <c r="AP48" s="111"/>
      <c r="AQ48" s="111"/>
      <c r="AR48" s="111"/>
      <c r="AS48" s="111"/>
      <c r="AT48" s="111"/>
      <c r="AU48" s="111"/>
      <c r="AV48" s="111"/>
      <c r="AW48" s="111"/>
      <c r="AX48" s="111"/>
      <c r="AY48" s="111"/>
      <c r="AZ48" s="111"/>
      <c r="BA48" s="111"/>
      <c r="BB48" s="111"/>
      <c r="BC48" s="111"/>
      <c r="BD48" s="111"/>
      <c r="BE48" s="111"/>
      <c r="BF48" s="239"/>
      <c r="BG48" s="239"/>
      <c r="BH48" s="239"/>
      <c r="BI48" s="239"/>
    </row>
    <row r="49" spans="1:61" x14ac:dyDescent="0.3">
      <c r="A49" s="515">
        <v>550</v>
      </c>
      <c r="B49" s="516" t="s">
        <v>224</v>
      </c>
      <c r="C49" s="103" t="s">
        <v>212</v>
      </c>
      <c r="D49" s="517" t="str">
        <f t="shared" si="24"/>
        <v>✓</v>
      </c>
      <c r="E49" s="517" t="str">
        <f t="shared" si="25"/>
        <v>✓</v>
      </c>
      <c r="F49" s="518">
        <v>2.38</v>
      </c>
      <c r="G49" s="520">
        <v>1.56</v>
      </c>
      <c r="H49" s="867">
        <v>1.56</v>
      </c>
      <c r="I49" s="520"/>
      <c r="J49" s="520"/>
      <c r="K49" s="520"/>
      <c r="L49" s="520"/>
      <c r="M49" s="617">
        <f t="shared" si="0"/>
        <v>2365.5529908865678</v>
      </c>
      <c r="N49" s="239"/>
      <c r="O49" s="110">
        <v>6.07</v>
      </c>
      <c r="P49" s="521">
        <v>1</v>
      </c>
      <c r="Q49" s="522">
        <v>2364.8919999999998</v>
      </c>
      <c r="R49" s="523">
        <f t="shared" si="1"/>
        <v>0.99972057658859703</v>
      </c>
      <c r="S49" s="839"/>
      <c r="T49" s="839">
        <f t="shared" si="26"/>
        <v>0.65546218487394958</v>
      </c>
      <c r="U49" s="839">
        <f>Passby_Length_Adj!J53/ITE_LUC_Rates!P49</f>
        <v>0.53561452513966479</v>
      </c>
      <c r="V49" s="839">
        <f>8.21*Passby_Length_Adj!H53/ITE_LUC_Rates!O49</f>
        <v>1.0363875809987901</v>
      </c>
      <c r="W49" s="839">
        <f t="shared" si="27"/>
        <v>0.36384983933168408</v>
      </c>
      <c r="X49" s="111"/>
      <c r="Y49" s="814">
        <f>FEE_3_Out!S58</f>
        <v>662.43532071761524</v>
      </c>
      <c r="Z49" s="814">
        <f>FEE_3_Out!H58</f>
        <v>677.83956857784426</v>
      </c>
      <c r="AA49" s="807">
        <f t="shared" si="23"/>
        <v>14.157667999999999</v>
      </c>
      <c r="AB49" s="807">
        <f>FEE_3_Out!Q58*2</f>
        <v>5.0623513699888143</v>
      </c>
      <c r="AC49" s="826">
        <f t="shared" si="4"/>
        <v>-0.64243042215788537</v>
      </c>
      <c r="AD49" s="808">
        <f t="shared" si="5"/>
        <v>-0.34453781512605042</v>
      </c>
      <c r="AE49" s="808">
        <f t="shared" si="6"/>
        <v>-0.29789260703183496</v>
      </c>
      <c r="AF49" s="811">
        <f t="shared" si="7"/>
        <v>-0.71988770704217564</v>
      </c>
      <c r="AG49" s="811">
        <f t="shared" si="8"/>
        <v>-0.71337398554443743</v>
      </c>
      <c r="AH49" s="811"/>
      <c r="AI49" s="811"/>
      <c r="AJ49" s="111">
        <v>47</v>
      </c>
      <c r="AK49" s="111"/>
      <c r="AL49" s="874"/>
      <c r="AM49" s="871">
        <f t="shared" si="12"/>
        <v>0</v>
      </c>
      <c r="AN49" s="111"/>
      <c r="AO49" s="111"/>
      <c r="AP49" s="111"/>
      <c r="AQ49" s="111"/>
      <c r="AR49" s="111"/>
      <c r="AS49" s="111"/>
      <c r="AT49" s="111"/>
      <c r="AU49" s="111"/>
      <c r="AV49" s="111"/>
      <c r="AW49" s="111"/>
      <c r="AX49" s="111"/>
      <c r="AY49" s="111"/>
      <c r="AZ49" s="111"/>
      <c r="BA49" s="111"/>
      <c r="BB49" s="111"/>
      <c r="BC49" s="111"/>
      <c r="BD49" s="111"/>
      <c r="BE49" s="111"/>
      <c r="BF49" s="239"/>
      <c r="BG49" s="239"/>
      <c r="BH49" s="239"/>
      <c r="BI49" s="239"/>
    </row>
    <row r="50" spans="1:61" x14ac:dyDescent="0.3">
      <c r="A50" s="515">
        <v>560</v>
      </c>
      <c r="B50" s="516" t="s">
        <v>226</v>
      </c>
      <c r="C50" s="103" t="s">
        <v>112</v>
      </c>
      <c r="D50" s="517" t="str">
        <f t="shared" si="24"/>
        <v>✓</v>
      </c>
      <c r="E50" s="517" t="str">
        <f t="shared" si="25"/>
        <v>✓</v>
      </c>
      <c r="F50" s="518">
        <v>9.11</v>
      </c>
      <c r="G50" s="520">
        <v>6.95</v>
      </c>
      <c r="H50" s="867">
        <v>7.6</v>
      </c>
      <c r="I50" s="520"/>
      <c r="J50" s="520"/>
      <c r="K50" s="520"/>
      <c r="L50" s="520"/>
      <c r="M50" s="617">
        <f t="shared" si="0"/>
        <v>5966.8538609711986</v>
      </c>
      <c r="N50" s="239"/>
      <c r="O50" s="110">
        <v>4</v>
      </c>
      <c r="P50" s="521">
        <v>1</v>
      </c>
      <c r="Q50" s="522">
        <v>5966.1</v>
      </c>
      <c r="R50" s="523">
        <f t="shared" si="1"/>
        <v>0.99987365854958687</v>
      </c>
      <c r="S50" s="839"/>
      <c r="T50" s="839">
        <f t="shared" si="26"/>
        <v>0.76289791437980248</v>
      </c>
      <c r="U50" s="839">
        <f>Passby_Length_Adj!J54/ITE_LUC_Rates!P50</f>
        <v>1</v>
      </c>
      <c r="V50" s="839">
        <f>8.21*Passby_Length_Adj!H54/ITE_LUC_Rates!O50</f>
        <v>1.8493100585452649</v>
      </c>
      <c r="W50" s="839">
        <f t="shared" si="27"/>
        <v>1.4108347867057729</v>
      </c>
      <c r="X50" s="111"/>
      <c r="Y50" s="814">
        <f>FEE_3_Out!S59</f>
        <v>6479.0327154803035</v>
      </c>
      <c r="Z50" s="814">
        <f>FEE_3_Out!H59</f>
        <v>6629.6959164335267</v>
      </c>
      <c r="AA50" s="807">
        <f t="shared" si="23"/>
        <v>35.711199999999998</v>
      </c>
      <c r="AB50" s="807">
        <f>FEE_3_Out!Q59*2</f>
        <v>49.51296997249905</v>
      </c>
      <c r="AC50" s="826">
        <f t="shared" si="4"/>
        <v>0.38648295135697075</v>
      </c>
      <c r="AD50" s="808">
        <f t="shared" si="5"/>
        <v>-0.23710208562019752</v>
      </c>
      <c r="AE50" s="808">
        <f t="shared" si="6"/>
        <v>0.62358503697716827</v>
      </c>
      <c r="AF50" s="811">
        <f t="shared" si="7"/>
        <v>8.5974542076113991E-2</v>
      </c>
      <c r="AG50" s="811">
        <f t="shared" si="8"/>
        <v>0.11122775622827752</v>
      </c>
      <c r="AH50" s="811"/>
      <c r="AI50" s="811"/>
      <c r="AJ50" s="111">
        <v>48</v>
      </c>
      <c r="AK50" s="111"/>
      <c r="AL50" s="874"/>
      <c r="AM50" s="871">
        <f t="shared" si="12"/>
        <v>-9.3525179856115026E-2</v>
      </c>
      <c r="AN50" s="111"/>
      <c r="AO50" s="111"/>
      <c r="AP50" s="111"/>
      <c r="AQ50" s="111"/>
      <c r="AR50" s="111"/>
      <c r="AS50" s="111"/>
      <c r="AT50" s="111"/>
      <c r="AU50" s="111"/>
      <c r="AV50" s="111"/>
      <c r="AW50" s="111"/>
      <c r="AX50" s="111"/>
      <c r="AY50" s="111"/>
      <c r="AZ50" s="111"/>
      <c r="BA50" s="111"/>
      <c r="BB50" s="111"/>
      <c r="BC50" s="111"/>
      <c r="BD50" s="111"/>
      <c r="BE50" s="111"/>
      <c r="BF50" s="239"/>
      <c r="BG50" s="239"/>
      <c r="BH50" s="239"/>
      <c r="BI50" s="239"/>
    </row>
    <row r="51" spans="1:61" x14ac:dyDescent="0.3">
      <c r="A51" s="515">
        <v>565</v>
      </c>
      <c r="B51" s="516" t="s">
        <v>228</v>
      </c>
      <c r="C51" s="103" t="s">
        <v>112</v>
      </c>
      <c r="D51" s="517" t="str">
        <f t="shared" si="24"/>
        <v>✓</v>
      </c>
      <c r="E51" s="517" t="str">
        <f t="shared" si="25"/>
        <v>✓</v>
      </c>
      <c r="F51" s="518">
        <v>79.260000000000005</v>
      </c>
      <c r="G51" s="520">
        <v>47.62</v>
      </c>
      <c r="H51" s="867">
        <v>47.62</v>
      </c>
      <c r="I51" s="520"/>
      <c r="J51" s="520"/>
      <c r="K51" s="520"/>
      <c r="L51" s="520"/>
      <c r="M51" s="617">
        <f t="shared" si="0"/>
        <v>8111.4989884154993</v>
      </c>
      <c r="N51" s="239"/>
      <c r="O51" s="110">
        <v>1.25</v>
      </c>
      <c r="P51" s="521">
        <v>0.5</v>
      </c>
      <c r="Q51" s="522">
        <v>8112.3</v>
      </c>
      <c r="R51" s="523">
        <f t="shared" si="1"/>
        <v>1.000098750130604</v>
      </c>
      <c r="S51" s="839"/>
      <c r="T51" s="839">
        <f t="shared" si="26"/>
        <v>0.6008074690890739</v>
      </c>
      <c r="U51" s="839">
        <f>Passby_Length_Adj!J55/ITE_LUC_Rates!P51</f>
        <v>1.464</v>
      </c>
      <c r="V51" s="839">
        <f>8.21*Passby_Length_Adj!H55/ITE_LUC_Rates!O51</f>
        <v>2.0140543806646525</v>
      </c>
      <c r="W51" s="839">
        <f t="shared" si="27"/>
        <v>1.7715262516403618</v>
      </c>
      <c r="X51" s="111"/>
      <c r="Y51" s="814">
        <f>FEE_3_Out!S60</f>
        <v>11059.54659942133</v>
      </c>
      <c r="Z51" s="814">
        <f>FEE_3_Out!H60</f>
        <v>11316.724910587896</v>
      </c>
      <c r="AA51" s="807">
        <f t="shared" si="23"/>
        <v>48.546750000000003</v>
      </c>
      <c r="AB51" s="807">
        <f>FEE_3_Out!Q60*2</f>
        <v>84.517399854803529</v>
      </c>
      <c r="AC51" s="826">
        <f t="shared" si="4"/>
        <v>0.74094867019529675</v>
      </c>
      <c r="AD51" s="808">
        <f t="shared" si="5"/>
        <v>-0.3991925309109261</v>
      </c>
      <c r="AE51" s="808">
        <f t="shared" si="6"/>
        <v>1.1401412011062229</v>
      </c>
      <c r="AF51" s="811">
        <f t="shared" si="7"/>
        <v>0.36330591810230506</v>
      </c>
      <c r="AG51" s="811">
        <f t="shared" si="8"/>
        <v>0.39500818640680158</v>
      </c>
      <c r="AH51" s="811"/>
      <c r="AI51" s="811"/>
      <c r="AJ51" s="111">
        <v>49</v>
      </c>
      <c r="AK51" s="111"/>
      <c r="AL51" s="874"/>
      <c r="AM51" s="871">
        <f t="shared" si="12"/>
        <v>0</v>
      </c>
      <c r="AN51" s="111"/>
      <c r="AO51" s="111"/>
      <c r="AP51" s="111"/>
      <c r="AQ51" s="111"/>
      <c r="AR51" s="111"/>
      <c r="AS51" s="111"/>
      <c r="AT51" s="111"/>
      <c r="AU51" s="111"/>
      <c r="AV51" s="111"/>
      <c r="AW51" s="111"/>
      <c r="AX51" s="111"/>
      <c r="AY51" s="111"/>
      <c r="AZ51" s="111"/>
      <c r="BA51" s="111"/>
      <c r="BB51" s="111"/>
      <c r="BC51" s="111"/>
      <c r="BD51" s="111"/>
      <c r="BE51" s="111"/>
      <c r="BF51" s="239"/>
      <c r="BG51" s="239"/>
      <c r="BH51" s="239"/>
      <c r="BI51" s="239"/>
    </row>
    <row r="52" spans="1:61" s="136" customFormat="1" x14ac:dyDescent="0.3">
      <c r="A52" s="505" t="s">
        <v>453</v>
      </c>
      <c r="B52" s="506"/>
      <c r="C52" s="507"/>
      <c r="D52" s="508"/>
      <c r="E52" s="508"/>
      <c r="F52" s="534"/>
      <c r="G52" s="535"/>
      <c r="H52" s="863"/>
      <c r="I52" s="535"/>
      <c r="J52" s="535"/>
      <c r="K52" s="535"/>
      <c r="L52" s="535"/>
      <c r="M52" s="615"/>
      <c r="N52" s="616"/>
      <c r="O52" s="511"/>
      <c r="P52" s="512"/>
      <c r="Q52" s="536"/>
      <c r="R52" s="514"/>
      <c r="S52" s="838"/>
      <c r="T52" s="838"/>
      <c r="U52" s="838"/>
      <c r="V52" s="839" t="e">
        <f>8.21*Passby_Length_Adj!H56/ITE_LUC_Rates!O52</f>
        <v>#DIV/0!</v>
      </c>
      <c r="W52" s="838"/>
      <c r="X52" s="111"/>
      <c r="Y52" s="814">
        <f>FEE_3_Out!S61</f>
        <v>0</v>
      </c>
      <c r="Z52" s="814">
        <f>FEE_3_Out!H61</f>
        <v>0</v>
      </c>
      <c r="AA52" s="807">
        <f t="shared" si="23"/>
        <v>0</v>
      </c>
      <c r="AB52" s="807">
        <f>FEE_3_Out!Q61*2</f>
        <v>0</v>
      </c>
      <c r="AC52" s="826">
        <f t="shared" si="4"/>
        <v>0</v>
      </c>
      <c r="AD52" s="808">
        <f t="shared" si="5"/>
        <v>0</v>
      </c>
      <c r="AE52" s="808">
        <f t="shared" si="6"/>
        <v>0</v>
      </c>
      <c r="AF52" s="811">
        <f t="shared" si="7"/>
        <v>0</v>
      </c>
      <c r="AG52" s="811">
        <f t="shared" si="8"/>
        <v>0</v>
      </c>
      <c r="AH52" s="811"/>
      <c r="AI52" s="811"/>
      <c r="AJ52" s="111">
        <v>50</v>
      </c>
      <c r="AK52" s="111"/>
      <c r="AL52" s="874"/>
      <c r="AM52" s="871"/>
      <c r="AN52" s="111"/>
      <c r="AO52" s="111"/>
      <c r="AP52" s="111"/>
      <c r="AQ52" s="111"/>
      <c r="AR52" s="111"/>
      <c r="AS52" s="111"/>
      <c r="AT52" s="111"/>
      <c r="AU52" s="111"/>
      <c r="AV52" s="111"/>
      <c r="AW52" s="111"/>
      <c r="AX52" s="111"/>
      <c r="AY52" s="111"/>
      <c r="AZ52" s="111"/>
      <c r="BA52" s="111"/>
      <c r="BB52" s="111"/>
      <c r="BC52" s="111"/>
      <c r="BD52" s="111"/>
      <c r="BE52" s="111"/>
      <c r="BF52" s="239"/>
      <c r="BG52" s="239"/>
      <c r="BH52" s="239"/>
      <c r="BI52" s="239"/>
    </row>
    <row r="53" spans="1:61" x14ac:dyDescent="0.3">
      <c r="A53" s="515">
        <v>610</v>
      </c>
      <c r="B53" s="516" t="s">
        <v>230</v>
      </c>
      <c r="C53" s="103" t="s">
        <v>112</v>
      </c>
      <c r="D53" s="517" t="str">
        <f t="shared" ref="D53:E57" si="28">IF(F53,"✓","X")</f>
        <v>✓</v>
      </c>
      <c r="E53" s="517" t="str">
        <f t="shared" si="28"/>
        <v>✓</v>
      </c>
      <c r="F53" s="518">
        <v>17.57</v>
      </c>
      <c r="G53" s="520">
        <v>10.72</v>
      </c>
      <c r="H53" s="863">
        <v>10.77</v>
      </c>
      <c r="I53" s="520"/>
      <c r="J53" s="520"/>
      <c r="K53" s="520"/>
      <c r="L53" s="520"/>
      <c r="M53" s="617">
        <f>((F53*0.97*(P53/2)*O53)/8500)*(1951500-278800)*1.02*1.682</f>
        <v>17837.35616056632</v>
      </c>
      <c r="N53" s="239"/>
      <c r="O53" s="110">
        <v>6.2</v>
      </c>
      <c r="P53" s="521">
        <v>1</v>
      </c>
      <c r="Q53" s="522">
        <v>17837.599999999999</v>
      </c>
      <c r="R53" s="523">
        <f t="shared" si="1"/>
        <v>1.0000136701555704</v>
      </c>
      <c r="S53" s="839"/>
      <c r="T53" s="839">
        <f>G53/F53</f>
        <v>0.61013090495162214</v>
      </c>
      <c r="U53" s="839">
        <f>Passby_Length_Adj!J57/ITE_LUC_Rates!P53</f>
        <v>1</v>
      </c>
      <c r="V53" s="839">
        <f>8.21*Passby_Length_Adj!H57/ITE_LUC_Rates!O53</f>
        <v>1.3241935483870968</v>
      </c>
      <c r="W53" s="839">
        <f t="shared" ref="W53:W116" si="29">V53*U53*T53</f>
        <v>0.80793140800851904</v>
      </c>
      <c r="X53" s="111"/>
      <c r="Y53" s="814">
        <f>FEE_3_Out!S62</f>
        <v>11091.58438359178</v>
      </c>
      <c r="Z53" s="814">
        <f>FEE_3_Out!H62</f>
        <v>11349.507700274838</v>
      </c>
      <c r="AA53" s="807">
        <f t="shared" si="23"/>
        <v>106.75532000000001</v>
      </c>
      <c r="AB53" s="807">
        <f>FEE_3_Out!Q62*2</f>
        <v>84.762233600098071</v>
      </c>
      <c r="AC53" s="826">
        <f t="shared" si="4"/>
        <v>-0.20601396164520824</v>
      </c>
      <c r="AD53" s="808">
        <f t="shared" si="5"/>
        <v>-0.38986909504837786</v>
      </c>
      <c r="AE53" s="808">
        <f t="shared" si="6"/>
        <v>0.18385513340316961</v>
      </c>
      <c r="AF53" s="811">
        <f t="shared" si="7"/>
        <v>-0.37819076649371097</v>
      </c>
      <c r="AG53" s="811">
        <f t="shared" si="8"/>
        <v>-0.3637312362495605</v>
      </c>
      <c r="AH53" s="811"/>
      <c r="AI53" s="811"/>
      <c r="AJ53" s="111">
        <v>51</v>
      </c>
      <c r="AK53" s="111"/>
      <c r="AL53" s="874"/>
      <c r="AM53" s="871">
        <f t="shared" si="12"/>
        <v>-4.6641791044775126E-3</v>
      </c>
      <c r="AN53" s="111"/>
      <c r="AO53" s="111"/>
      <c r="AP53" s="111"/>
      <c r="AQ53" s="111"/>
      <c r="AR53" s="111"/>
      <c r="AS53" s="111"/>
      <c r="AT53" s="111"/>
      <c r="AU53" s="111"/>
      <c r="AV53" s="111"/>
      <c r="AW53" s="111"/>
      <c r="AX53" s="111"/>
      <c r="AY53" s="111"/>
      <c r="AZ53" s="111"/>
      <c r="BA53" s="111"/>
      <c r="BB53" s="111"/>
      <c r="BC53" s="111"/>
      <c r="BD53" s="111"/>
      <c r="BE53" s="111"/>
      <c r="BF53" s="239"/>
      <c r="BG53" s="239"/>
      <c r="BH53" s="239"/>
      <c r="BI53" s="239"/>
    </row>
    <row r="54" spans="1:61" x14ac:dyDescent="0.3">
      <c r="A54" s="515">
        <v>620</v>
      </c>
      <c r="B54" s="516" t="s">
        <v>232</v>
      </c>
      <c r="C54" s="103" t="s">
        <v>172</v>
      </c>
      <c r="D54" s="517" t="str">
        <f t="shared" si="28"/>
        <v>✓</v>
      </c>
      <c r="E54" s="517" t="str">
        <f t="shared" si="28"/>
        <v>✓</v>
      </c>
      <c r="F54" s="518">
        <v>2.37</v>
      </c>
      <c r="G54" s="520">
        <v>3.06</v>
      </c>
      <c r="H54" s="863">
        <v>3.06</v>
      </c>
      <c r="I54" s="520"/>
      <c r="J54" s="520"/>
      <c r="K54" s="520"/>
      <c r="L54" s="520"/>
      <c r="M54" s="842">
        <f t="shared" si="0"/>
        <v>2406.0634092511204</v>
      </c>
      <c r="N54" s="239"/>
      <c r="O54" s="110">
        <v>6.2</v>
      </c>
      <c r="P54" s="521">
        <v>1</v>
      </c>
      <c r="Q54" s="843">
        <v>2405.2600000000002</v>
      </c>
      <c r="R54" s="844">
        <f t="shared" si="1"/>
        <v>0.9996660897430919</v>
      </c>
      <c r="S54" s="845"/>
      <c r="T54" s="845">
        <f>G54/F54</f>
        <v>1.2911392405063291</v>
      </c>
      <c r="U54" s="845">
        <f>Passby_Length_Adj!J58/ITE_LUC_Rates!P54</f>
        <v>0.89</v>
      </c>
      <c r="V54" s="845">
        <f>8.21*Passby_Length_Adj!H58/ITE_LUC_Rates!O54</f>
        <v>0.51807572361368281</v>
      </c>
      <c r="W54" s="845">
        <f t="shared" si="29"/>
        <v>0.59532802771709026</v>
      </c>
      <c r="X54" s="111"/>
      <c r="Y54" s="814">
        <f>FEE_3_Out!S63</f>
        <v>1102.432505490053</v>
      </c>
      <c r="Z54" s="814">
        <f>FEE_3_Out!H63</f>
        <v>1128.068432549838</v>
      </c>
      <c r="AA54" s="807">
        <f t="shared" si="23"/>
        <v>14.400120000000001</v>
      </c>
      <c r="AB54" s="807">
        <f>FEE_3_Out!Q63*2</f>
        <v>8.4248235713669199</v>
      </c>
      <c r="AC54" s="826">
        <f t="shared" si="4"/>
        <v>-0.41494768297993911</v>
      </c>
      <c r="AD54" s="808">
        <f t="shared" si="5"/>
        <v>0.29113924050632911</v>
      </c>
      <c r="AE54" s="808">
        <f t="shared" si="6"/>
        <v>-0.70608692348626823</v>
      </c>
      <c r="AF54" s="846">
        <f t="shared" si="7"/>
        <v>-0.54165765634897978</v>
      </c>
      <c r="AG54" s="846">
        <f t="shared" si="8"/>
        <v>-0.53099937946424181</v>
      </c>
      <c r="AH54" s="846"/>
      <c r="AI54" s="846"/>
      <c r="AJ54" s="111">
        <v>52</v>
      </c>
      <c r="AK54" s="111"/>
      <c r="AL54" s="874"/>
      <c r="AM54" s="871">
        <f t="shared" si="12"/>
        <v>0</v>
      </c>
      <c r="AN54" s="111"/>
      <c r="AO54" s="111"/>
      <c r="AP54" s="111"/>
      <c r="AQ54" s="111"/>
      <c r="AR54" s="111"/>
      <c r="AS54" s="111"/>
      <c r="AT54" s="111"/>
      <c r="AU54" s="111"/>
      <c r="AV54" s="111"/>
      <c r="AW54" s="111"/>
      <c r="AX54" s="111"/>
      <c r="AY54" s="111"/>
      <c r="AZ54" s="111"/>
      <c r="BA54" s="111"/>
      <c r="BB54" s="111"/>
      <c r="BC54" s="111"/>
      <c r="BD54" s="111"/>
      <c r="BE54" s="111"/>
      <c r="BF54" s="239"/>
      <c r="BG54" s="239"/>
      <c r="BH54" s="239"/>
      <c r="BI54" s="239"/>
    </row>
    <row r="55" spans="1:61" x14ac:dyDescent="0.3">
      <c r="A55" s="515">
        <v>630</v>
      </c>
      <c r="B55" s="516" t="s">
        <v>234</v>
      </c>
      <c r="C55" s="103" t="s">
        <v>112</v>
      </c>
      <c r="D55" s="517" t="str">
        <f t="shared" si="28"/>
        <v>✓</v>
      </c>
      <c r="E55" s="517" t="str">
        <f t="shared" si="28"/>
        <v>✓</v>
      </c>
      <c r="F55" s="518">
        <v>31.45</v>
      </c>
      <c r="G55" s="520">
        <v>38.159999999999997</v>
      </c>
      <c r="H55" s="863">
        <v>37.6</v>
      </c>
      <c r="I55" s="520"/>
      <c r="J55" s="520"/>
      <c r="K55" s="520"/>
      <c r="L55" s="520"/>
      <c r="M55" s="617">
        <f t="shared" si="0"/>
        <v>31928.562962425203</v>
      </c>
      <c r="N55" s="239"/>
      <c r="O55" s="110">
        <v>6.2</v>
      </c>
      <c r="P55" s="521">
        <v>1</v>
      </c>
      <c r="Q55" s="522">
        <v>31927.7</v>
      </c>
      <c r="R55" s="523">
        <f t="shared" si="1"/>
        <v>0.9999729720868985</v>
      </c>
      <c r="S55" s="839"/>
      <c r="T55" s="839">
        <f>G55/F55</f>
        <v>1.2133545310015899</v>
      </c>
      <c r="U55" s="839">
        <f>Passby_Length_Adj!J59/ITE_LUC_Rates!P55</f>
        <v>0.93</v>
      </c>
      <c r="V55" s="839">
        <f>8.21*Passby_Length_Adj!H59/ITE_LUC_Rates!O55</f>
        <v>1.0201491082740473</v>
      </c>
      <c r="W55" s="839">
        <f t="shared" si="29"/>
        <v>1.1511563648240384</v>
      </c>
      <c r="X55" s="111"/>
      <c r="Y55" s="814">
        <f>FEE_3_Out!S64</f>
        <v>28288.003919450624</v>
      </c>
      <c r="Z55" s="814">
        <f>FEE_3_Out!H64</f>
        <v>28945.812176676845</v>
      </c>
      <c r="AA55" s="807">
        <f t="shared" si="23"/>
        <v>191.09020000000001</v>
      </c>
      <c r="AB55" s="807">
        <f>FEE_3_Out!Q64*2</f>
        <v>216.17780773034161</v>
      </c>
      <c r="AC55" s="826">
        <f t="shared" si="4"/>
        <v>0.1312867312417989</v>
      </c>
      <c r="AD55" s="808">
        <f t="shared" si="5"/>
        <v>0.21335453100158985</v>
      </c>
      <c r="AE55" s="808">
        <f t="shared" si="6"/>
        <v>-8.2067799759790949E-2</v>
      </c>
      <c r="AF55" s="811">
        <f t="shared" si="7"/>
        <v>-0.11399806689956926</v>
      </c>
      <c r="AG55" s="811">
        <f t="shared" si="8"/>
        <v>-9.339500882691687E-2</v>
      </c>
      <c r="AH55" s="811"/>
      <c r="AI55" s="811"/>
      <c r="AJ55" s="111">
        <v>53</v>
      </c>
      <c r="AK55" s="111"/>
      <c r="AL55" s="874"/>
      <c r="AM55" s="871">
        <f t="shared" si="12"/>
        <v>1.4675052410901342E-2</v>
      </c>
      <c r="AN55" s="111"/>
      <c r="AO55" s="111"/>
      <c r="AP55" s="111"/>
      <c r="AQ55" s="111"/>
      <c r="AR55" s="111"/>
      <c r="AS55" s="111"/>
      <c r="AT55" s="111"/>
      <c r="AU55" s="111"/>
      <c r="AV55" s="111"/>
      <c r="AW55" s="111"/>
      <c r="AX55" s="111"/>
      <c r="AY55" s="111"/>
      <c r="AZ55" s="111"/>
      <c r="BA55" s="111"/>
      <c r="BB55" s="111"/>
      <c r="BC55" s="111"/>
      <c r="BD55" s="111"/>
      <c r="BE55" s="111"/>
      <c r="BF55" s="239"/>
      <c r="BG55" s="239"/>
      <c r="BH55" s="239"/>
      <c r="BI55" s="239"/>
    </row>
    <row r="56" spans="1:61" x14ac:dyDescent="0.3">
      <c r="A56" s="515">
        <v>640</v>
      </c>
      <c r="B56" s="516" t="s">
        <v>236</v>
      </c>
      <c r="C56" s="103" t="s">
        <v>112</v>
      </c>
      <c r="D56" s="517" t="str">
        <f t="shared" si="28"/>
        <v>X</v>
      </c>
      <c r="E56" s="517" t="str">
        <f t="shared" si="28"/>
        <v>✓</v>
      </c>
      <c r="F56" s="518"/>
      <c r="G56" s="520">
        <v>21.5</v>
      </c>
      <c r="H56" s="863">
        <v>21.5</v>
      </c>
      <c r="I56" s="520"/>
      <c r="J56" s="520"/>
      <c r="K56" s="520"/>
      <c r="L56" s="520"/>
      <c r="M56" s="617"/>
      <c r="N56" s="239"/>
      <c r="O56" s="110"/>
      <c r="P56" s="111"/>
      <c r="Q56" s="522"/>
      <c r="R56" s="523"/>
      <c r="S56" s="839"/>
      <c r="T56" s="839" t="e">
        <f t="shared" ref="T56:T57" si="30">G56/F56</f>
        <v>#DIV/0!</v>
      </c>
      <c r="U56" s="839" t="e">
        <f>Passby_Length_Adj!J60/ITE_LUC_Rates!P56</f>
        <v>#DIV/0!</v>
      </c>
      <c r="V56" s="839" t="e">
        <f>8.21*Passby_Length_Adj!H60/ITE_LUC_Rates!O56</f>
        <v>#DIV/0!</v>
      </c>
      <c r="W56" s="839" t="e">
        <f t="shared" si="29"/>
        <v>#DIV/0!</v>
      </c>
      <c r="X56" s="111"/>
      <c r="Y56" s="814">
        <f>FEE_3_Out!S65</f>
        <v>13624.56543623873</v>
      </c>
      <c r="Z56" s="814">
        <f>FEE_3_Out!H65</f>
        <v>13941.390606038511</v>
      </c>
      <c r="AA56" s="807">
        <f t="shared" si="23"/>
        <v>0</v>
      </c>
      <c r="AB56" s="807">
        <f>FEE_3_Out!Q65*2</f>
        <v>104.1193537611004</v>
      </c>
      <c r="AC56" s="826">
        <f t="shared" si="4"/>
        <v>0</v>
      </c>
      <c r="AD56" s="808">
        <f t="shared" si="5"/>
        <v>0</v>
      </c>
      <c r="AE56" s="808">
        <f t="shared" si="6"/>
        <v>0</v>
      </c>
      <c r="AF56" s="811">
        <f t="shared" si="7"/>
        <v>0</v>
      </c>
      <c r="AG56" s="811">
        <f t="shared" si="8"/>
        <v>0</v>
      </c>
      <c r="AH56" s="811"/>
      <c r="AI56" s="811"/>
      <c r="AJ56" s="111">
        <v>54</v>
      </c>
      <c r="AK56" s="111"/>
      <c r="AL56" s="874"/>
      <c r="AM56" s="871">
        <f t="shared" si="12"/>
        <v>0</v>
      </c>
      <c r="AN56" s="111"/>
      <c r="AO56" s="111"/>
      <c r="AP56" s="111"/>
      <c r="AQ56" s="111"/>
      <c r="AR56" s="111"/>
      <c r="AS56" s="111"/>
      <c r="AT56" s="111"/>
      <c r="AU56" s="111"/>
      <c r="AV56" s="111"/>
      <c r="AW56" s="111"/>
      <c r="AX56" s="111"/>
      <c r="AY56" s="111"/>
      <c r="AZ56" s="111"/>
      <c r="BA56" s="111"/>
      <c r="BB56" s="111"/>
      <c r="BC56" s="111"/>
      <c r="BD56" s="111"/>
      <c r="BE56" s="111"/>
      <c r="BF56" s="239"/>
      <c r="BG56" s="239"/>
      <c r="BH56" s="239"/>
      <c r="BI56" s="239"/>
    </row>
    <row r="57" spans="1:61" x14ac:dyDescent="0.3">
      <c r="A57" s="515">
        <v>650</v>
      </c>
      <c r="B57" s="516" t="s">
        <v>238</v>
      </c>
      <c r="C57" s="103" t="s">
        <v>112</v>
      </c>
      <c r="D57" s="517" t="str">
        <f t="shared" si="28"/>
        <v>X</v>
      </c>
      <c r="E57" s="517" t="str">
        <f t="shared" si="28"/>
        <v>✓</v>
      </c>
      <c r="F57" s="518"/>
      <c r="G57" s="520">
        <v>24.94</v>
      </c>
      <c r="H57" s="863">
        <v>24.94</v>
      </c>
      <c r="I57" s="520"/>
      <c r="J57" s="520"/>
      <c r="K57" s="520"/>
      <c r="L57" s="520"/>
      <c r="M57" s="617"/>
      <c r="N57" s="239"/>
      <c r="O57" s="110"/>
      <c r="P57" s="111"/>
      <c r="Q57" s="522"/>
      <c r="R57" s="523"/>
      <c r="S57" s="839"/>
      <c r="T57" s="839" t="e">
        <f t="shared" si="30"/>
        <v>#DIV/0!</v>
      </c>
      <c r="U57" s="839" t="e">
        <f>Passby_Length_Adj!J61/ITE_LUC_Rates!P57</f>
        <v>#DIV/0!</v>
      </c>
      <c r="V57" s="839" t="e">
        <f>8.21*Passby_Length_Adj!H61/ITE_LUC_Rates!O57</f>
        <v>#DIV/0!</v>
      </c>
      <c r="W57" s="839" t="e">
        <f t="shared" si="29"/>
        <v>#DIV/0!</v>
      </c>
      <c r="X57" s="111"/>
      <c r="Y57" s="814">
        <f>FEE_3_Out!S66</f>
        <v>15804.495906036926</v>
      </c>
      <c r="Z57" s="814">
        <f>FEE_3_Out!H66</f>
        <v>16172.01310300467</v>
      </c>
      <c r="AA57" s="807">
        <f t="shared" si="23"/>
        <v>0</v>
      </c>
      <c r="AB57" s="807">
        <f>FEE_3_Out!Q66*2</f>
        <v>120.77845036287646</v>
      </c>
      <c r="AC57" s="826">
        <f t="shared" si="4"/>
        <v>0</v>
      </c>
      <c r="AD57" s="808">
        <f t="shared" si="5"/>
        <v>0</v>
      </c>
      <c r="AE57" s="808">
        <f t="shared" si="6"/>
        <v>0</v>
      </c>
      <c r="AF57" s="811">
        <f t="shared" si="7"/>
        <v>0</v>
      </c>
      <c r="AG57" s="811">
        <f t="shared" si="8"/>
        <v>0</v>
      </c>
      <c r="AH57" s="811"/>
      <c r="AI57" s="811"/>
      <c r="AJ57" s="111">
        <v>55</v>
      </c>
      <c r="AK57" s="111"/>
      <c r="AL57" s="874"/>
      <c r="AM57" s="871">
        <f t="shared" si="12"/>
        <v>0</v>
      </c>
      <c r="AN57" s="111"/>
      <c r="AO57" s="111"/>
      <c r="AP57" s="111"/>
      <c r="AQ57" s="111"/>
      <c r="AR57" s="111"/>
      <c r="AS57" s="111"/>
      <c r="AT57" s="111"/>
      <c r="AU57" s="111"/>
      <c r="AV57" s="111"/>
      <c r="AW57" s="111"/>
      <c r="AX57" s="111"/>
      <c r="AY57" s="111"/>
      <c r="AZ57" s="111"/>
      <c r="BA57" s="111"/>
      <c r="BB57" s="111"/>
      <c r="BC57" s="111"/>
      <c r="BD57" s="111"/>
      <c r="BE57" s="111"/>
      <c r="BF57" s="239"/>
      <c r="BG57" s="239"/>
      <c r="BH57" s="239"/>
      <c r="BI57" s="239"/>
    </row>
    <row r="58" spans="1:61" s="136" customFormat="1" x14ac:dyDescent="0.3">
      <c r="A58" s="505" t="s">
        <v>454</v>
      </c>
      <c r="B58" s="506"/>
      <c r="C58" s="507"/>
      <c r="D58" s="508"/>
      <c r="E58" s="508"/>
      <c r="F58" s="534"/>
      <c r="G58" s="535"/>
      <c r="H58" s="863"/>
      <c r="I58" s="535"/>
      <c r="J58" s="535"/>
      <c r="K58" s="535"/>
      <c r="L58" s="535"/>
      <c r="M58" s="615"/>
      <c r="N58" s="616"/>
      <c r="O58" s="511"/>
      <c r="P58" s="512"/>
      <c r="Q58" s="536"/>
      <c r="R58" s="514"/>
      <c r="S58" s="838"/>
      <c r="T58" s="838"/>
      <c r="U58" s="838"/>
      <c r="V58" s="839" t="e">
        <f>8.21*Passby_Length_Adj!H62/ITE_LUC_Rates!O58</f>
        <v>#DIV/0!</v>
      </c>
      <c r="W58" s="838"/>
      <c r="X58" s="111"/>
      <c r="Y58" s="814">
        <f>FEE_3_Out!S67</f>
        <v>0</v>
      </c>
      <c r="Z58" s="814">
        <f>FEE_3_Out!H67</f>
        <v>0</v>
      </c>
      <c r="AA58" s="807">
        <f t="shared" si="23"/>
        <v>0</v>
      </c>
      <c r="AB58" s="807">
        <f>FEE_3_Out!Q67*2</f>
        <v>0</v>
      </c>
      <c r="AC58" s="826">
        <f t="shared" si="4"/>
        <v>0</v>
      </c>
      <c r="AD58" s="808">
        <f t="shared" si="5"/>
        <v>0</v>
      </c>
      <c r="AE58" s="808">
        <f t="shared" si="6"/>
        <v>0</v>
      </c>
      <c r="AF58" s="811">
        <f t="shared" si="7"/>
        <v>0</v>
      </c>
      <c r="AG58" s="811">
        <f t="shared" si="8"/>
        <v>0</v>
      </c>
      <c r="AH58" s="811"/>
      <c r="AI58" s="811"/>
      <c r="AJ58" s="111">
        <v>56</v>
      </c>
      <c r="AK58" s="111"/>
      <c r="AL58" s="874"/>
      <c r="AM58" s="871"/>
      <c r="AN58" s="111"/>
      <c r="AO58" s="111"/>
      <c r="AP58" s="111"/>
      <c r="AQ58" s="111"/>
      <c r="AR58" s="111"/>
      <c r="AS58" s="111"/>
      <c r="AT58" s="111"/>
      <c r="AU58" s="111"/>
      <c r="AV58" s="111"/>
      <c r="AW58" s="111"/>
      <c r="AX58" s="111"/>
      <c r="AY58" s="111"/>
      <c r="AZ58" s="111"/>
      <c r="BA58" s="111"/>
      <c r="BB58" s="111"/>
      <c r="BC58" s="111"/>
      <c r="BD58" s="111"/>
      <c r="BE58" s="111"/>
      <c r="BF58" s="239"/>
      <c r="BG58" s="239"/>
      <c r="BH58" s="239"/>
      <c r="BI58" s="239"/>
    </row>
    <row r="59" spans="1:61" x14ac:dyDescent="0.3">
      <c r="A59" s="515">
        <v>710</v>
      </c>
      <c r="B59" s="538" t="s">
        <v>455</v>
      </c>
      <c r="C59" s="103" t="s">
        <v>112</v>
      </c>
      <c r="D59" s="517" t="str">
        <f t="shared" ref="D59:D78" si="31">IF(F59,"✓","X")</f>
        <v>✓</v>
      </c>
      <c r="E59" s="517" t="str">
        <f t="shared" ref="E59:E78" si="32">IF(G59,"✓","X")</f>
        <v>✓</v>
      </c>
      <c r="F59" s="518">
        <v>15.65</v>
      </c>
      <c r="G59" s="539">
        <f>EXP((0.97*(LN(N59/1000)))+2.5)/(N59/1000)</f>
        <v>11.061091998412158</v>
      </c>
      <c r="H59" s="863">
        <f>EXP((0.87*(LN(N59/1000)))+3.05)/(N59/1000)</f>
        <v>13.895237322688882</v>
      </c>
      <c r="I59" s="520"/>
      <c r="J59" s="239"/>
      <c r="K59" s="239"/>
      <c r="L59" s="520"/>
      <c r="M59" s="617">
        <f t="shared" si="0"/>
        <v>15555.001809821344</v>
      </c>
      <c r="N59" s="343">
        <v>25000</v>
      </c>
      <c r="O59" s="110">
        <v>6.07</v>
      </c>
      <c r="P59" s="521">
        <v>1</v>
      </c>
      <c r="Q59" s="522">
        <v>15551.8</v>
      </c>
      <c r="R59" s="523">
        <f t="shared" si="1"/>
        <v>0.99979416204122051</v>
      </c>
      <c r="S59" s="839"/>
      <c r="T59" s="839">
        <f t="shared" ref="T59:T78" si="33">G59/F59</f>
        <v>0.7067790414320867</v>
      </c>
      <c r="U59" s="839">
        <f>Passby_Length_Adj!J63/ITE_LUC_Rates!P59</f>
        <v>1</v>
      </c>
      <c r="V59" s="839">
        <f>8.21*Passby_Length_Adj!H63/ITE_LUC_Rates!O59</f>
        <v>1.6779062191625469</v>
      </c>
      <c r="W59" s="839">
        <f t="shared" si="29"/>
        <v>1.1859089491926418</v>
      </c>
      <c r="X59" s="111"/>
      <c r="Y59" s="814">
        <f>FEE_3_Out!S68</f>
        <v>14197.439427882302</v>
      </c>
      <c r="Z59" s="814">
        <f>FEE_3_Out!H68</f>
        <v>14527.586189517488</v>
      </c>
      <c r="AA59" s="807">
        <f t="shared" si="23"/>
        <v>93.095590000000001</v>
      </c>
      <c r="AB59" s="807">
        <f>FEE_3_Out!Q68*2</f>
        <v>108.49727466254951</v>
      </c>
      <c r="AC59" s="826">
        <f t="shared" si="4"/>
        <v>0.16543946563472578</v>
      </c>
      <c r="AD59" s="808">
        <f t="shared" si="5"/>
        <v>-0.2932209585679133</v>
      </c>
      <c r="AE59" s="808">
        <f t="shared" si="6"/>
        <v>0.45866042420263908</v>
      </c>
      <c r="AF59" s="811">
        <f t="shared" si="7"/>
        <v>-8.7087062083983646E-2</v>
      </c>
      <c r="AG59" s="811">
        <f t="shared" si="8"/>
        <v>-6.5858216443274165E-2</v>
      </c>
      <c r="AH59" s="811"/>
      <c r="AI59" s="811"/>
      <c r="AJ59" s="111">
        <v>57</v>
      </c>
      <c r="AK59" s="111"/>
      <c r="AL59" s="874"/>
      <c r="AM59" s="871">
        <f t="shared" si="12"/>
        <v>-0.25622653935828138</v>
      </c>
      <c r="AN59" s="111"/>
      <c r="AO59" s="111"/>
      <c r="AP59" s="111"/>
      <c r="AQ59" s="111"/>
      <c r="AR59" s="111"/>
      <c r="AS59" s="111"/>
      <c r="AT59" s="111"/>
      <c r="AU59" s="111"/>
      <c r="AV59" s="111"/>
      <c r="AW59" s="111"/>
      <c r="AX59" s="111"/>
      <c r="AY59" s="111"/>
      <c r="AZ59" s="111"/>
      <c r="BA59" s="111"/>
      <c r="BB59" s="111"/>
      <c r="BC59" s="111"/>
      <c r="BD59" s="111"/>
      <c r="BE59" s="111"/>
      <c r="BF59" s="239"/>
      <c r="BG59" s="239"/>
      <c r="BH59" s="239"/>
      <c r="BI59" s="239"/>
    </row>
    <row r="60" spans="1:61" x14ac:dyDescent="0.3">
      <c r="A60" s="515">
        <v>710</v>
      </c>
      <c r="B60" s="538" t="s">
        <v>456</v>
      </c>
      <c r="C60" s="103" t="s">
        <v>112</v>
      </c>
      <c r="D60" s="517" t="str">
        <f t="shared" si="31"/>
        <v>✓</v>
      </c>
      <c r="E60" s="517" t="str">
        <f t="shared" si="32"/>
        <v>✓</v>
      </c>
      <c r="F60" s="518">
        <v>13.34</v>
      </c>
      <c r="G60" s="539">
        <f t="shared" ref="G60:G68" si="34">EXP((0.97*(LN(N60/1000)))+2.5)/(N60/1000)</f>
        <v>10.702478568874675</v>
      </c>
      <c r="H60" s="863">
        <f t="shared" ref="H60:H68" si="35">EXP((0.87*(LN(N60/1000)))+3.05)/(N60/1000)</f>
        <v>12.045926406618264</v>
      </c>
      <c r="I60" s="520"/>
      <c r="J60" s="239"/>
      <c r="K60" s="520"/>
      <c r="L60" s="520"/>
      <c r="M60" s="617">
        <f t="shared" si="0"/>
        <v>13259.023906902024</v>
      </c>
      <c r="N60" s="343">
        <v>75000</v>
      </c>
      <c r="O60" s="110">
        <v>6.07</v>
      </c>
      <c r="P60" s="521">
        <v>1</v>
      </c>
      <c r="Q60" s="522">
        <v>13259.2</v>
      </c>
      <c r="R60" s="523">
        <f t="shared" si="1"/>
        <v>1.0000132810001108</v>
      </c>
      <c r="S60" s="839"/>
      <c r="T60" s="839">
        <f t="shared" si="33"/>
        <v>0.80228475029045543</v>
      </c>
      <c r="U60" s="839">
        <f>Passby_Length_Adj!J64/ITE_LUC_Rates!P60</f>
        <v>1</v>
      </c>
      <c r="V60" s="839">
        <f>8.21*Passby_Length_Adj!H64/ITE_LUC_Rates!O60</f>
        <v>1.6779062191625469</v>
      </c>
      <c r="W60" s="839">
        <f t="shared" si="29"/>
        <v>1.346158572051626</v>
      </c>
      <c r="X60" s="111"/>
      <c r="Y60" s="814">
        <f>FEE_3_Out!S69</f>
        <v>13737.14197762925</v>
      </c>
      <c r="Z60" s="814">
        <f>FEE_3_Out!H69</f>
        <v>14056.584998398916</v>
      </c>
      <c r="AA60" s="807">
        <f t="shared" si="23"/>
        <v>79.354323999999991</v>
      </c>
      <c r="AB60" s="807">
        <f>FEE_3_Out!Q69*2</f>
        <v>104.97966719957998</v>
      </c>
      <c r="AC60" s="826">
        <f t="shared" si="4"/>
        <v>0.32292308607631748</v>
      </c>
      <c r="AD60" s="808">
        <f t="shared" si="5"/>
        <v>-0.19771524970954457</v>
      </c>
      <c r="AE60" s="808">
        <f t="shared" si="6"/>
        <v>0.52063833578586205</v>
      </c>
      <c r="AF60" s="811">
        <f t="shared" si="7"/>
        <v>3.604606444048275E-2</v>
      </c>
      <c r="AG60" s="811">
        <f t="shared" si="8"/>
        <v>6.0138243513855549E-2</v>
      </c>
      <c r="AH60" s="811"/>
      <c r="AI60" s="811"/>
      <c r="AJ60" s="111">
        <v>58</v>
      </c>
      <c r="AK60" s="111"/>
      <c r="AL60" s="874"/>
      <c r="AM60" s="871">
        <f t="shared" si="12"/>
        <v>-0.12552679541453621</v>
      </c>
      <c r="AN60" s="111"/>
      <c r="AO60" s="111"/>
      <c r="AP60" s="111"/>
      <c r="AQ60" s="111"/>
      <c r="AR60" s="111"/>
      <c r="AS60" s="111"/>
      <c r="AT60" s="111"/>
      <c r="AU60" s="111"/>
      <c r="AV60" s="111"/>
      <c r="AW60" s="111"/>
      <c r="AX60" s="111"/>
      <c r="AY60" s="111"/>
      <c r="AZ60" s="111"/>
      <c r="BA60" s="111"/>
      <c r="BB60" s="111"/>
      <c r="BC60" s="111"/>
      <c r="BD60" s="111"/>
      <c r="BE60" s="111"/>
      <c r="BF60" s="239"/>
      <c r="BG60" s="239"/>
      <c r="BH60" s="239"/>
      <c r="BI60" s="239"/>
    </row>
    <row r="61" spans="1:61" x14ac:dyDescent="0.3">
      <c r="A61" s="515">
        <v>710</v>
      </c>
      <c r="B61" s="538" t="s">
        <v>457</v>
      </c>
      <c r="C61" s="103" t="s">
        <v>112</v>
      </c>
      <c r="D61" s="517" t="str">
        <f t="shared" si="31"/>
        <v>✓</v>
      </c>
      <c r="E61" s="517" t="str">
        <f t="shared" si="32"/>
        <v>✓</v>
      </c>
      <c r="F61" s="518">
        <v>11.37</v>
      </c>
      <c r="G61" s="539">
        <f t="shared" si="34"/>
        <v>10.53971589568078</v>
      </c>
      <c r="H61" s="863">
        <f t="shared" si="35"/>
        <v>11.271971138693266</v>
      </c>
      <c r="I61" s="520"/>
      <c r="J61" s="239"/>
      <c r="K61" s="520"/>
      <c r="L61" s="520"/>
      <c r="M61" s="617">
        <f t="shared" si="0"/>
        <v>11300.982145537932</v>
      </c>
      <c r="N61" s="343">
        <v>125000</v>
      </c>
      <c r="O61" s="110">
        <v>6.07</v>
      </c>
      <c r="P61" s="521">
        <v>1</v>
      </c>
      <c r="Q61" s="522">
        <v>11306.4</v>
      </c>
      <c r="R61" s="523">
        <f t="shared" si="1"/>
        <v>1.0004794144785201</v>
      </c>
      <c r="S61" s="839"/>
      <c r="T61" s="839">
        <f t="shared" si="33"/>
        <v>0.92697589232020938</v>
      </c>
      <c r="U61" s="839">
        <f>Passby_Length_Adj!J65/ITE_LUC_Rates!P61</f>
        <v>1</v>
      </c>
      <c r="V61" s="839">
        <f>8.21*Passby_Length_Adj!H65/ITE_LUC_Rates!O61</f>
        <v>1.6779062191625469</v>
      </c>
      <c r="W61" s="839">
        <f t="shared" si="29"/>
        <v>1.5553786147378308</v>
      </c>
      <c r="X61" s="111"/>
      <c r="Y61" s="814">
        <f>FEE_3_Out!S70</f>
        <v>13528.228319364567</v>
      </c>
      <c r="Z61" s="814">
        <f>FEE_3_Out!H70</f>
        <v>13842.813269206175</v>
      </c>
      <c r="AA61" s="807">
        <f t="shared" si="23"/>
        <v>67.635581999999999</v>
      </c>
      <c r="AB61" s="807">
        <f>FEE_3_Out!Q70*2</f>
        <v>103.3831425109811</v>
      </c>
      <c r="AC61" s="826">
        <f t="shared" si="4"/>
        <v>0.52853186819596076</v>
      </c>
      <c r="AD61" s="808">
        <f t="shared" si="5"/>
        <v>-7.3024107679790617E-2</v>
      </c>
      <c r="AE61" s="808">
        <f t="shared" si="6"/>
        <v>0.60155597587575138</v>
      </c>
      <c r="AF61" s="811">
        <f t="shared" si="7"/>
        <v>0.19651067708241055</v>
      </c>
      <c r="AG61" s="811">
        <f t="shared" si="8"/>
        <v>0.22433429466551469</v>
      </c>
      <c r="AH61" s="811"/>
      <c r="AI61" s="811"/>
      <c r="AJ61" s="111">
        <v>59</v>
      </c>
      <c r="AK61" s="111"/>
      <c r="AL61" s="874"/>
      <c r="AM61" s="871">
        <f t="shared" si="12"/>
        <v>-6.9475804685832795E-2</v>
      </c>
      <c r="AN61" s="111"/>
      <c r="AO61" s="111"/>
      <c r="AP61" s="111"/>
      <c r="AQ61" s="111"/>
      <c r="AR61" s="111"/>
      <c r="AS61" s="111"/>
      <c r="AT61" s="111"/>
      <c r="AU61" s="111"/>
      <c r="AV61" s="111"/>
      <c r="AW61" s="111"/>
      <c r="AX61" s="111"/>
      <c r="AY61" s="111"/>
      <c r="AZ61" s="111"/>
      <c r="BA61" s="111"/>
      <c r="BB61" s="111"/>
      <c r="BC61" s="111"/>
      <c r="BD61" s="111"/>
      <c r="BE61" s="111"/>
      <c r="BF61" s="239"/>
      <c r="BG61" s="239"/>
      <c r="BH61" s="239"/>
      <c r="BI61" s="239"/>
    </row>
    <row r="62" spans="1:61" x14ac:dyDescent="0.3">
      <c r="A62" s="515">
        <v>710</v>
      </c>
      <c r="B62" s="538" t="s">
        <v>458</v>
      </c>
      <c r="C62" s="103" t="s">
        <v>112</v>
      </c>
      <c r="D62" s="517" t="str">
        <f t="shared" si="31"/>
        <v>✓</v>
      </c>
      <c r="E62" s="517" t="str">
        <f t="shared" si="32"/>
        <v>✓</v>
      </c>
      <c r="F62" s="518">
        <v>11.37</v>
      </c>
      <c r="G62" s="539">
        <f t="shared" si="34"/>
        <v>10.433861397564558</v>
      </c>
      <c r="H62" s="863">
        <f t="shared" si="35"/>
        <v>10.789547305550384</v>
      </c>
      <c r="I62" s="520"/>
      <c r="J62" s="239"/>
      <c r="K62" s="520"/>
      <c r="L62" s="520"/>
      <c r="M62" s="617">
        <f t="shared" si="0"/>
        <v>11300.982145537932</v>
      </c>
      <c r="N62" s="343">
        <v>175000</v>
      </c>
      <c r="O62" s="110">
        <v>6.07</v>
      </c>
      <c r="P62" s="521">
        <v>1</v>
      </c>
      <c r="Q62" s="522">
        <v>11306.4</v>
      </c>
      <c r="R62" s="523">
        <f t="shared" si="1"/>
        <v>1.0004794144785201</v>
      </c>
      <c r="S62" s="839"/>
      <c r="T62" s="839">
        <f t="shared" si="33"/>
        <v>0.91766591007603859</v>
      </c>
      <c r="U62" s="839">
        <f>Passby_Length_Adj!J66/ITE_LUC_Rates!P62</f>
        <v>1</v>
      </c>
      <c r="V62" s="839">
        <f>8.21*Passby_Length_Adj!H66/ITE_LUC_Rates!O62</f>
        <v>1.6779062191625469</v>
      </c>
      <c r="W62" s="839">
        <f t="shared" si="29"/>
        <v>1.5397573376300437</v>
      </c>
      <c r="X62" s="111"/>
      <c r="Y62" s="814">
        <f>FEE_3_Out!S71</f>
        <v>13392.359019535064</v>
      </c>
      <c r="Z62" s="814">
        <f>FEE_3_Out!H71</f>
        <v>13703.784469413866</v>
      </c>
      <c r="AA62" s="807">
        <f t="shared" si="23"/>
        <v>67.635581999999999</v>
      </c>
      <c r="AB62" s="807">
        <f>FEE_3_Out!Q71*2</f>
        <v>102.34482508644192</v>
      </c>
      <c r="AC62" s="826">
        <f t="shared" si="4"/>
        <v>0.51318022348712722</v>
      </c>
      <c r="AD62" s="808">
        <f t="shared" si="5"/>
        <v>-8.2334089923961407E-2</v>
      </c>
      <c r="AE62" s="808">
        <f t="shared" si="6"/>
        <v>0.59551431341108862</v>
      </c>
      <c r="AF62" s="811">
        <f t="shared" si="7"/>
        <v>0.184493651342166</v>
      </c>
      <c r="AG62" s="811">
        <f t="shared" si="8"/>
        <v>0.21203782542753369</v>
      </c>
      <c r="AH62" s="811"/>
      <c r="AI62" s="811"/>
      <c r="AJ62" s="111">
        <v>60</v>
      </c>
      <c r="AK62" s="111"/>
      <c r="AL62" s="874"/>
      <c r="AM62" s="871">
        <f t="shared" si="12"/>
        <v>-3.4089575702898403E-2</v>
      </c>
      <c r="AN62" s="111"/>
      <c r="AO62" s="111"/>
      <c r="AP62" s="111"/>
      <c r="AQ62" s="111"/>
      <c r="AR62" s="111"/>
      <c r="AS62" s="111"/>
      <c r="AT62" s="111"/>
      <c r="AU62" s="111"/>
      <c r="AV62" s="111"/>
      <c r="AW62" s="111"/>
      <c r="AX62" s="111"/>
      <c r="AY62" s="111"/>
      <c r="AZ62" s="111"/>
      <c r="BA62" s="111"/>
      <c r="BB62" s="111"/>
      <c r="BC62" s="111"/>
      <c r="BD62" s="111"/>
      <c r="BE62" s="111"/>
      <c r="BF62" s="239"/>
      <c r="BG62" s="239"/>
      <c r="BH62" s="239"/>
      <c r="BI62" s="239"/>
    </row>
    <row r="63" spans="1:61" x14ac:dyDescent="0.3">
      <c r="A63" s="515">
        <v>710</v>
      </c>
      <c r="B63" s="538" t="s">
        <v>459</v>
      </c>
      <c r="C63" s="103" t="s">
        <v>112</v>
      </c>
      <c r="D63" s="517" t="str">
        <f t="shared" si="31"/>
        <v>✓</v>
      </c>
      <c r="E63" s="517" t="str">
        <f t="shared" si="32"/>
        <v>✓</v>
      </c>
      <c r="F63" s="518">
        <v>10.36</v>
      </c>
      <c r="G63" s="539">
        <f t="shared" si="34"/>
        <v>10.322811679029327</v>
      </c>
      <c r="H63" s="863">
        <f t="shared" si="35"/>
        <v>10.300681732616008</v>
      </c>
      <c r="I63" s="520"/>
      <c r="J63" s="239"/>
      <c r="K63" s="520"/>
      <c r="L63" s="520"/>
      <c r="M63" s="617">
        <f t="shared" si="0"/>
        <v>10297.113019153296</v>
      </c>
      <c r="N63" s="343">
        <v>250000</v>
      </c>
      <c r="O63" s="110">
        <v>6.07</v>
      </c>
      <c r="P63" s="521">
        <v>1</v>
      </c>
      <c r="Q63" s="522">
        <v>10298.9</v>
      </c>
      <c r="R63" s="523">
        <f t="shared" si="1"/>
        <v>1.0001735419280511</v>
      </c>
      <c r="S63" s="839"/>
      <c r="T63" s="839">
        <f t="shared" si="33"/>
        <v>0.99641039372869955</v>
      </c>
      <c r="U63" s="839">
        <f>Passby_Length_Adj!J67/ITE_LUC_Rates!P63</f>
        <v>1</v>
      </c>
      <c r="V63" s="839">
        <f>8.21*Passby_Length_Adj!H67/ITE_LUC_Rates!O63</f>
        <v>1.6779062191625469</v>
      </c>
      <c r="W63" s="839">
        <f t="shared" si="29"/>
        <v>1.6718831964755869</v>
      </c>
      <c r="X63" s="111"/>
      <c r="Y63" s="814">
        <f>FEE_3_Out!S72</f>
        <v>13249.821406375922</v>
      </c>
      <c r="Z63" s="814">
        <f>FEE_3_Out!H72</f>
        <v>13557.93229156616</v>
      </c>
      <c r="AA63" s="807">
        <f t="shared" si="23"/>
        <v>61.627495999999994</v>
      </c>
      <c r="AB63" s="807">
        <f>FEE_3_Out!Q72*2</f>
        <v>101.25554820357668</v>
      </c>
      <c r="AC63" s="826">
        <f t="shared" si="4"/>
        <v>0.64302551256628515</v>
      </c>
      <c r="AD63" s="808">
        <f t="shared" si="5"/>
        <v>-3.5896062713004495E-3</v>
      </c>
      <c r="AE63" s="808">
        <f t="shared" si="6"/>
        <v>0.6466151188375856</v>
      </c>
      <c r="AF63" s="811">
        <f t="shared" si="7"/>
        <v>0.286527823978864</v>
      </c>
      <c r="AG63" s="811">
        <f t="shared" si="8"/>
        <v>0.31644469715854706</v>
      </c>
      <c r="AH63" s="811"/>
      <c r="AI63" s="811"/>
      <c r="AJ63" s="111">
        <v>61</v>
      </c>
      <c r="AK63" s="111"/>
      <c r="AL63" s="874"/>
      <c r="AM63" s="871">
        <f t="shared" si="12"/>
        <v>2.1437905777430409E-3</v>
      </c>
      <c r="AN63" s="111"/>
      <c r="AO63" s="111"/>
      <c r="AP63" s="111"/>
      <c r="AQ63" s="111"/>
      <c r="AR63" s="111"/>
      <c r="AS63" s="111"/>
      <c r="AT63" s="111"/>
      <c r="AU63" s="111"/>
      <c r="AV63" s="111"/>
      <c r="AW63" s="111"/>
      <c r="AX63" s="111"/>
      <c r="AY63" s="111"/>
      <c r="AZ63" s="111"/>
      <c r="BA63" s="111"/>
      <c r="BB63" s="111"/>
      <c r="BC63" s="111"/>
      <c r="BD63" s="111"/>
      <c r="BE63" s="111"/>
      <c r="BF63" s="239"/>
      <c r="BG63" s="239"/>
      <c r="BH63" s="239"/>
      <c r="BI63" s="239"/>
    </row>
    <row r="64" spans="1:61" x14ac:dyDescent="0.3">
      <c r="A64" s="515">
        <v>710</v>
      </c>
      <c r="B64" s="538" t="s">
        <v>460</v>
      </c>
      <c r="C64" s="103" t="s">
        <v>112</v>
      </c>
      <c r="D64" s="517" t="str">
        <f t="shared" si="31"/>
        <v>✓</v>
      </c>
      <c r="E64" s="517" t="str">
        <f t="shared" si="32"/>
        <v>✓</v>
      </c>
      <c r="F64" s="518">
        <v>9.6999999999999993</v>
      </c>
      <c r="G64" s="539">
        <f t="shared" si="34"/>
        <v>10.21913563498342</v>
      </c>
      <c r="H64" s="863">
        <f t="shared" si="35"/>
        <v>9.8598276615498222</v>
      </c>
      <c r="I64" s="520"/>
      <c r="J64" s="239"/>
      <c r="K64" s="520"/>
      <c r="L64" s="520"/>
      <c r="M64" s="617">
        <f t="shared" si="0"/>
        <v>9641.1193326049197</v>
      </c>
      <c r="N64" s="343">
        <v>350000</v>
      </c>
      <c r="O64" s="110">
        <v>6.07</v>
      </c>
      <c r="P64" s="521">
        <v>1</v>
      </c>
      <c r="Q64" s="522">
        <v>9639.5</v>
      </c>
      <c r="R64" s="523">
        <f t="shared" si="1"/>
        <v>0.99983203894184325</v>
      </c>
      <c r="S64" s="839"/>
      <c r="T64" s="839">
        <f t="shared" si="33"/>
        <v>1.0535191376271569</v>
      </c>
      <c r="U64" s="839">
        <f>Passby_Length_Adj!J68/ITE_LUC_Rates!P64</f>
        <v>1</v>
      </c>
      <c r="V64" s="839">
        <f>8.21*Passby_Length_Adj!H68/ITE_LUC_Rates!O64</f>
        <v>1.6779062191625469</v>
      </c>
      <c r="W64" s="839">
        <f t="shared" si="29"/>
        <v>1.7677063130313697</v>
      </c>
      <c r="X64" s="111"/>
      <c r="Y64" s="814">
        <f>FEE_3_Out!S73</f>
        <v>13116.748256303983</v>
      </c>
      <c r="Z64" s="814">
        <f>FEE_3_Out!H73</f>
        <v>13421.764663100421</v>
      </c>
      <c r="AA64" s="807">
        <f t="shared" si="23"/>
        <v>57.701419999999999</v>
      </c>
      <c r="AB64" s="807">
        <f>FEE_3_Out!Q73*2</f>
        <v>100.23859904264482</v>
      </c>
      <c r="AC64" s="826">
        <f t="shared" si="4"/>
        <v>0.73719466596566985</v>
      </c>
      <c r="AD64" s="808">
        <f t="shared" si="5"/>
        <v>5.3519137627156876E-2</v>
      </c>
      <c r="AE64" s="808">
        <f t="shared" si="6"/>
        <v>0.68367552833851297</v>
      </c>
      <c r="AF64" s="811">
        <f t="shared" si="7"/>
        <v>0.36072911004761488</v>
      </c>
      <c r="AG64" s="811">
        <f t="shared" si="8"/>
        <v>0.39237145734741641</v>
      </c>
      <c r="AH64" s="811"/>
      <c r="AI64" s="811"/>
      <c r="AJ64" s="111">
        <v>62</v>
      </c>
      <c r="AK64" s="111"/>
      <c r="AL64" s="874"/>
      <c r="AM64" s="871">
        <f t="shared" si="12"/>
        <v>3.5160309664896715E-2</v>
      </c>
      <c r="AN64" s="111"/>
      <c r="AO64" s="111"/>
      <c r="AP64" s="111"/>
      <c r="AQ64" s="111"/>
      <c r="AR64" s="111"/>
      <c r="AS64" s="111"/>
      <c r="AT64" s="111"/>
      <c r="AU64" s="111"/>
      <c r="AV64" s="111"/>
      <c r="AW64" s="111"/>
      <c r="AX64" s="111"/>
      <c r="AY64" s="111"/>
      <c r="AZ64" s="111"/>
      <c r="BA64" s="111"/>
      <c r="BB64" s="111"/>
      <c r="BC64" s="111"/>
      <c r="BD64" s="111"/>
      <c r="BE64" s="111"/>
      <c r="BF64" s="239"/>
      <c r="BG64" s="239"/>
      <c r="BH64" s="239"/>
      <c r="BI64" s="239"/>
    </row>
    <row r="65" spans="1:61" x14ac:dyDescent="0.3">
      <c r="A65" s="515">
        <v>710</v>
      </c>
      <c r="B65" s="538" t="s">
        <v>461</v>
      </c>
      <c r="C65" s="103" t="s">
        <v>112</v>
      </c>
      <c r="D65" s="517" t="str">
        <f t="shared" si="31"/>
        <v>✓</v>
      </c>
      <c r="E65" s="517" t="str">
        <f t="shared" si="32"/>
        <v>✓</v>
      </c>
      <c r="F65" s="518">
        <v>9.2100000000000009</v>
      </c>
      <c r="G65" s="539">
        <f t="shared" si="34"/>
        <v>10.142378862949085</v>
      </c>
      <c r="H65" s="863">
        <f t="shared" si="35"/>
        <v>9.5429037383885422</v>
      </c>
      <c r="I65" s="520"/>
      <c r="J65" s="239"/>
      <c r="K65" s="520"/>
      <c r="L65" s="520"/>
      <c r="M65" s="617">
        <f t="shared" si="0"/>
        <v>9154.0937168341552</v>
      </c>
      <c r="N65" s="343">
        <v>450000</v>
      </c>
      <c r="O65" s="110">
        <v>6.07</v>
      </c>
      <c r="P65" s="521">
        <v>1</v>
      </c>
      <c r="Q65" s="522">
        <v>9156.7999999999993</v>
      </c>
      <c r="R65" s="523">
        <f t="shared" si="1"/>
        <v>1.0002956363840658</v>
      </c>
      <c r="S65" s="839"/>
      <c r="T65" s="839">
        <f t="shared" si="33"/>
        <v>1.1012354900053294</v>
      </c>
      <c r="U65" s="839">
        <f>Passby_Length_Adj!J69/ITE_LUC_Rates!P65</f>
        <v>1</v>
      </c>
      <c r="V65" s="839">
        <f>8.21*Passby_Length_Adj!H69/ITE_LUC_Rates!O65</f>
        <v>1.6779062191625469</v>
      </c>
      <c r="W65" s="839">
        <f t="shared" si="29"/>
        <v>1.8477698774424569</v>
      </c>
      <c r="X65" s="111"/>
      <c r="Y65" s="814">
        <f>FEE_3_Out!S74</f>
        <v>13018.227276477248</v>
      </c>
      <c r="Z65" s="814">
        <f>FEE_3_Out!H74</f>
        <v>13320.952679842529</v>
      </c>
      <c r="AA65" s="807">
        <f t="shared" si="23"/>
        <v>54.786606000000006</v>
      </c>
      <c r="AB65" s="807">
        <f>FEE_3_Out!Q74*2</f>
        <v>99.485698643767805</v>
      </c>
      <c r="AC65" s="826">
        <f t="shared" si="4"/>
        <v>0.81587628632749754</v>
      </c>
      <c r="AD65" s="808">
        <f t="shared" si="5"/>
        <v>0.10123549000532939</v>
      </c>
      <c r="AE65" s="808">
        <f t="shared" si="6"/>
        <v>0.71464079632216815</v>
      </c>
      <c r="AF65" s="811">
        <f t="shared" si="7"/>
        <v>0.42170051507920325</v>
      </c>
      <c r="AG65" s="811">
        <f t="shared" si="8"/>
        <v>0.45476068930658409</v>
      </c>
      <c r="AH65" s="811"/>
      <c r="AI65" s="811"/>
      <c r="AJ65" s="111">
        <v>63</v>
      </c>
      <c r="AK65" s="111"/>
      <c r="AL65" s="874"/>
      <c r="AM65" s="871">
        <f t="shared" si="12"/>
        <v>5.9105968398643967E-2</v>
      </c>
      <c r="AN65" s="111"/>
      <c r="AO65" s="111"/>
      <c r="AP65" s="111"/>
      <c r="AQ65" s="111"/>
      <c r="AR65" s="111"/>
      <c r="AS65" s="111"/>
      <c r="AT65" s="111"/>
      <c r="AU65" s="111"/>
      <c r="AV65" s="111"/>
      <c r="AW65" s="111"/>
      <c r="AX65" s="111"/>
      <c r="AY65" s="111"/>
      <c r="AZ65" s="111"/>
      <c r="BA65" s="111"/>
      <c r="BB65" s="111"/>
      <c r="BC65" s="111"/>
      <c r="BD65" s="111"/>
      <c r="BE65" s="111"/>
      <c r="BF65" s="239"/>
      <c r="BG65" s="239"/>
      <c r="BH65" s="239"/>
      <c r="BI65" s="239"/>
    </row>
    <row r="66" spans="1:61" x14ac:dyDescent="0.3">
      <c r="A66" s="515">
        <v>710</v>
      </c>
      <c r="B66" s="538" t="s">
        <v>462</v>
      </c>
      <c r="C66" s="103" t="s">
        <v>112</v>
      </c>
      <c r="D66" s="517" t="str">
        <f t="shared" si="31"/>
        <v>✓</v>
      </c>
      <c r="E66" s="517" t="str">
        <f t="shared" si="32"/>
        <v>✓</v>
      </c>
      <c r="F66" s="518">
        <v>8.83</v>
      </c>
      <c r="G66" s="539">
        <f t="shared" si="34"/>
        <v>10.081503937403301</v>
      </c>
      <c r="H66" s="863">
        <f t="shared" si="35"/>
        <v>9.2971753092022915</v>
      </c>
      <c r="I66" s="520"/>
      <c r="J66" s="239"/>
      <c r="K66" s="520"/>
      <c r="L66" s="520"/>
      <c r="M66" s="617">
        <f t="shared" si="0"/>
        <v>8776.4003821547885</v>
      </c>
      <c r="N66" s="343">
        <v>550000</v>
      </c>
      <c r="O66" s="110">
        <v>6.07</v>
      </c>
      <c r="P66" s="521">
        <v>1</v>
      </c>
      <c r="Q66" s="522">
        <v>8781.7000000000007</v>
      </c>
      <c r="R66" s="523">
        <f t="shared" si="1"/>
        <v>1.0006038486867563</v>
      </c>
      <c r="S66" s="839"/>
      <c r="T66" s="839">
        <f t="shared" si="33"/>
        <v>1.141733175243862</v>
      </c>
      <c r="U66" s="839">
        <f>Passby_Length_Adj!J70/ITE_LUC_Rates!P66</f>
        <v>1</v>
      </c>
      <c r="V66" s="839">
        <f>8.21*Passby_Length_Adj!H70/ITE_LUC_Rates!O66</f>
        <v>1.6779062191625469</v>
      </c>
      <c r="W66" s="839">
        <f t="shared" si="29"/>
        <v>1.9157211953658779</v>
      </c>
      <c r="X66" s="111"/>
      <c r="Y66" s="814">
        <f>FEE_3_Out!S75</f>
        <v>12940.091404518387</v>
      </c>
      <c r="Z66" s="814">
        <f>FEE_3_Out!H75</f>
        <v>13240.999839040393</v>
      </c>
      <c r="AA66" s="807">
        <f t="shared" si="23"/>
        <v>52.526138000000003</v>
      </c>
      <c r="AB66" s="807">
        <f>FEE_3_Out!Q75*2</f>
        <v>98.888581874650313</v>
      </c>
      <c r="AC66" s="826">
        <f t="shared" si="4"/>
        <v>0.88265472467536643</v>
      </c>
      <c r="AD66" s="808">
        <f t="shared" si="5"/>
        <v>0.14173317524386198</v>
      </c>
      <c r="AE66" s="808">
        <f t="shared" si="6"/>
        <v>0.74092154943150446</v>
      </c>
      <c r="AF66" s="811">
        <f t="shared" si="7"/>
        <v>0.47352920328847325</v>
      </c>
      <c r="AG66" s="811">
        <f t="shared" si="8"/>
        <v>0.50779460002509658</v>
      </c>
      <c r="AH66" s="811"/>
      <c r="AI66" s="811"/>
      <c r="AJ66" s="111">
        <v>64</v>
      </c>
      <c r="AK66" s="111"/>
      <c r="AL66" s="874"/>
      <c r="AM66" s="871">
        <f t="shared" si="12"/>
        <v>7.7798772194203974E-2</v>
      </c>
      <c r="AN66" s="111"/>
      <c r="AO66" s="111"/>
      <c r="AP66" s="111"/>
      <c r="AQ66" s="111"/>
      <c r="AR66" s="111"/>
      <c r="AS66" s="111"/>
      <c r="AT66" s="111"/>
      <c r="AU66" s="111"/>
      <c r="AV66" s="111"/>
      <c r="AW66" s="111"/>
      <c r="AX66" s="111"/>
      <c r="AY66" s="111"/>
      <c r="AZ66" s="111"/>
      <c r="BA66" s="111"/>
      <c r="BB66" s="111"/>
      <c r="BC66" s="111"/>
      <c r="BD66" s="111"/>
      <c r="BE66" s="111"/>
      <c r="BF66" s="239"/>
      <c r="BG66" s="239"/>
      <c r="BH66" s="239"/>
      <c r="BI66" s="239"/>
    </row>
    <row r="67" spans="1:61" x14ac:dyDescent="0.3">
      <c r="A67" s="515">
        <v>710</v>
      </c>
      <c r="B67" s="538" t="s">
        <v>463</v>
      </c>
      <c r="C67" s="103" t="s">
        <v>112</v>
      </c>
      <c r="D67" s="517" t="str">
        <f t="shared" si="31"/>
        <v>✓</v>
      </c>
      <c r="E67" s="517" t="str">
        <f t="shared" si="32"/>
        <v>✓</v>
      </c>
      <c r="F67" s="518">
        <v>8.5299999999999994</v>
      </c>
      <c r="G67" s="539">
        <f t="shared" si="34"/>
        <v>10.031105639143441</v>
      </c>
      <c r="H67" s="863">
        <f t="shared" si="35"/>
        <v>9.097444890424601</v>
      </c>
      <c r="I67" s="520"/>
      <c r="J67" s="239"/>
      <c r="K67" s="520"/>
      <c r="L67" s="520"/>
      <c r="M67" s="617">
        <f t="shared" ref="M67:M127" si="36">((F67*0.97*(P67/2)*O67)/8500)*(1951500-278800)*1.02*1.682</f>
        <v>8478.2214337237056</v>
      </c>
      <c r="N67" s="343">
        <v>650000</v>
      </c>
      <c r="O67" s="110">
        <v>6.07</v>
      </c>
      <c r="P67" s="521">
        <v>1</v>
      </c>
      <c r="Q67" s="522">
        <v>8475.6</v>
      </c>
      <c r="R67" s="523">
        <f t="shared" si="1"/>
        <v>0.99969080381490416</v>
      </c>
      <c r="S67" s="839"/>
      <c r="T67" s="839">
        <f t="shared" si="33"/>
        <v>1.1759795591023965</v>
      </c>
      <c r="U67" s="839">
        <f>Passby_Length_Adj!J71/ITE_LUC_Rates!P67</f>
        <v>1</v>
      </c>
      <c r="V67" s="839">
        <f>8.21*Passby_Length_Adj!H71/ITE_LUC_Rates!O67</f>
        <v>1.6779062191625469</v>
      </c>
      <c r="W67" s="839">
        <f t="shared" si="29"/>
        <v>1.9731834158259409</v>
      </c>
      <c r="X67" s="111"/>
      <c r="Y67" s="814">
        <f>FEE_3_Out!S76</f>
        <v>12875.402783637612</v>
      </c>
      <c r="Z67" s="814">
        <f>FEE_3_Out!H76</f>
        <v>13174.806951224236</v>
      </c>
      <c r="AA67" s="807">
        <f t="shared" ref="AA67:AA98" si="37">F67*O67*P67*0.98</f>
        <v>50.741557999999998</v>
      </c>
      <c r="AB67" s="807">
        <f>FEE_3_Out!Q76*2</f>
        <v>98.394229417441778</v>
      </c>
      <c r="AC67" s="826">
        <f t="shared" si="4"/>
        <v>0.93912511353005335</v>
      </c>
      <c r="AD67" s="808">
        <f t="shared" si="5"/>
        <v>0.17597955910239649</v>
      </c>
      <c r="AE67" s="808">
        <f t="shared" si="6"/>
        <v>0.76314555442765686</v>
      </c>
      <c r="AF67" s="811">
        <f t="shared" si="7"/>
        <v>0.51911401949568314</v>
      </c>
      <c r="AG67" s="811">
        <f t="shared" si="8"/>
        <v>0.55443944395962941</v>
      </c>
      <c r="AH67" s="811"/>
      <c r="AI67" s="811"/>
      <c r="AJ67" s="111">
        <v>65</v>
      </c>
      <c r="AK67" s="111"/>
      <c r="AL67" s="874"/>
      <c r="AM67" s="871">
        <f t="shared" si="12"/>
        <v>9.3076554300804387E-2</v>
      </c>
      <c r="AN67" s="111"/>
      <c r="AO67" s="111"/>
      <c r="AP67" s="111"/>
      <c r="AQ67" s="111"/>
      <c r="AR67" s="111"/>
      <c r="AS67" s="111"/>
      <c r="AT67" s="111"/>
      <c r="AU67" s="111"/>
      <c r="AV67" s="111"/>
      <c r="AW67" s="111"/>
      <c r="AX67" s="111"/>
      <c r="AY67" s="111"/>
      <c r="AZ67" s="111"/>
      <c r="BA67" s="111"/>
      <c r="BB67" s="111"/>
      <c r="BC67" s="111"/>
      <c r="BD67" s="111"/>
      <c r="BE67" s="111"/>
      <c r="BF67" s="239"/>
      <c r="BG67" s="239"/>
      <c r="BH67" s="239"/>
      <c r="BI67" s="239"/>
    </row>
    <row r="68" spans="1:61" x14ac:dyDescent="0.3">
      <c r="A68" s="515">
        <v>710</v>
      </c>
      <c r="B68" s="538" t="s">
        <v>464</v>
      </c>
      <c r="C68" s="103" t="s">
        <v>112</v>
      </c>
      <c r="D68" s="517" t="str">
        <f t="shared" si="31"/>
        <v>✓</v>
      </c>
      <c r="E68" s="517" t="str">
        <f t="shared" si="32"/>
        <v>✓</v>
      </c>
      <c r="F68" s="518">
        <v>8.27</v>
      </c>
      <c r="G68" s="539">
        <f t="shared" si="34"/>
        <v>9.9688142805499087</v>
      </c>
      <c r="H68" s="863">
        <f t="shared" si="35"/>
        <v>8.8551611993781822</v>
      </c>
      <c r="I68" s="520"/>
      <c r="J68" s="239"/>
      <c r="K68" s="520"/>
      <c r="L68" s="520"/>
      <c r="M68" s="617">
        <f t="shared" si="36"/>
        <v>8219.7996784167699</v>
      </c>
      <c r="N68" s="343">
        <v>800000</v>
      </c>
      <c r="O68" s="110">
        <v>6.07</v>
      </c>
      <c r="P68" s="521">
        <v>1</v>
      </c>
      <c r="Q68" s="522">
        <v>8218.2999999999993</v>
      </c>
      <c r="R68" s="523">
        <f t="shared" ref="R68:R128" si="38">Q68/M68</f>
        <v>0.99981755292398322</v>
      </c>
      <c r="S68" s="839"/>
      <c r="T68" s="839">
        <f t="shared" si="33"/>
        <v>1.2054188972853579</v>
      </c>
      <c r="U68" s="839">
        <f>Passby_Length_Adj!J72/ITE_LUC_Rates!P68</f>
        <v>1</v>
      </c>
      <c r="V68" s="839">
        <f>8.21*Passby_Length_Adj!H72/ITE_LUC_Rates!O68</f>
        <v>1.6779062191625469</v>
      </c>
      <c r="W68" s="839">
        <f t="shared" si="29"/>
        <v>2.0225798644511612</v>
      </c>
      <c r="X68" s="111"/>
      <c r="Y68" s="814">
        <f>FEE_3_Out!S77</f>
        <v>12795.448852268164</v>
      </c>
      <c r="Z68" s="814">
        <f>FEE_3_Out!H77</f>
        <v>13092.993773921344</v>
      </c>
      <c r="AA68" s="807">
        <f t="shared" si="37"/>
        <v>49.194921999999998</v>
      </c>
      <c r="AB68" s="807">
        <f>FEE_3_Out!Q77*2</f>
        <v>97.783218981637049</v>
      </c>
      <c r="AC68" s="826">
        <f t="shared" ref="AC68:AC128" si="39">IFERROR(AB68/AA68-1, 0)</f>
        <v>0.98766895049934322</v>
      </c>
      <c r="AD68" s="808">
        <f t="shared" ref="AD68:AD128" si="40">IFERROR((G68/F68)-1, 0)</f>
        <v>0.20541889728535789</v>
      </c>
      <c r="AE68" s="808">
        <f t="shared" ref="AE68:AE128" si="41">AC68-AD68</f>
        <v>0.78225005321398533</v>
      </c>
      <c r="AF68" s="811">
        <f t="shared" ref="AF68:AF128" si="42">IFERROR((Y68/Q68-1), 0)</f>
        <v>0.55694594408431985</v>
      </c>
      <c r="AG68" s="811">
        <f t="shared" ref="AG68:AG128" si="43">IFERROR((Z68/Q68-1), 0)</f>
        <v>0.59315111080410121</v>
      </c>
      <c r="AH68" s="811"/>
      <c r="AI68" s="811"/>
      <c r="AJ68" s="111">
        <v>66</v>
      </c>
      <c r="AK68" s="111"/>
      <c r="AL68" s="874"/>
      <c r="AM68" s="871">
        <f t="shared" ref="AM68:AM128" si="44">(G68-H68)/G68</f>
        <v>0.11171369531324984</v>
      </c>
      <c r="AN68" s="111"/>
      <c r="AO68" s="111"/>
      <c r="AP68" s="111"/>
      <c r="AQ68" s="111"/>
      <c r="AR68" s="111"/>
      <c r="AS68" s="111"/>
      <c r="AT68" s="111"/>
      <c r="AU68" s="111"/>
      <c r="AV68" s="111"/>
      <c r="AW68" s="111"/>
      <c r="AX68" s="111"/>
      <c r="AY68" s="111"/>
      <c r="AZ68" s="111"/>
      <c r="BA68" s="111"/>
      <c r="BB68" s="111"/>
      <c r="BC68" s="111"/>
      <c r="BD68" s="111"/>
      <c r="BE68" s="111"/>
      <c r="BF68" s="239"/>
      <c r="BG68" s="239"/>
      <c r="BH68" s="239"/>
      <c r="BI68" s="239"/>
    </row>
    <row r="69" spans="1:61" x14ac:dyDescent="0.3">
      <c r="A69" s="515">
        <v>712</v>
      </c>
      <c r="B69" s="516" t="s">
        <v>260</v>
      </c>
      <c r="C69" s="103" t="s">
        <v>112</v>
      </c>
      <c r="D69" s="517" t="str">
        <f t="shared" si="31"/>
        <v>X</v>
      </c>
      <c r="E69" s="517" t="str">
        <f t="shared" si="32"/>
        <v>✓</v>
      </c>
      <c r="F69" s="518"/>
      <c r="G69" s="520">
        <v>16.190000000000001</v>
      </c>
      <c r="H69" s="863">
        <v>14.39</v>
      </c>
      <c r="I69" s="520"/>
      <c r="J69" s="520"/>
      <c r="K69" s="520"/>
      <c r="L69" s="520"/>
      <c r="M69" s="617"/>
      <c r="N69" s="239"/>
      <c r="O69" s="110"/>
      <c r="P69" s="111"/>
      <c r="Q69" s="522"/>
      <c r="R69" s="523"/>
      <c r="S69" s="839"/>
      <c r="T69" s="839" t="e">
        <f t="shared" si="33"/>
        <v>#DIV/0!</v>
      </c>
      <c r="U69" s="839" t="e">
        <f>Passby_Length_Adj!J73/ITE_LUC_Rates!P69</f>
        <v>#DIV/0!</v>
      </c>
      <c r="V69" s="839" t="e">
        <f>8.21*Passby_Length_Adj!H73/ITE_LUC_Rates!O69</f>
        <v>#DIV/0!</v>
      </c>
      <c r="W69" s="839" t="e">
        <f t="shared" si="29"/>
        <v>#DIV/0!</v>
      </c>
      <c r="X69" s="111"/>
      <c r="Y69" s="814">
        <f>FEE_3_Out!S78</f>
        <v>20780.637605257318</v>
      </c>
      <c r="Z69" s="814">
        <f>FEE_3_Out!H78</f>
        <v>21263.869827866165</v>
      </c>
      <c r="AA69" s="807">
        <f t="shared" si="37"/>
        <v>0</v>
      </c>
      <c r="AB69" s="807">
        <f>FEE_3_Out!Q78*2</f>
        <v>158.8062803418357</v>
      </c>
      <c r="AC69" s="826">
        <f t="shared" si="39"/>
        <v>0</v>
      </c>
      <c r="AD69" s="808">
        <f t="shared" si="40"/>
        <v>0</v>
      </c>
      <c r="AE69" s="808">
        <f t="shared" si="41"/>
        <v>0</v>
      </c>
      <c r="AF69" s="811">
        <f t="shared" si="42"/>
        <v>0</v>
      </c>
      <c r="AG69" s="811">
        <f t="shared" si="43"/>
        <v>0</v>
      </c>
      <c r="AH69" s="811"/>
      <c r="AI69" s="811"/>
      <c r="AJ69" s="111">
        <v>67</v>
      </c>
      <c r="AK69" s="111"/>
      <c r="AL69" s="874"/>
      <c r="AM69" s="871">
        <f t="shared" si="44"/>
        <v>0.11117974058060534</v>
      </c>
      <c r="AN69" s="111"/>
      <c r="AO69" s="111"/>
      <c r="AP69" s="111"/>
      <c r="AQ69" s="111"/>
      <c r="AR69" s="111"/>
      <c r="AS69" s="111"/>
      <c r="AT69" s="111"/>
      <c r="AU69" s="111"/>
      <c r="AV69" s="111"/>
      <c r="AW69" s="111"/>
      <c r="AX69" s="111"/>
      <c r="AY69" s="111"/>
      <c r="AZ69" s="111"/>
      <c r="BA69" s="111"/>
      <c r="BB69" s="111"/>
      <c r="BC69" s="111"/>
      <c r="BD69" s="111"/>
      <c r="BE69" s="111"/>
      <c r="BF69" s="239"/>
      <c r="BG69" s="239"/>
      <c r="BH69" s="239"/>
      <c r="BI69" s="239"/>
    </row>
    <row r="70" spans="1:61" x14ac:dyDescent="0.3">
      <c r="A70" s="515">
        <v>714</v>
      </c>
      <c r="B70" s="516" t="s">
        <v>262</v>
      </c>
      <c r="C70" s="103" t="s">
        <v>112</v>
      </c>
      <c r="D70" s="517" t="str">
        <f t="shared" si="31"/>
        <v>X</v>
      </c>
      <c r="E70" s="517" t="str">
        <f t="shared" si="32"/>
        <v>✓</v>
      </c>
      <c r="F70" s="518"/>
      <c r="G70" s="520">
        <v>7.95</v>
      </c>
      <c r="H70" s="863">
        <v>7.95</v>
      </c>
      <c r="I70" s="520"/>
      <c r="J70" s="520"/>
      <c r="K70" s="520"/>
      <c r="L70" s="520">
        <v>13.14</v>
      </c>
      <c r="M70" s="617"/>
      <c r="N70" s="239"/>
      <c r="O70" s="110"/>
      <c r="P70" s="111"/>
      <c r="Q70" s="522"/>
      <c r="R70" s="523"/>
      <c r="S70" s="839"/>
      <c r="T70" s="839" t="e">
        <f t="shared" si="33"/>
        <v>#DIV/0!</v>
      </c>
      <c r="U70" s="839" t="e">
        <f>Passby_Length_Adj!J74/ITE_LUC_Rates!P70</f>
        <v>#DIV/0!</v>
      </c>
      <c r="V70" s="839" t="e">
        <f>8.21*Passby_Length_Adj!H74/ITE_LUC_Rates!O70</f>
        <v>#DIV/0!</v>
      </c>
      <c r="W70" s="839" t="e">
        <f t="shared" si="29"/>
        <v>#DIV/0!</v>
      </c>
      <c r="X70" s="111"/>
      <c r="Y70" s="814">
        <f>FEE_3_Out!S79</f>
        <v>10204.204383063352</v>
      </c>
      <c r="Z70" s="814">
        <f>FEE_3_Out!H79</f>
        <v>10441.492596141818</v>
      </c>
      <c r="AA70" s="807">
        <f t="shared" si="37"/>
        <v>0</v>
      </c>
      <c r="AB70" s="807">
        <f>FEE_3_Out!Q79*2</f>
        <v>77.980847975144769</v>
      </c>
      <c r="AC70" s="826">
        <f t="shared" si="39"/>
        <v>0</v>
      </c>
      <c r="AD70" s="808">
        <f t="shared" si="40"/>
        <v>0</v>
      </c>
      <c r="AE70" s="808">
        <f t="shared" si="41"/>
        <v>0</v>
      </c>
      <c r="AF70" s="811">
        <f t="shared" si="42"/>
        <v>0</v>
      </c>
      <c r="AG70" s="811">
        <f t="shared" si="43"/>
        <v>0</v>
      </c>
      <c r="AH70" s="811"/>
      <c r="AI70" s="811"/>
      <c r="AJ70" s="111">
        <v>68</v>
      </c>
      <c r="AK70" s="111"/>
      <c r="AL70" s="874"/>
      <c r="AM70" s="871">
        <f t="shared" si="44"/>
        <v>0</v>
      </c>
      <c r="AN70" s="111"/>
      <c r="AO70" s="111"/>
      <c r="AP70" s="111"/>
      <c r="AQ70" s="111"/>
      <c r="AR70" s="111"/>
      <c r="AS70" s="111"/>
      <c r="AT70" s="111"/>
      <c r="AU70" s="111"/>
      <c r="AV70" s="111"/>
      <c r="AW70" s="111"/>
      <c r="AX70" s="111"/>
      <c r="AY70" s="111"/>
      <c r="AZ70" s="111"/>
      <c r="BA70" s="111"/>
      <c r="BB70" s="111"/>
      <c r="BC70" s="111"/>
      <c r="BD70" s="111"/>
      <c r="BE70" s="111"/>
      <c r="BF70" s="239"/>
      <c r="BG70" s="239"/>
      <c r="BH70" s="239"/>
      <c r="BI70" s="239"/>
    </row>
    <row r="71" spans="1:61" x14ac:dyDescent="0.3">
      <c r="A71" s="515">
        <v>715</v>
      </c>
      <c r="B71" s="516" t="s">
        <v>264</v>
      </c>
      <c r="C71" s="103" t="s">
        <v>112</v>
      </c>
      <c r="D71" s="517" t="str">
        <f t="shared" si="31"/>
        <v>X</v>
      </c>
      <c r="E71" s="517" t="str">
        <f t="shared" si="32"/>
        <v>✓</v>
      </c>
      <c r="F71" s="518"/>
      <c r="G71" s="520">
        <v>11.25</v>
      </c>
      <c r="H71" s="863">
        <v>13.07</v>
      </c>
      <c r="I71" s="520"/>
      <c r="J71" s="520"/>
      <c r="K71" s="520"/>
      <c r="L71" s="520"/>
      <c r="M71" s="617"/>
      <c r="N71" s="239"/>
      <c r="O71" s="110"/>
      <c r="P71" s="111"/>
      <c r="Q71" s="522"/>
      <c r="R71" s="523"/>
      <c r="S71" s="839"/>
      <c r="T71" s="839" t="e">
        <f t="shared" si="33"/>
        <v>#DIV/0!</v>
      </c>
      <c r="U71" s="839" t="e">
        <f>Passby_Length_Adj!J75/ITE_LUC_Rates!P71</f>
        <v>#DIV/0!</v>
      </c>
      <c r="V71" s="839" t="e">
        <f>8.21*Passby_Length_Adj!H75/ITE_LUC_Rates!O71</f>
        <v>#DIV/0!</v>
      </c>
      <c r="W71" s="839" t="e">
        <f t="shared" si="29"/>
        <v>#DIV/0!</v>
      </c>
      <c r="X71" s="111"/>
      <c r="Y71" s="814">
        <f>FEE_3_Out!S80</f>
        <v>14439.911862825496</v>
      </c>
      <c r="Z71" s="814">
        <f>FEE_3_Out!H80</f>
        <v>14775.697070012004</v>
      </c>
      <c r="AA71" s="807">
        <f t="shared" si="37"/>
        <v>0</v>
      </c>
      <c r="AB71" s="807">
        <f>FEE_3_Out!Q80*2</f>
        <v>110.35025656860108</v>
      </c>
      <c r="AC71" s="826">
        <f t="shared" si="39"/>
        <v>0</v>
      </c>
      <c r="AD71" s="808">
        <f t="shared" si="40"/>
        <v>0</v>
      </c>
      <c r="AE71" s="808">
        <f t="shared" si="41"/>
        <v>0</v>
      </c>
      <c r="AF71" s="811">
        <f t="shared" si="42"/>
        <v>0</v>
      </c>
      <c r="AG71" s="811">
        <f t="shared" si="43"/>
        <v>0</v>
      </c>
      <c r="AH71" s="811"/>
      <c r="AI71" s="811"/>
      <c r="AJ71" s="111">
        <v>69</v>
      </c>
      <c r="AK71" s="111"/>
      <c r="AL71" s="874"/>
      <c r="AM71" s="871">
        <f t="shared" si="44"/>
        <v>-0.1617777777777778</v>
      </c>
      <c r="AN71" s="111"/>
      <c r="AO71" s="111"/>
      <c r="AP71" s="111"/>
      <c r="AQ71" s="111"/>
      <c r="AR71" s="111"/>
      <c r="AS71" s="111"/>
      <c r="AT71" s="111"/>
      <c r="AU71" s="111"/>
      <c r="AV71" s="111"/>
      <c r="AW71" s="111"/>
      <c r="AX71" s="111"/>
      <c r="AY71" s="111"/>
      <c r="AZ71" s="111"/>
      <c r="BA71" s="111"/>
      <c r="BB71" s="111"/>
      <c r="BC71" s="111"/>
      <c r="BD71" s="111"/>
      <c r="BE71" s="111"/>
      <c r="BF71" s="239"/>
      <c r="BG71" s="239"/>
      <c r="BH71" s="239"/>
      <c r="BI71" s="239"/>
    </row>
    <row r="72" spans="1:61" x14ac:dyDescent="0.3">
      <c r="A72" s="515">
        <v>720</v>
      </c>
      <c r="B72" s="516" t="s">
        <v>266</v>
      </c>
      <c r="C72" s="103" t="s">
        <v>112</v>
      </c>
      <c r="D72" s="517" t="str">
        <f t="shared" si="31"/>
        <v>✓</v>
      </c>
      <c r="E72" s="517" t="str">
        <f t="shared" si="32"/>
        <v>✓</v>
      </c>
      <c r="F72" s="518">
        <v>36.130000000000003</v>
      </c>
      <c r="G72" s="520">
        <v>34.799999999999997</v>
      </c>
      <c r="H72" s="863">
        <v>36</v>
      </c>
      <c r="I72" s="520"/>
      <c r="J72" s="520"/>
      <c r="K72" s="520"/>
      <c r="L72" s="520"/>
      <c r="M72" s="617">
        <f t="shared" si="36"/>
        <v>35910.684689383073</v>
      </c>
      <c r="N72" s="239"/>
      <c r="O72" s="110">
        <v>6.07</v>
      </c>
      <c r="P72" s="521">
        <v>1</v>
      </c>
      <c r="Q72" s="522">
        <v>35910.699999999997</v>
      </c>
      <c r="R72" s="523">
        <f t="shared" si="38"/>
        <v>1.0000004263526874</v>
      </c>
      <c r="S72" s="839"/>
      <c r="T72" s="839">
        <f t="shared" si="33"/>
        <v>0.96318848602269569</v>
      </c>
      <c r="U72" s="839">
        <f>Passby_Length_Adj!J76/ITE_LUC_Rates!P72</f>
        <v>0.91800000000000004</v>
      </c>
      <c r="V72" s="839">
        <f>8.21*Passby_Length_Adj!H76/ITE_LUC_Rates!O72</f>
        <v>1.2074911530632053</v>
      </c>
      <c r="W72" s="839">
        <f t="shared" si="29"/>
        <v>1.0676721664051585</v>
      </c>
      <c r="X72" s="111"/>
      <c r="Y72" s="814">
        <f>FEE_3_Out!S81</f>
        <v>29508.709627234599</v>
      </c>
      <c r="Z72" s="814">
        <f>FEE_3_Out!H81</f>
        <v>30194.904132444593</v>
      </c>
      <c r="AA72" s="807">
        <f t="shared" si="37"/>
        <v>214.92291800000004</v>
      </c>
      <c r="AB72" s="807">
        <f>FEE_3_Out!Q81*2</f>
        <v>225.50647880038505</v>
      </c>
      <c r="AC72" s="826">
        <f t="shared" si="39"/>
        <v>4.924351902008417E-2</v>
      </c>
      <c r="AD72" s="808">
        <f t="shared" si="40"/>
        <v>-3.6811513977304311E-2</v>
      </c>
      <c r="AE72" s="808">
        <f t="shared" si="41"/>
        <v>8.6055032997388481E-2</v>
      </c>
      <c r="AF72" s="811">
        <f t="shared" si="42"/>
        <v>-0.17827528766538658</v>
      </c>
      <c r="AG72" s="811">
        <f t="shared" si="43"/>
        <v>-0.15916692984418024</v>
      </c>
      <c r="AH72" s="811"/>
      <c r="AI72" s="811"/>
      <c r="AJ72" s="111">
        <v>70</v>
      </c>
      <c r="AK72" s="111"/>
      <c r="AL72" s="874"/>
      <c r="AM72" s="871">
        <f t="shared" si="44"/>
        <v>-3.4482758620689738E-2</v>
      </c>
      <c r="AN72" s="111"/>
      <c r="AO72" s="111"/>
      <c r="AP72" s="111"/>
      <c r="AQ72" s="111"/>
      <c r="AR72" s="111"/>
      <c r="AS72" s="111"/>
      <c r="AT72" s="111"/>
      <c r="AU72" s="111"/>
      <c r="AV72" s="111"/>
      <c r="AW72" s="111"/>
      <c r="AX72" s="111"/>
      <c r="AY72" s="111"/>
      <c r="AZ72" s="111"/>
      <c r="BA72" s="111"/>
      <c r="BB72" s="111"/>
      <c r="BC72" s="111"/>
      <c r="BD72" s="111"/>
      <c r="BE72" s="111"/>
      <c r="BF72" s="239"/>
      <c r="BG72" s="239"/>
      <c r="BH72" s="239"/>
      <c r="BI72" s="239"/>
    </row>
    <row r="73" spans="1:61" x14ac:dyDescent="0.3">
      <c r="A73" s="515">
        <v>730</v>
      </c>
      <c r="B73" s="516" t="s">
        <v>268</v>
      </c>
      <c r="C73" s="103" t="s">
        <v>112</v>
      </c>
      <c r="D73" s="517" t="str">
        <f t="shared" si="31"/>
        <v>X</v>
      </c>
      <c r="E73" s="517" t="str">
        <f t="shared" si="32"/>
        <v>✓</v>
      </c>
      <c r="F73" s="518"/>
      <c r="G73" s="520">
        <v>22.59</v>
      </c>
      <c r="H73" s="863">
        <v>22.59</v>
      </c>
      <c r="I73" s="520"/>
      <c r="J73" s="520"/>
      <c r="K73" s="520"/>
      <c r="L73" s="520"/>
      <c r="M73" s="617"/>
      <c r="N73" s="239"/>
      <c r="O73" s="110"/>
      <c r="P73" s="111"/>
      <c r="Q73" s="522"/>
      <c r="R73" s="523"/>
      <c r="S73" s="839"/>
      <c r="T73" s="839" t="e">
        <f t="shared" si="33"/>
        <v>#DIV/0!</v>
      </c>
      <c r="U73" s="839" t="e">
        <f>Passby_Length_Adj!J77/ITE_LUC_Rates!P73</f>
        <v>#DIV/0!</v>
      </c>
      <c r="V73" s="839" t="e">
        <f>8.21*Passby_Length_Adj!H77/ITE_LUC_Rates!O73</f>
        <v>#DIV/0!</v>
      </c>
      <c r="W73" s="839" t="e">
        <f t="shared" si="29"/>
        <v>#DIV/0!</v>
      </c>
      <c r="X73" s="111"/>
      <c r="Y73" s="814">
        <f>FEE_3_Out!S82</f>
        <v>28995.343020553595</v>
      </c>
      <c r="Z73" s="814">
        <f>FEE_3_Out!H82</f>
        <v>29669.599716584104</v>
      </c>
      <c r="AA73" s="807">
        <f t="shared" si="37"/>
        <v>0</v>
      </c>
      <c r="AB73" s="807">
        <f>FEE_3_Out!Q82*2</f>
        <v>221.58331518975095</v>
      </c>
      <c r="AC73" s="826">
        <f t="shared" si="39"/>
        <v>0</v>
      </c>
      <c r="AD73" s="808">
        <f t="shared" si="40"/>
        <v>0</v>
      </c>
      <c r="AE73" s="808">
        <f t="shared" si="41"/>
        <v>0</v>
      </c>
      <c r="AF73" s="811">
        <f t="shared" si="42"/>
        <v>0</v>
      </c>
      <c r="AG73" s="811">
        <f t="shared" si="43"/>
        <v>0</v>
      </c>
      <c r="AH73" s="811"/>
      <c r="AI73" s="811"/>
      <c r="AJ73" s="111">
        <v>71</v>
      </c>
      <c r="AK73" s="111"/>
      <c r="AL73" s="874"/>
      <c r="AM73" s="871">
        <f t="shared" si="44"/>
        <v>0</v>
      </c>
      <c r="AN73" s="111"/>
      <c r="AO73" s="111"/>
      <c r="AP73" s="111"/>
      <c r="AQ73" s="111"/>
      <c r="AR73" s="111"/>
      <c r="AS73" s="111"/>
      <c r="AT73" s="111"/>
      <c r="AU73" s="111"/>
      <c r="AV73" s="111"/>
      <c r="AW73" s="111"/>
      <c r="AX73" s="111"/>
      <c r="AY73" s="111"/>
      <c r="AZ73" s="111"/>
      <c r="BA73" s="111"/>
      <c r="BB73" s="111"/>
      <c r="BC73" s="111"/>
      <c r="BD73" s="111"/>
      <c r="BE73" s="111"/>
      <c r="BF73" s="239"/>
      <c r="BG73" s="239"/>
      <c r="BH73" s="239"/>
      <c r="BI73" s="239"/>
    </row>
    <row r="74" spans="1:61" x14ac:dyDescent="0.3">
      <c r="A74" s="515">
        <v>731</v>
      </c>
      <c r="B74" s="516" t="s">
        <v>270</v>
      </c>
      <c r="C74" s="103" t="s">
        <v>112</v>
      </c>
      <c r="D74" s="517" t="str">
        <f t="shared" si="31"/>
        <v>X</v>
      </c>
      <c r="E74" s="517" t="str">
        <f t="shared" si="32"/>
        <v>✓</v>
      </c>
      <c r="F74" s="518"/>
      <c r="G74" s="520">
        <v>11.21</v>
      </c>
      <c r="H74" s="863">
        <v>11.21</v>
      </c>
      <c r="I74" s="520"/>
      <c r="J74" s="520"/>
      <c r="K74" s="520"/>
      <c r="L74" s="520"/>
      <c r="M74" s="617"/>
      <c r="N74" s="239"/>
      <c r="O74" s="110"/>
      <c r="P74" s="111"/>
      <c r="Q74" s="522"/>
      <c r="R74" s="523"/>
      <c r="S74" s="839"/>
      <c r="T74" s="839" t="e">
        <f t="shared" si="33"/>
        <v>#DIV/0!</v>
      </c>
      <c r="U74" s="839" t="e">
        <f>Passby_Length_Adj!J78/ITE_LUC_Rates!P74</f>
        <v>#DIV/0!</v>
      </c>
      <c r="V74" s="839" t="e">
        <f>8.21*Passby_Length_Adj!H78/ITE_LUC_Rates!O74</f>
        <v>#DIV/0!</v>
      </c>
      <c r="W74" s="839" t="e">
        <f t="shared" si="29"/>
        <v>#DIV/0!</v>
      </c>
      <c r="X74" s="111"/>
      <c r="Y74" s="814">
        <f>FEE_3_Out!S83</f>
        <v>7103.7850483830771</v>
      </c>
      <c r="Z74" s="814">
        <f>FEE_3_Out!H83</f>
        <v>7268.9762183112416</v>
      </c>
      <c r="AA74" s="807">
        <f t="shared" si="37"/>
        <v>0</v>
      </c>
      <c r="AB74" s="807">
        <f>FEE_3_Out!Q83*2</f>
        <v>54.287346774973742</v>
      </c>
      <c r="AC74" s="826">
        <f t="shared" si="39"/>
        <v>0</v>
      </c>
      <c r="AD74" s="808">
        <f t="shared" si="40"/>
        <v>0</v>
      </c>
      <c r="AE74" s="808">
        <f t="shared" si="41"/>
        <v>0</v>
      </c>
      <c r="AF74" s="811">
        <f t="shared" si="42"/>
        <v>0</v>
      </c>
      <c r="AG74" s="811">
        <f t="shared" si="43"/>
        <v>0</v>
      </c>
      <c r="AH74" s="811"/>
      <c r="AI74" s="811"/>
      <c r="AJ74" s="111">
        <v>72</v>
      </c>
      <c r="AK74" s="111"/>
      <c r="AL74" s="874"/>
      <c r="AM74" s="871">
        <f t="shared" si="44"/>
        <v>0</v>
      </c>
      <c r="AN74" s="111"/>
      <c r="AO74" s="111"/>
      <c r="AP74" s="111"/>
      <c r="AQ74" s="111"/>
      <c r="AR74" s="111"/>
      <c r="AS74" s="111"/>
      <c r="AT74" s="111"/>
      <c r="AU74" s="111"/>
      <c r="AV74" s="111"/>
      <c r="AW74" s="111"/>
      <c r="AX74" s="111"/>
      <c r="AY74" s="111"/>
      <c r="AZ74" s="111"/>
      <c r="BA74" s="111"/>
      <c r="BB74" s="111"/>
      <c r="BC74" s="111"/>
      <c r="BD74" s="111"/>
      <c r="BE74" s="111"/>
      <c r="BF74" s="239"/>
      <c r="BG74" s="239"/>
      <c r="BH74" s="239"/>
      <c r="BI74" s="239"/>
    </row>
    <row r="75" spans="1:61" x14ac:dyDescent="0.3">
      <c r="A75" s="515">
        <v>733</v>
      </c>
      <c r="B75" s="516" t="s">
        <v>272</v>
      </c>
      <c r="C75" s="103" t="s">
        <v>112</v>
      </c>
      <c r="D75" s="517" t="str">
        <f t="shared" si="31"/>
        <v>X</v>
      </c>
      <c r="E75" s="517" t="str">
        <f t="shared" si="32"/>
        <v>✓</v>
      </c>
      <c r="F75" s="518"/>
      <c r="G75" s="520">
        <v>33.979999999999997</v>
      </c>
      <c r="H75" s="863">
        <v>33.979999999999997</v>
      </c>
      <c r="I75" s="520"/>
      <c r="J75" s="520"/>
      <c r="K75" s="520"/>
      <c r="L75" s="520"/>
      <c r="M75" s="617"/>
      <c r="N75" s="239"/>
      <c r="O75" s="110"/>
      <c r="P75" s="111"/>
      <c r="Q75" s="522"/>
      <c r="R75" s="523"/>
      <c r="S75" s="839"/>
      <c r="T75" s="839" t="e">
        <f t="shared" si="33"/>
        <v>#DIV/0!</v>
      </c>
      <c r="U75" s="839" t="e">
        <f>Passby_Length_Adj!J79/ITE_LUC_Rates!P75</f>
        <v>#DIV/0!</v>
      </c>
      <c r="V75" s="839" t="e">
        <f>8.21*Passby_Length_Adj!H79/ITE_LUC_Rates!O75</f>
        <v>#DIV/0!</v>
      </c>
      <c r="W75" s="839" t="e">
        <f t="shared" si="29"/>
        <v>#DIV/0!</v>
      </c>
      <c r="X75" s="111"/>
      <c r="Y75" s="814">
        <f>FEE_3_Out!S84</f>
        <v>43614.951564338699</v>
      </c>
      <c r="Z75" s="814">
        <f>FEE_3_Out!H84</f>
        <v>44629.172127911814</v>
      </c>
      <c r="AA75" s="807">
        <f t="shared" si="37"/>
        <v>0</v>
      </c>
      <c r="AB75" s="807">
        <f>FEE_3_Out!Q84*2</f>
        <v>333.30681939565017</v>
      </c>
      <c r="AC75" s="826">
        <f t="shared" si="39"/>
        <v>0</v>
      </c>
      <c r="AD75" s="808">
        <f t="shared" si="40"/>
        <v>0</v>
      </c>
      <c r="AE75" s="808">
        <f t="shared" si="41"/>
        <v>0</v>
      </c>
      <c r="AF75" s="811">
        <f t="shared" si="42"/>
        <v>0</v>
      </c>
      <c r="AG75" s="811">
        <f t="shared" si="43"/>
        <v>0</v>
      </c>
      <c r="AH75" s="811"/>
      <c r="AI75" s="811"/>
      <c r="AJ75" s="111">
        <v>73</v>
      </c>
      <c r="AK75" s="111"/>
      <c r="AL75" s="874"/>
      <c r="AM75" s="871">
        <f t="shared" si="44"/>
        <v>0</v>
      </c>
      <c r="AN75" s="111"/>
      <c r="AO75" s="111"/>
      <c r="AP75" s="111"/>
      <c r="AQ75" s="111"/>
      <c r="AR75" s="111"/>
      <c r="AS75" s="111"/>
      <c r="AT75" s="111"/>
      <c r="AU75" s="111"/>
      <c r="AV75" s="111"/>
      <c r="AW75" s="111"/>
      <c r="AX75" s="111"/>
      <c r="AY75" s="111"/>
      <c r="AZ75" s="111"/>
      <c r="BA75" s="111"/>
      <c r="BB75" s="111"/>
      <c r="BC75" s="111"/>
      <c r="BD75" s="111"/>
      <c r="BE75" s="111"/>
      <c r="BF75" s="239"/>
      <c r="BG75" s="239"/>
      <c r="BH75" s="239"/>
      <c r="BI75" s="239"/>
    </row>
    <row r="76" spans="1:61" x14ac:dyDescent="0.3">
      <c r="A76" s="515">
        <v>750</v>
      </c>
      <c r="B76" s="516" t="s">
        <v>274</v>
      </c>
      <c r="C76" s="103" t="s">
        <v>112</v>
      </c>
      <c r="D76" s="517" t="str">
        <f t="shared" si="31"/>
        <v>✓</v>
      </c>
      <c r="E76" s="517" t="str">
        <f t="shared" si="32"/>
        <v>✓</v>
      </c>
      <c r="F76" s="518">
        <v>11.42</v>
      </c>
      <c r="G76" s="520">
        <v>11.07</v>
      </c>
      <c r="H76" s="863">
        <v>11.07</v>
      </c>
      <c r="I76" s="520"/>
      <c r="J76" s="520"/>
      <c r="K76" s="520"/>
      <c r="L76" s="520"/>
      <c r="M76" s="617">
        <f t="shared" si="36"/>
        <v>11350.678636943112</v>
      </c>
      <c r="N76" s="239"/>
      <c r="O76" s="110">
        <v>6.07</v>
      </c>
      <c r="P76" s="521">
        <v>1</v>
      </c>
      <c r="Q76" s="522">
        <v>11350.1</v>
      </c>
      <c r="R76" s="523">
        <f t="shared" si="38"/>
        <v>0.99994902181960921</v>
      </c>
      <c r="S76" s="839"/>
      <c r="T76" s="839">
        <f t="shared" si="33"/>
        <v>0.96935201401050786</v>
      </c>
      <c r="U76" s="839">
        <f>Passby_Length_Adj!J80/ITE_LUC_Rates!P76</f>
        <v>1</v>
      </c>
      <c r="V76" s="839">
        <f>8.21*Passby_Length_Adj!H80/ITE_LUC_Rates!O76</f>
        <v>1.6779062191625469</v>
      </c>
      <c r="W76" s="839">
        <f t="shared" si="29"/>
        <v>1.6264817728659715</v>
      </c>
      <c r="X76" s="111"/>
      <c r="Y76" s="814">
        <f>FEE_3_Out!S85</f>
        <v>14208.873273020288</v>
      </c>
      <c r="Z76" s="814">
        <f>FEE_3_Out!H85</f>
        <v>14539.285916891811</v>
      </c>
      <c r="AA76" s="807">
        <f t="shared" si="37"/>
        <v>67.933012000000005</v>
      </c>
      <c r="AB76" s="807">
        <f>FEE_3_Out!Q85*2</f>
        <v>108.58465246350346</v>
      </c>
      <c r="AC76" s="826">
        <f t="shared" si="39"/>
        <v>0.59840774413923303</v>
      </c>
      <c r="AD76" s="808">
        <f t="shared" si="40"/>
        <v>-3.0647985989492144E-2</v>
      </c>
      <c r="AE76" s="808">
        <f t="shared" si="41"/>
        <v>0.62905573012872518</v>
      </c>
      <c r="AF76" s="811">
        <f t="shared" si="42"/>
        <v>0.25187207804515266</v>
      </c>
      <c r="AG76" s="811">
        <f t="shared" si="43"/>
        <v>0.28098306771674353</v>
      </c>
      <c r="AH76" s="811"/>
      <c r="AI76" s="811"/>
      <c r="AJ76" s="111">
        <v>74</v>
      </c>
      <c r="AK76" s="111"/>
      <c r="AL76" s="874"/>
      <c r="AM76" s="871">
        <f t="shared" si="44"/>
        <v>0</v>
      </c>
      <c r="AN76" s="111"/>
      <c r="AO76" s="111"/>
      <c r="AP76" s="111"/>
      <c r="AQ76" s="111"/>
      <c r="AR76" s="111"/>
      <c r="AS76" s="111"/>
      <c r="AT76" s="111"/>
      <c r="AU76" s="111"/>
      <c r="AV76" s="111"/>
      <c r="AW76" s="111"/>
      <c r="AX76" s="111"/>
      <c r="AY76" s="111"/>
      <c r="AZ76" s="111"/>
      <c r="BA76" s="111"/>
      <c r="BB76" s="111"/>
      <c r="BC76" s="111"/>
      <c r="BD76" s="111"/>
      <c r="BE76" s="111"/>
      <c r="BF76" s="239"/>
      <c r="BG76" s="239"/>
      <c r="BH76" s="239"/>
      <c r="BI76" s="239"/>
    </row>
    <row r="77" spans="1:61" x14ac:dyDescent="0.3">
      <c r="A77" s="515">
        <v>760</v>
      </c>
      <c r="B77" s="516" t="s">
        <v>276</v>
      </c>
      <c r="C77" s="103" t="s">
        <v>112</v>
      </c>
      <c r="D77" s="517" t="str">
        <f t="shared" si="31"/>
        <v>✓</v>
      </c>
      <c r="E77" s="517" t="str">
        <f t="shared" si="32"/>
        <v>✓</v>
      </c>
      <c r="F77" s="518">
        <v>8.11</v>
      </c>
      <c r="G77" s="520">
        <v>11.26</v>
      </c>
      <c r="H77" s="863">
        <v>11.08</v>
      </c>
      <c r="I77" s="520"/>
      <c r="J77" s="520"/>
      <c r="K77" s="520"/>
      <c r="L77" s="520"/>
      <c r="M77" s="617">
        <f t="shared" si="36"/>
        <v>8060.7709059201943</v>
      </c>
      <c r="N77" s="239"/>
      <c r="O77" s="110">
        <v>6.07</v>
      </c>
      <c r="P77" s="521">
        <v>1</v>
      </c>
      <c r="Q77" s="522">
        <v>8060.1</v>
      </c>
      <c r="R77" s="523">
        <f t="shared" si="38"/>
        <v>0.99991676901278748</v>
      </c>
      <c r="S77" s="839"/>
      <c r="T77" s="839">
        <f t="shared" si="33"/>
        <v>1.3884093711467325</v>
      </c>
      <c r="U77" s="839">
        <f>Passby_Length_Adj!J81/ITE_LUC_Rates!P77</f>
        <v>1</v>
      </c>
      <c r="V77" s="839">
        <f>8.21*Passby_Length_Adj!H81/ITE_LUC_Rates!O77</f>
        <v>1.6779062191625469</v>
      </c>
      <c r="W77" s="839">
        <f t="shared" si="29"/>
        <v>2.3296207185906632</v>
      </c>
      <c r="X77" s="111"/>
      <c r="Y77" s="814">
        <f>FEE_3_Out!S86</f>
        <v>14452.747340036896</v>
      </c>
      <c r="Z77" s="814">
        <f>FEE_3_Out!H86</f>
        <v>14788.831022963124</v>
      </c>
      <c r="AA77" s="807">
        <f t="shared" si="37"/>
        <v>48.243145999999996</v>
      </c>
      <c r="AB77" s="807">
        <f>FEE_3_Out!Q86*2</f>
        <v>110.44834568555093</v>
      </c>
      <c r="AC77" s="826">
        <f t="shared" si="39"/>
        <v>1.2894100995310493</v>
      </c>
      <c r="AD77" s="808">
        <f t="shared" si="40"/>
        <v>0.38840937114673246</v>
      </c>
      <c r="AE77" s="808">
        <f t="shared" si="41"/>
        <v>0.90100072838431688</v>
      </c>
      <c r="AF77" s="811">
        <f t="shared" si="42"/>
        <v>0.79312258409162362</v>
      </c>
      <c r="AG77" s="811">
        <f t="shared" si="43"/>
        <v>0.83481979416671304</v>
      </c>
      <c r="AH77" s="811"/>
      <c r="AI77" s="811"/>
      <c r="AJ77" s="111">
        <v>75</v>
      </c>
      <c r="AK77" s="111"/>
      <c r="AL77" s="874"/>
      <c r="AM77" s="871">
        <f t="shared" si="44"/>
        <v>1.598579040852573E-2</v>
      </c>
      <c r="AN77" s="111"/>
      <c r="AO77" s="111"/>
      <c r="AP77" s="111"/>
      <c r="AQ77" s="111"/>
      <c r="AR77" s="111"/>
      <c r="AS77" s="111"/>
      <c r="AT77" s="111"/>
      <c r="AU77" s="111"/>
      <c r="AV77" s="111"/>
      <c r="AW77" s="111"/>
      <c r="AX77" s="111"/>
      <c r="AY77" s="111"/>
      <c r="AZ77" s="111"/>
      <c r="BA77" s="111"/>
      <c r="BB77" s="111"/>
      <c r="BC77" s="111"/>
      <c r="BD77" s="111"/>
      <c r="BE77" s="111"/>
      <c r="BF77" s="239"/>
      <c r="BG77" s="239"/>
      <c r="BH77" s="239"/>
      <c r="BI77" s="239"/>
    </row>
    <row r="78" spans="1:61" x14ac:dyDescent="0.3">
      <c r="A78" s="515">
        <v>770</v>
      </c>
      <c r="B78" s="516" t="s">
        <v>278</v>
      </c>
      <c r="C78" s="103" t="s">
        <v>112</v>
      </c>
      <c r="D78" s="517" t="str">
        <f t="shared" si="31"/>
        <v>✓</v>
      </c>
      <c r="E78" s="517" t="str">
        <f t="shared" si="32"/>
        <v>✓</v>
      </c>
      <c r="F78" s="518">
        <v>12.76</v>
      </c>
      <c r="G78" s="520">
        <v>12.44</v>
      </c>
      <c r="H78" s="863">
        <v>12.44</v>
      </c>
      <c r="I78" s="520"/>
      <c r="J78" s="520"/>
      <c r="K78" s="520"/>
      <c r="L78" s="520"/>
      <c r="M78" s="617">
        <f t="shared" si="36"/>
        <v>12682.544606601938</v>
      </c>
      <c r="N78" s="239"/>
      <c r="O78" s="110">
        <v>6.07</v>
      </c>
      <c r="P78" s="521">
        <v>1</v>
      </c>
      <c r="Q78" s="522">
        <v>12682.3</v>
      </c>
      <c r="R78" s="523">
        <f t="shared" si="38"/>
        <v>0.99998071312898751</v>
      </c>
      <c r="S78" s="839"/>
      <c r="T78" s="839">
        <f t="shared" si="33"/>
        <v>0.97492163009404387</v>
      </c>
      <c r="U78" s="839">
        <f>Passby_Length_Adj!J82/ITE_LUC_Rates!P78</f>
        <v>1</v>
      </c>
      <c r="V78" s="839">
        <f>8.21*Passby_Length_Adj!H82/ITE_LUC_Rates!O78</f>
        <v>1.6779062191625469</v>
      </c>
      <c r="W78" s="839">
        <f t="shared" si="29"/>
        <v>1.6358270663308843</v>
      </c>
      <c r="X78" s="111"/>
      <c r="Y78" s="814">
        <f>FEE_3_Out!S87</f>
        <v>15967.333650982146</v>
      </c>
      <c r="Z78" s="814">
        <f>FEE_3_Out!H87</f>
        <v>16338.637471195492</v>
      </c>
      <c r="AA78" s="807">
        <f t="shared" si="37"/>
        <v>75.904135999999994</v>
      </c>
      <c r="AB78" s="807">
        <f>FEE_3_Out!Q87*2</f>
        <v>122.0228614856353</v>
      </c>
      <c r="AC78" s="826">
        <f t="shared" si="39"/>
        <v>0.60759173236140018</v>
      </c>
      <c r="AD78" s="808">
        <f t="shared" si="40"/>
        <v>-2.5078369905956133E-2</v>
      </c>
      <c r="AE78" s="808">
        <f t="shared" si="41"/>
        <v>0.63267010226735632</v>
      </c>
      <c r="AF78" s="811">
        <f t="shared" si="42"/>
        <v>0.25902507045111278</v>
      </c>
      <c r="AG78" s="811">
        <f t="shared" si="43"/>
        <v>0.28830239555880977</v>
      </c>
      <c r="AH78" s="811"/>
      <c r="AI78" s="811"/>
      <c r="AJ78" s="111">
        <v>76</v>
      </c>
      <c r="AK78" s="111"/>
      <c r="AL78" s="874"/>
      <c r="AM78" s="871">
        <f t="shared" si="44"/>
        <v>0</v>
      </c>
      <c r="AN78" s="111"/>
      <c r="AO78" s="111"/>
      <c r="AP78" s="111"/>
      <c r="AQ78" s="111"/>
      <c r="AR78" s="111"/>
      <c r="AS78" s="111"/>
      <c r="AT78" s="111"/>
      <c r="AU78" s="111"/>
      <c r="AV78" s="111"/>
      <c r="AW78" s="111"/>
      <c r="AX78" s="111"/>
      <c r="AY78" s="111"/>
      <c r="AZ78" s="111"/>
      <c r="BA78" s="111"/>
      <c r="BB78" s="111"/>
      <c r="BC78" s="111"/>
      <c r="BD78" s="111"/>
      <c r="BE78" s="111"/>
      <c r="BF78" s="239"/>
      <c r="BG78" s="239"/>
      <c r="BH78" s="239"/>
      <c r="BI78" s="239"/>
    </row>
    <row r="79" spans="1:61" s="136" customFormat="1" x14ac:dyDescent="0.3">
      <c r="A79" s="505" t="s">
        <v>465</v>
      </c>
      <c r="B79" s="506"/>
      <c r="C79" s="507"/>
      <c r="D79" s="508"/>
      <c r="E79" s="508"/>
      <c r="F79" s="534"/>
      <c r="G79" s="535"/>
      <c r="H79" s="863"/>
      <c r="I79" s="535"/>
      <c r="J79" s="535"/>
      <c r="K79" s="535"/>
      <c r="L79" s="535"/>
      <c r="M79" s="615"/>
      <c r="N79" s="616"/>
      <c r="O79" s="511"/>
      <c r="P79" s="512"/>
      <c r="Q79" s="536"/>
      <c r="R79" s="514"/>
      <c r="S79" s="838"/>
      <c r="T79" s="838"/>
      <c r="U79" s="838"/>
      <c r="V79" s="839" t="e">
        <f>8.21*Passby_Length_Adj!H83/ITE_LUC_Rates!O79</f>
        <v>#DIV/0!</v>
      </c>
      <c r="W79" s="838"/>
      <c r="X79" s="111"/>
      <c r="Y79" s="814">
        <f>FEE_3_Out!S88</f>
        <v>0</v>
      </c>
      <c r="Z79" s="814">
        <f>FEE_3_Out!H88</f>
        <v>0</v>
      </c>
      <c r="AA79" s="807">
        <f t="shared" si="37"/>
        <v>0</v>
      </c>
      <c r="AB79" s="807">
        <f>FEE_3_Out!Q88*2</f>
        <v>0</v>
      </c>
      <c r="AC79" s="826">
        <f t="shared" si="39"/>
        <v>0</v>
      </c>
      <c r="AD79" s="808">
        <f t="shared" si="40"/>
        <v>0</v>
      </c>
      <c r="AE79" s="808">
        <f t="shared" si="41"/>
        <v>0</v>
      </c>
      <c r="AF79" s="811">
        <f t="shared" si="42"/>
        <v>0</v>
      </c>
      <c r="AG79" s="811">
        <f t="shared" si="43"/>
        <v>0</v>
      </c>
      <c r="AH79" s="811"/>
      <c r="AI79" s="811"/>
      <c r="AJ79" s="111">
        <v>77</v>
      </c>
      <c r="AK79" s="111"/>
      <c r="AL79" s="874"/>
      <c r="AM79" s="871"/>
      <c r="AN79" s="111"/>
      <c r="AO79" s="111"/>
      <c r="AP79" s="111"/>
      <c r="AQ79" s="111"/>
      <c r="AR79" s="111"/>
      <c r="AS79" s="111"/>
      <c r="AT79" s="111"/>
      <c r="AU79" s="111"/>
      <c r="AV79" s="111"/>
      <c r="AW79" s="111"/>
      <c r="AX79" s="111"/>
      <c r="AY79" s="111"/>
      <c r="AZ79" s="111"/>
      <c r="BA79" s="111"/>
      <c r="BB79" s="111"/>
      <c r="BC79" s="111"/>
      <c r="BD79" s="111"/>
      <c r="BE79" s="111"/>
      <c r="BF79" s="239"/>
      <c r="BG79" s="239"/>
      <c r="BH79" s="239"/>
      <c r="BI79" s="239"/>
    </row>
    <row r="80" spans="1:61" x14ac:dyDescent="0.3">
      <c r="A80" s="515">
        <v>812</v>
      </c>
      <c r="B80" s="516" t="s">
        <v>280</v>
      </c>
      <c r="C80" s="103" t="s">
        <v>112</v>
      </c>
      <c r="D80" s="517" t="str">
        <f t="shared" ref="D80:D117" si="45">IF(F80,"✓","X")</f>
        <v>X</v>
      </c>
      <c r="E80" s="517" t="str">
        <f t="shared" ref="E80:E117" si="46">IF(G80,"✓","X")</f>
        <v>✓</v>
      </c>
      <c r="F80" s="518"/>
      <c r="G80" s="520">
        <v>18.05</v>
      </c>
      <c r="H80" s="863">
        <v>17.05</v>
      </c>
      <c r="I80" s="520"/>
      <c r="J80" s="520"/>
      <c r="K80" s="520"/>
      <c r="L80" s="520"/>
      <c r="M80" s="617"/>
      <c r="N80" s="239"/>
      <c r="O80" s="110"/>
      <c r="P80" s="111"/>
      <c r="Q80" s="522"/>
      <c r="R80" s="523"/>
      <c r="S80" s="839"/>
      <c r="T80" s="839" t="e">
        <f t="shared" ref="T80:T83" si="47">G80/F80</f>
        <v>#DIV/0!</v>
      </c>
      <c r="U80" s="839" t="e">
        <f>Passby_Length_Adj!J84/ITE_LUC_Rates!P80</f>
        <v>#DIV/0!</v>
      </c>
      <c r="V80" s="839" t="e">
        <f>8.21*Passby_Length_Adj!H84/ITE_LUC_Rates!O80</f>
        <v>#DIV/0!</v>
      </c>
      <c r="W80" s="839" t="e">
        <f t="shared" si="29"/>
        <v>#DIV/0!</v>
      </c>
      <c r="X80" s="111"/>
      <c r="Y80" s="814">
        <f>FEE_3_Out!S89</f>
        <v>16342.734226615315</v>
      </c>
      <c r="Z80" s="814">
        <f>FEE_3_Out!H89</f>
        <v>16722.767598730668</v>
      </c>
      <c r="AA80" s="807">
        <f t="shared" si="37"/>
        <v>0</v>
      </c>
      <c r="AB80" s="807">
        <f>FEE_3_Out!Q89*2</f>
        <v>124.89168438640161</v>
      </c>
      <c r="AC80" s="826">
        <f t="shared" si="39"/>
        <v>0</v>
      </c>
      <c r="AD80" s="808">
        <f t="shared" si="40"/>
        <v>0</v>
      </c>
      <c r="AE80" s="808">
        <f t="shared" si="41"/>
        <v>0</v>
      </c>
      <c r="AF80" s="811">
        <f t="shared" si="42"/>
        <v>0</v>
      </c>
      <c r="AG80" s="811">
        <f t="shared" si="43"/>
        <v>0</v>
      </c>
      <c r="AH80" s="811"/>
      <c r="AI80" s="811"/>
      <c r="AJ80" s="111">
        <v>78</v>
      </c>
      <c r="AK80" s="111"/>
      <c r="AL80" s="874"/>
      <c r="AM80" s="871">
        <f t="shared" si="44"/>
        <v>5.5401662049861494E-2</v>
      </c>
      <c r="AN80" s="111"/>
      <c r="AO80" s="111"/>
      <c r="AP80" s="111"/>
      <c r="AQ80" s="111"/>
      <c r="AR80" s="111"/>
      <c r="AS80" s="111"/>
      <c r="AT80" s="111"/>
      <c r="AU80" s="111"/>
      <c r="AV80" s="111"/>
      <c r="AW80" s="111"/>
      <c r="AX80" s="111"/>
      <c r="AY80" s="111"/>
      <c r="AZ80" s="111"/>
      <c r="BA80" s="111"/>
      <c r="BB80" s="111"/>
      <c r="BC80" s="111"/>
      <c r="BD80" s="111"/>
      <c r="BE80" s="111"/>
      <c r="BF80" s="239"/>
      <c r="BG80" s="239"/>
      <c r="BH80" s="239"/>
      <c r="BI80" s="239"/>
    </row>
    <row r="81" spans="1:57" x14ac:dyDescent="0.3">
      <c r="A81" s="515">
        <v>813</v>
      </c>
      <c r="B81" s="516" t="s">
        <v>282</v>
      </c>
      <c r="C81" s="103" t="s">
        <v>112</v>
      </c>
      <c r="D81" s="517" t="str">
        <f t="shared" si="45"/>
        <v>✓</v>
      </c>
      <c r="E81" s="517" t="str">
        <f t="shared" si="46"/>
        <v>✓</v>
      </c>
      <c r="F81" s="518">
        <v>50.75</v>
      </c>
      <c r="G81" s="520">
        <v>50.7</v>
      </c>
      <c r="H81" s="863">
        <v>50.52</v>
      </c>
      <c r="I81" s="520"/>
      <c r="J81" s="520"/>
      <c r="K81" s="520"/>
      <c r="L81" s="520"/>
      <c r="M81" s="617">
        <f t="shared" si="36"/>
        <v>20592.277477358577</v>
      </c>
      <c r="N81" s="239"/>
      <c r="O81" s="110">
        <v>5.9</v>
      </c>
      <c r="P81" s="521">
        <v>0.42</v>
      </c>
      <c r="Q81" s="522">
        <v>20592.7</v>
      </c>
      <c r="R81" s="523">
        <f t="shared" si="38"/>
        <v>1.0000205184998059</v>
      </c>
      <c r="S81" s="839"/>
      <c r="T81" s="839">
        <f t="shared" si="47"/>
        <v>0.9990147783251232</v>
      </c>
      <c r="U81" s="839">
        <f>Passby_Length_Adj!J85/ITE_LUC_Rates!P81</f>
        <v>2.3809523809523809</v>
      </c>
      <c r="V81" s="839">
        <f>8.21*Passby_Length_Adj!H85/ITE_LUC_Rates!O81</f>
        <v>1.1959703994113096</v>
      </c>
      <c r="W81" s="839">
        <f t="shared" si="29"/>
        <v>2.8447431034554729</v>
      </c>
      <c r="X81" s="111"/>
      <c r="Y81" s="814">
        <f>FEE_3_Out!S90</f>
        <v>45085.4124458921</v>
      </c>
      <c r="Z81" s="814">
        <f>FEE_3_Out!H90</f>
        <v>46133.82705555515</v>
      </c>
      <c r="AA81" s="807">
        <f t="shared" si="37"/>
        <v>123.24333</v>
      </c>
      <c r="AB81" s="807">
        <f>FEE_3_Out!Q90*2</f>
        <v>344.54412728886871</v>
      </c>
      <c r="AC81" s="826">
        <f t="shared" si="39"/>
        <v>1.7956411701052599</v>
      </c>
      <c r="AD81" s="808">
        <f t="shared" si="40"/>
        <v>-9.8522167487680168E-4</v>
      </c>
      <c r="AE81" s="808">
        <f t="shared" si="41"/>
        <v>1.7966263917801366</v>
      </c>
      <c r="AF81" s="811">
        <f t="shared" si="42"/>
        <v>1.1893881057798201</v>
      </c>
      <c r="AG81" s="811">
        <f t="shared" si="43"/>
        <v>1.2403000604852763</v>
      </c>
      <c r="AH81" s="811"/>
      <c r="AI81" s="811"/>
      <c r="AJ81" s="111">
        <v>79</v>
      </c>
      <c r="AK81" s="111"/>
      <c r="AL81" s="874"/>
      <c r="AM81" s="871">
        <f t="shared" si="44"/>
        <v>3.5502958579881599E-3</v>
      </c>
      <c r="AN81" s="111"/>
      <c r="AO81" s="111"/>
      <c r="AP81" s="111"/>
      <c r="AQ81" s="111"/>
      <c r="AR81" s="111"/>
      <c r="AS81" s="111"/>
      <c r="AT81" s="111"/>
      <c r="AU81" s="111"/>
      <c r="AV81" s="111"/>
      <c r="AW81" s="111"/>
      <c r="AX81" s="111"/>
      <c r="AY81" s="111"/>
      <c r="AZ81" s="111"/>
      <c r="BA81" s="111"/>
      <c r="BB81" s="111"/>
      <c r="BC81" s="111"/>
      <c r="BD81" s="111"/>
      <c r="BE81" s="111"/>
    </row>
    <row r="82" spans="1:57" x14ac:dyDescent="0.3">
      <c r="A82" s="515">
        <v>816</v>
      </c>
      <c r="B82" s="516" t="s">
        <v>284</v>
      </c>
      <c r="C82" s="103" t="s">
        <v>112</v>
      </c>
      <c r="D82" s="517" t="str">
        <f t="shared" si="45"/>
        <v>✓</v>
      </c>
      <c r="E82" s="517" t="str">
        <f t="shared" si="46"/>
        <v>✓</v>
      </c>
      <c r="F82" s="518">
        <v>51.29</v>
      </c>
      <c r="G82" s="520">
        <v>9.14</v>
      </c>
      <c r="H82" s="863">
        <v>8.07</v>
      </c>
      <c r="I82" s="520"/>
      <c r="J82" s="520"/>
      <c r="K82" s="520"/>
      <c r="L82" s="520"/>
      <c r="M82" s="620">
        <f t="shared" si="36"/>
        <v>37163.191830180207</v>
      </c>
      <c r="N82" s="239"/>
      <c r="O82" s="110">
        <v>5.9</v>
      </c>
      <c r="P82" s="521">
        <v>0.75</v>
      </c>
      <c r="Q82" s="522">
        <v>14865.5</v>
      </c>
      <c r="R82" s="523">
        <f t="shared" si="38"/>
        <v>0.40000600777050954</v>
      </c>
      <c r="S82" s="839"/>
      <c r="T82" s="839">
        <f t="shared" si="47"/>
        <v>0.17820237863131216</v>
      </c>
      <c r="U82" s="839">
        <f>Passby_Length_Adj!J86/ITE_LUC_Rates!P82</f>
        <v>1.3333333333333333</v>
      </c>
      <c r="V82" s="839">
        <f>8.21*Passby_Length_Adj!H86/ITE_LUC_Rates!O82</f>
        <v>1.1959703994113096</v>
      </c>
      <c r="W82" s="839">
        <f t="shared" si="29"/>
        <v>0.28416635993031442</v>
      </c>
      <c r="X82" s="111"/>
      <c r="Y82" s="814">
        <f>FEE_3_Out!S91</f>
        <v>8127.8238610543167</v>
      </c>
      <c r="Z82" s="814">
        <f>FEE_3_Out!H91</f>
        <v>8316.8279938416981</v>
      </c>
      <c r="AA82" s="807">
        <f t="shared" si="37"/>
        <v>222.419085</v>
      </c>
      <c r="AB82" s="807">
        <f>FEE_3_Out!Q91*2</f>
        <v>62.113083302174765</v>
      </c>
      <c r="AC82" s="826">
        <f t="shared" si="39"/>
        <v>-0.72073851800004141</v>
      </c>
      <c r="AD82" s="808">
        <f t="shared" si="40"/>
        <v>-0.82179762136868784</v>
      </c>
      <c r="AE82" s="808">
        <f t="shared" si="41"/>
        <v>0.10105910336864643</v>
      </c>
      <c r="AF82" s="811">
        <f t="shared" si="42"/>
        <v>-0.45324248353204954</v>
      </c>
      <c r="AG82" s="811">
        <f t="shared" si="43"/>
        <v>-0.44052820330014475</v>
      </c>
      <c r="AH82" s="811"/>
      <c r="AI82" s="811"/>
      <c r="AJ82" s="111">
        <v>80</v>
      </c>
      <c r="AK82" s="111"/>
      <c r="AL82" s="874"/>
      <c r="AM82" s="871">
        <f t="shared" si="44"/>
        <v>0.11706783369803066</v>
      </c>
      <c r="AN82" s="111"/>
      <c r="AO82" s="111"/>
      <c r="AP82" s="111"/>
      <c r="AQ82" s="111"/>
      <c r="AR82" s="111"/>
      <c r="AS82" s="111"/>
      <c r="AT82" s="111"/>
      <c r="AU82" s="111"/>
      <c r="AV82" s="111"/>
      <c r="AW82" s="111"/>
      <c r="AX82" s="111"/>
      <c r="AY82" s="111"/>
      <c r="AZ82" s="111"/>
      <c r="BA82" s="111"/>
      <c r="BB82" s="111"/>
      <c r="BC82" s="111"/>
      <c r="BD82" s="111"/>
      <c r="BE82" s="111"/>
    </row>
    <row r="83" spans="1:57" x14ac:dyDescent="0.3">
      <c r="A83" s="515">
        <v>817</v>
      </c>
      <c r="B83" s="516" t="s">
        <v>286</v>
      </c>
      <c r="C83" s="103" t="s">
        <v>112</v>
      </c>
      <c r="D83" s="517" t="str">
        <f t="shared" si="45"/>
        <v>✓</v>
      </c>
      <c r="E83" s="517" t="str">
        <f t="shared" si="46"/>
        <v>✓</v>
      </c>
      <c r="F83" s="518">
        <v>36.08</v>
      </c>
      <c r="G83" s="520">
        <v>68.099999999999994</v>
      </c>
      <c r="H83" s="863">
        <v>68.099999999999994</v>
      </c>
      <c r="I83" s="520"/>
      <c r="J83" s="520"/>
      <c r="K83" s="520"/>
      <c r="L83" s="520"/>
      <c r="M83" s="617">
        <f t="shared" si="36"/>
        <v>17723.717396035197</v>
      </c>
      <c r="N83" s="239"/>
      <c r="O83" s="110">
        <v>4</v>
      </c>
      <c r="P83" s="521">
        <v>0.75</v>
      </c>
      <c r="Q83" s="522">
        <v>17723.2</v>
      </c>
      <c r="R83" s="523">
        <f t="shared" si="38"/>
        <v>0.99997080770226499</v>
      </c>
      <c r="S83" s="839"/>
      <c r="T83" s="839">
        <f t="shared" si="47"/>
        <v>1.8874722838137472</v>
      </c>
      <c r="U83" s="839">
        <f>Passby_Length_Adj!J87/ITE_LUC_Rates!P83</f>
        <v>1.3333333333333333</v>
      </c>
      <c r="V83" s="839">
        <f>8.21*Passby_Length_Adj!H87/ITE_LUC_Rates!O83</f>
        <v>1.7640563391316817</v>
      </c>
      <c r="W83" s="839">
        <f t="shared" si="29"/>
        <v>4.439476596262657</v>
      </c>
      <c r="X83" s="111"/>
      <c r="Y83" s="814">
        <f>FEE_3_Out!S92</f>
        <v>60558.512575251516</v>
      </c>
      <c r="Z83" s="814">
        <f>FEE_3_Out!H92</f>
        <v>61966.738116041532</v>
      </c>
      <c r="AA83" s="807">
        <f t="shared" si="37"/>
        <v>106.0752</v>
      </c>
      <c r="AB83" s="807">
        <f>FEE_3_Out!Q92*2</f>
        <v>462.79004079629112</v>
      </c>
      <c r="AC83" s="826">
        <f t="shared" si="39"/>
        <v>3.3628486281080887</v>
      </c>
      <c r="AD83" s="808">
        <f t="shared" si="40"/>
        <v>0.88747228381374721</v>
      </c>
      <c r="AE83" s="808">
        <f t="shared" si="41"/>
        <v>2.4753763442943413</v>
      </c>
      <c r="AF83" s="811">
        <f t="shared" si="42"/>
        <v>2.4169062344978061</v>
      </c>
      <c r="AG83" s="811">
        <f t="shared" si="43"/>
        <v>2.4963628529860031</v>
      </c>
      <c r="AH83" s="811"/>
      <c r="AI83" s="811"/>
      <c r="AJ83" s="111">
        <v>81</v>
      </c>
      <c r="AK83" s="111"/>
      <c r="AL83" s="874"/>
      <c r="AM83" s="871">
        <f t="shared" si="44"/>
        <v>0</v>
      </c>
      <c r="AN83" s="111"/>
      <c r="AO83" s="111"/>
      <c r="AP83" s="111"/>
      <c r="AQ83" s="111"/>
      <c r="AR83" s="111"/>
      <c r="AS83" s="111"/>
      <c r="AT83" s="111"/>
      <c r="AU83" s="111"/>
      <c r="AV83" s="111"/>
      <c r="AW83" s="111"/>
      <c r="AX83" s="111"/>
      <c r="AY83" s="111"/>
      <c r="AZ83" s="111"/>
      <c r="BA83" s="111"/>
      <c r="BB83" s="111"/>
      <c r="BC83" s="111"/>
      <c r="BD83" s="111"/>
      <c r="BE83" s="111"/>
    </row>
    <row r="84" spans="1:57" x14ac:dyDescent="0.3">
      <c r="A84" s="515">
        <v>820</v>
      </c>
      <c r="B84" s="516" t="s">
        <v>387</v>
      </c>
      <c r="C84" s="771" t="s">
        <v>112</v>
      </c>
      <c r="D84" s="772" t="str">
        <f t="shared" si="45"/>
        <v>X</v>
      </c>
      <c r="E84" s="772" t="str">
        <f t="shared" si="46"/>
        <v>✓</v>
      </c>
      <c r="F84" s="773"/>
      <c r="G84" s="774">
        <v>37.75</v>
      </c>
      <c r="H84" s="863">
        <v>37.01</v>
      </c>
      <c r="I84" s="774"/>
      <c r="J84" s="774"/>
      <c r="K84" s="774"/>
      <c r="L84" s="774"/>
      <c r="M84" s="775"/>
      <c r="N84" s="776"/>
      <c r="O84" s="777"/>
      <c r="P84" s="778"/>
      <c r="Q84" s="779"/>
      <c r="R84" s="780"/>
      <c r="S84" s="841"/>
      <c r="T84" s="841"/>
      <c r="U84" s="841"/>
      <c r="V84" s="839" t="e">
        <f>8.21*Passby_Length_Adj!H88/ITE_LUC_Rates!O84</f>
        <v>#DIV/0!</v>
      </c>
      <c r="W84" s="841"/>
      <c r="X84" s="111"/>
      <c r="Y84" s="814">
        <f>FEE_3_Out!S93</f>
        <v>0</v>
      </c>
      <c r="Z84" s="814">
        <f>FEE_3_Out!H93</f>
        <v>0</v>
      </c>
      <c r="AA84" s="807">
        <f t="shared" si="37"/>
        <v>0</v>
      </c>
      <c r="AB84" s="807">
        <f>FEE_3_Out!Q93*2</f>
        <v>0</v>
      </c>
      <c r="AC84" s="826">
        <f t="shared" si="39"/>
        <v>0</v>
      </c>
      <c r="AD84" s="808">
        <f t="shared" si="40"/>
        <v>0</v>
      </c>
      <c r="AE84" s="808">
        <f t="shared" si="41"/>
        <v>0</v>
      </c>
      <c r="AF84" s="811">
        <f t="shared" si="42"/>
        <v>0</v>
      </c>
      <c r="AG84" s="811">
        <f t="shared" si="43"/>
        <v>0</v>
      </c>
      <c r="AH84" s="811"/>
      <c r="AI84" s="811"/>
      <c r="AJ84" s="111">
        <v>82</v>
      </c>
      <c r="AK84" s="111"/>
      <c r="AL84" s="874"/>
      <c r="AM84" s="871"/>
      <c r="AN84" s="111"/>
      <c r="AO84" s="111"/>
      <c r="AP84" s="111"/>
      <c r="AQ84" s="111"/>
      <c r="AR84" s="111"/>
      <c r="AS84" s="111"/>
      <c r="AT84" s="111"/>
      <c r="AU84" s="111"/>
      <c r="AV84" s="111"/>
      <c r="AW84" s="111"/>
      <c r="AX84" s="111"/>
      <c r="AY84" s="111"/>
      <c r="AZ84" s="111"/>
      <c r="BA84" s="111"/>
      <c r="BB84" s="111"/>
      <c r="BC84" s="111"/>
      <c r="BD84" s="111"/>
      <c r="BE84" s="111"/>
    </row>
    <row r="85" spans="1:57" x14ac:dyDescent="0.3">
      <c r="A85" s="515">
        <v>820</v>
      </c>
      <c r="B85" s="538" t="s">
        <v>466</v>
      </c>
      <c r="C85" s="103" t="s">
        <v>112</v>
      </c>
      <c r="D85" s="517" t="str">
        <f t="shared" si="45"/>
        <v>✓</v>
      </c>
      <c r="E85" s="517" t="str">
        <f t="shared" si="46"/>
        <v>✓</v>
      </c>
      <c r="F85" s="518">
        <v>152.03</v>
      </c>
      <c r="G85" s="539">
        <f>EXP((0.68*(LN(N85/1000)))+5.57)/(N85/1000)</f>
        <v>156.80137359044605</v>
      </c>
      <c r="H85" s="868">
        <f>((26.11*(N85/1000))+5863.73)/(N85/1000)</f>
        <v>1198.856</v>
      </c>
      <c r="I85" s="520"/>
      <c r="J85" s="520"/>
      <c r="K85" s="520"/>
      <c r="L85" s="520"/>
      <c r="M85" s="617">
        <f t="shared" si="36"/>
        <v>18800.019936429817</v>
      </c>
      <c r="N85" s="621">
        <f>ITE_PassBy!D8*1000</f>
        <v>5000</v>
      </c>
      <c r="O85" s="110">
        <v>2.36</v>
      </c>
      <c r="P85" s="521">
        <v>0.32</v>
      </c>
      <c r="Q85" s="522">
        <v>18799.7</v>
      </c>
      <c r="R85" s="523">
        <f t="shared" si="38"/>
        <v>0.99998298212284364</v>
      </c>
      <c r="S85" s="839"/>
      <c r="T85" s="839">
        <f t="shared" ref="T85:T117" si="48">G85/F85</f>
        <v>1.0313844214329149</v>
      </c>
      <c r="U85" s="839">
        <f>Passby_Length_Adj!J89/ITE_LUC_Rates!P85</f>
        <v>1.25</v>
      </c>
      <c r="V85" s="839">
        <f>8.21*Passby_Length_Adj!H89/ITE_LUC_Rates!O85</f>
        <v>1.0510010753238774</v>
      </c>
      <c r="W85" s="839">
        <f t="shared" si="29"/>
        <v>1.3549826699978609</v>
      </c>
      <c r="X85" s="111"/>
      <c r="Y85" s="814">
        <f>FEE_3_Out!S94</f>
        <v>19605.623693934391</v>
      </c>
      <c r="Z85" s="814">
        <f>FEE_3_Out!H94</f>
        <v>20061.532184001884</v>
      </c>
      <c r="AA85" s="807">
        <f t="shared" si="37"/>
        <v>112.51679488000001</v>
      </c>
      <c r="AB85" s="807">
        <f>FEE_3_Out!Q94*2</f>
        <v>149.82678740462683</v>
      </c>
      <c r="AC85" s="826">
        <f t="shared" si="39"/>
        <v>0.33159487491994599</v>
      </c>
      <c r="AD85" s="808">
        <f t="shared" si="40"/>
        <v>3.1384421432914866E-2</v>
      </c>
      <c r="AE85" s="808">
        <f t="shared" si="41"/>
        <v>0.30021045348703113</v>
      </c>
      <c r="AF85" s="811">
        <f t="shared" si="42"/>
        <v>4.286896567149423E-2</v>
      </c>
      <c r="AG85" s="811">
        <f t="shared" si="43"/>
        <v>6.71198042522958E-2</v>
      </c>
      <c r="AH85" s="811"/>
      <c r="AI85" s="811"/>
      <c r="AJ85" s="111">
        <v>83</v>
      </c>
      <c r="AK85" s="111"/>
      <c r="AL85" s="874"/>
      <c r="AM85" s="871"/>
      <c r="AN85" s="111"/>
      <c r="AO85" s="111"/>
      <c r="AP85" s="111"/>
      <c r="AQ85" s="111"/>
      <c r="AR85" s="111"/>
      <c r="AS85" s="111"/>
      <c r="AT85" s="111"/>
      <c r="AU85" s="111"/>
      <c r="AV85" s="111"/>
      <c r="AW85" s="111"/>
      <c r="AX85" s="111"/>
      <c r="AY85" s="111"/>
      <c r="AZ85" s="111"/>
      <c r="BA85" s="111"/>
      <c r="BB85" s="111"/>
      <c r="BC85" s="111"/>
      <c r="BD85" s="111"/>
      <c r="BE85" s="111"/>
    </row>
    <row r="86" spans="1:57" x14ac:dyDescent="0.3">
      <c r="A86" s="515">
        <v>820</v>
      </c>
      <c r="B86" s="538" t="s">
        <v>467</v>
      </c>
      <c r="C86" s="103" t="s">
        <v>112</v>
      </c>
      <c r="D86" s="517" t="str">
        <f t="shared" si="45"/>
        <v>✓</v>
      </c>
      <c r="E86" s="517" t="str">
        <f t="shared" si="46"/>
        <v>✓</v>
      </c>
      <c r="F86" s="518">
        <v>86.56</v>
      </c>
      <c r="G86" s="539">
        <f t="shared" ref="G86:G96" si="49">EXP((0.68*(LN(N86/1000)))+5.57)/(N86/1000)</f>
        <v>88.3774492278785</v>
      </c>
      <c r="H86" s="868">
        <f t="shared" ref="H86:H96" si="50">((26.11*(N86/1000))+5863.73)/(N86/1000)</f>
        <v>221.56766666666667</v>
      </c>
      <c r="I86" s="520"/>
      <c r="J86" s="520"/>
      <c r="K86" s="520"/>
      <c r="L86" s="520"/>
      <c r="M86" s="617">
        <f t="shared" si="36"/>
        <v>14049.005229084994</v>
      </c>
      <c r="N86" s="621">
        <f>ITE_PassBy!D9*1000</f>
        <v>30000</v>
      </c>
      <c r="O86" s="110">
        <v>2.36</v>
      </c>
      <c r="P86" s="521">
        <v>0.42</v>
      </c>
      <c r="Q86" s="522">
        <v>14048.1</v>
      </c>
      <c r="R86" s="523">
        <f t="shared" si="38"/>
        <v>0.99993556632158409</v>
      </c>
      <c r="S86" s="839"/>
      <c r="T86" s="839">
        <f t="shared" si="48"/>
        <v>1.0209964097490585</v>
      </c>
      <c r="U86" s="839">
        <f>Passby_Length_Adj!J90/ITE_LUC_Rates!P86</f>
        <v>1.1904761904761905</v>
      </c>
      <c r="V86" s="839">
        <f>8.21*Passby_Length_Adj!H90/ITE_LUC_Rates!O86</f>
        <v>1.2086512366224591</v>
      </c>
      <c r="W86" s="839">
        <f t="shared" si="29"/>
        <v>1.4690816347979649</v>
      </c>
      <c r="X86" s="111"/>
      <c r="Y86" s="814">
        <f>FEE_3_Out!S95</f>
        <v>15884.740187965779</v>
      </c>
      <c r="Z86" s="814">
        <f>FEE_3_Out!H95</f>
        <v>16254.123382668758</v>
      </c>
      <c r="AA86" s="807">
        <f t="shared" si="37"/>
        <v>84.082306559999992</v>
      </c>
      <c r="AB86" s="807">
        <f>FEE_3_Out!Q95*2</f>
        <v>121.39167966670681</v>
      </c>
      <c r="AC86" s="826">
        <f t="shared" si="39"/>
        <v>0.44372442471096285</v>
      </c>
      <c r="AD86" s="808">
        <f t="shared" si="40"/>
        <v>2.0996409749058476E-2</v>
      </c>
      <c r="AE86" s="808">
        <f t="shared" si="41"/>
        <v>0.42272801496190437</v>
      </c>
      <c r="AF86" s="811">
        <f t="shared" si="42"/>
        <v>0.13073940162483022</v>
      </c>
      <c r="AG86" s="811">
        <f t="shared" si="43"/>
        <v>0.1570335762607582</v>
      </c>
      <c r="AH86" s="811"/>
      <c r="AI86" s="811"/>
      <c r="AJ86" s="111">
        <v>84</v>
      </c>
      <c r="AK86" s="111"/>
      <c r="AL86" s="874"/>
      <c r="AM86" s="871"/>
      <c r="AN86" s="111"/>
      <c r="AO86" s="111"/>
      <c r="AP86" s="111"/>
      <c r="AQ86" s="111"/>
      <c r="AR86" s="111"/>
      <c r="AS86" s="111"/>
      <c r="AT86" s="111"/>
      <c r="AU86" s="111"/>
      <c r="AV86" s="111"/>
      <c r="AW86" s="111"/>
      <c r="AX86" s="111"/>
      <c r="AY86" s="111"/>
      <c r="AZ86" s="111"/>
      <c r="BA86" s="111"/>
      <c r="BB86" s="111"/>
      <c r="BC86" s="111"/>
      <c r="BD86" s="111"/>
      <c r="BE86" s="111"/>
    </row>
    <row r="87" spans="1:57" x14ac:dyDescent="0.3">
      <c r="A87" s="515">
        <v>820</v>
      </c>
      <c r="B87" s="538" t="s">
        <v>468</v>
      </c>
      <c r="C87" s="103" t="s">
        <v>112</v>
      </c>
      <c r="D87" s="517" t="str">
        <f t="shared" si="45"/>
        <v>✓</v>
      </c>
      <c r="E87" s="517" t="str">
        <f t="shared" si="46"/>
        <v>✓</v>
      </c>
      <c r="F87" s="518">
        <v>67.91</v>
      </c>
      <c r="G87" s="539">
        <f t="shared" si="49"/>
        <v>65.917489686786567</v>
      </c>
      <c r="H87" s="868">
        <f t="shared" si="50"/>
        <v>104.29306666666666</v>
      </c>
      <c r="I87" s="520"/>
      <c r="J87" s="520"/>
      <c r="K87" s="520"/>
      <c r="L87" s="520"/>
      <c r="M87" s="617">
        <f t="shared" si="36"/>
        <v>13383.907996783199</v>
      </c>
      <c r="N87" s="621">
        <f>ITE_PassBy!D10*1000</f>
        <v>75000</v>
      </c>
      <c r="O87" s="110">
        <v>2.36</v>
      </c>
      <c r="P87" s="521">
        <v>0.51</v>
      </c>
      <c r="Q87" s="522">
        <v>13383.7</v>
      </c>
      <c r="R87" s="523">
        <f t="shared" si="38"/>
        <v>0.99998445918910617</v>
      </c>
      <c r="S87" s="839"/>
      <c r="T87" s="839">
        <f t="shared" si="48"/>
        <v>0.97065954479143823</v>
      </c>
      <c r="U87" s="839">
        <f>Passby_Length_Adj!J91/ITE_LUC_Rates!P87</f>
        <v>1.1764705882352942</v>
      </c>
      <c r="V87" s="839">
        <f>8.21*Passby_Length_Adj!H91/ITE_LUC_Rates!O87</f>
        <v>1.2612012903886529</v>
      </c>
      <c r="W87" s="839">
        <f t="shared" si="29"/>
        <v>1.4402318475517932</v>
      </c>
      <c r="X87" s="111"/>
      <c r="Y87" s="814">
        <f>FEE_3_Out!S96</f>
        <v>14835.560700139351</v>
      </c>
      <c r="Z87" s="814">
        <f>FEE_3_Out!H96</f>
        <v>15180.546311599277</v>
      </c>
      <c r="AA87" s="807">
        <f t="shared" si="37"/>
        <v>80.101746479999989</v>
      </c>
      <c r="AB87" s="807">
        <f>FEE_3_Out!Q96*2</f>
        <v>113.37381731629871</v>
      </c>
      <c r="AC87" s="826">
        <f t="shared" si="39"/>
        <v>0.41537260170233847</v>
      </c>
      <c r="AD87" s="808">
        <f t="shared" si="40"/>
        <v>-2.9340455208561766E-2</v>
      </c>
      <c r="AE87" s="808">
        <f t="shared" si="41"/>
        <v>0.44471305691090024</v>
      </c>
      <c r="AF87" s="811">
        <f t="shared" si="42"/>
        <v>0.10847977017860155</v>
      </c>
      <c r="AG87" s="811">
        <f t="shared" si="43"/>
        <v>0.13425632012068989</v>
      </c>
      <c r="AH87" s="811"/>
      <c r="AI87" s="811"/>
      <c r="AJ87" s="111">
        <v>85</v>
      </c>
      <c r="AK87" s="111"/>
      <c r="AL87" s="874"/>
      <c r="AM87" s="871"/>
      <c r="AN87" s="111"/>
      <c r="AO87" s="111"/>
      <c r="AP87" s="111"/>
      <c r="AQ87" s="111"/>
      <c r="AR87" s="111"/>
      <c r="AS87" s="111"/>
      <c r="AT87" s="111"/>
      <c r="AU87" s="111"/>
      <c r="AV87" s="111"/>
      <c r="AW87" s="111"/>
      <c r="AX87" s="111"/>
      <c r="AY87" s="111"/>
      <c r="AZ87" s="111"/>
      <c r="BA87" s="111"/>
      <c r="BB87" s="111"/>
      <c r="BC87" s="111"/>
      <c r="BD87" s="111"/>
      <c r="BE87" s="111"/>
    </row>
    <row r="88" spans="1:57" x14ac:dyDescent="0.3">
      <c r="A88" s="515">
        <v>820</v>
      </c>
      <c r="B88" s="538" t="s">
        <v>469</v>
      </c>
      <c r="C88" s="103" t="s">
        <v>112</v>
      </c>
      <c r="D88" s="517" t="str">
        <f t="shared" si="45"/>
        <v>✓</v>
      </c>
      <c r="E88" s="517" t="str">
        <f t="shared" si="46"/>
        <v>✓</v>
      </c>
      <c r="F88" s="518">
        <v>53.28</v>
      </c>
      <c r="G88" s="539">
        <f t="shared" si="49"/>
        <v>51.829042350493665</v>
      </c>
      <c r="H88" s="868">
        <f t="shared" si="50"/>
        <v>62.988805031446539</v>
      </c>
      <c r="I88" s="520"/>
      <c r="J88" s="520"/>
      <c r="K88" s="520"/>
      <c r="L88" s="520"/>
      <c r="M88" s="617">
        <f t="shared" si="36"/>
        <v>20240.406668855809</v>
      </c>
      <c r="N88" s="621">
        <f>ITE_PassBy!D11*1000</f>
        <v>159000</v>
      </c>
      <c r="O88" s="110">
        <v>4</v>
      </c>
      <c r="P88" s="521">
        <v>0.57999999999999996</v>
      </c>
      <c r="Q88" s="522">
        <v>20241.2</v>
      </c>
      <c r="R88" s="523">
        <f t="shared" si="38"/>
        <v>1.0000391954152488</v>
      </c>
      <c r="S88" s="839"/>
      <c r="T88" s="839">
        <f t="shared" si="48"/>
        <v>0.97276731138313932</v>
      </c>
      <c r="U88" s="839">
        <f>Passby_Length_Adj!J92/ITE_LUC_Rates!P88</f>
        <v>1.1672413793103449</v>
      </c>
      <c r="V88" s="839">
        <f>8.21*Passby_Length_Adj!H92/ITE_LUC_Rates!O88</f>
        <v>0.77511329305135968</v>
      </c>
      <c r="W88" s="839">
        <f t="shared" si="29"/>
        <v>0.88010568924992594</v>
      </c>
      <c r="X88" s="111"/>
      <c r="Y88" s="814">
        <f>FEE_3_Out!S97</f>
        <v>13710.164782227859</v>
      </c>
      <c r="Z88" s="814">
        <f>FEE_3_Out!H97</f>
        <v>14028.980476235893</v>
      </c>
      <c r="AA88" s="807">
        <f t="shared" si="37"/>
        <v>121.13740799999999</v>
      </c>
      <c r="AB88" s="807">
        <f>FEE_3_Out!Q97*2</f>
        <v>104.77350663140446</v>
      </c>
      <c r="AC88" s="826">
        <f t="shared" si="39"/>
        <v>-0.13508545080141998</v>
      </c>
      <c r="AD88" s="808">
        <f t="shared" si="40"/>
        <v>-2.7232688616860679E-2</v>
      </c>
      <c r="AE88" s="808">
        <f t="shared" si="41"/>
        <v>-0.1078527621845593</v>
      </c>
      <c r="AF88" s="811">
        <f t="shared" si="42"/>
        <v>-0.32266047555343269</v>
      </c>
      <c r="AG88" s="811">
        <f t="shared" si="43"/>
        <v>-0.30690964585914415</v>
      </c>
      <c r="AH88" s="811"/>
      <c r="AI88" s="811"/>
      <c r="AJ88" s="111">
        <v>86</v>
      </c>
      <c r="AK88" s="111"/>
      <c r="AL88" s="874"/>
      <c r="AM88" s="871"/>
      <c r="AN88" s="111"/>
      <c r="AO88" s="111"/>
      <c r="AP88" s="111"/>
      <c r="AQ88" s="111"/>
      <c r="AR88" s="111"/>
      <c r="AS88" s="111"/>
      <c r="AT88" s="111"/>
      <c r="AU88" s="111"/>
      <c r="AV88" s="111"/>
      <c r="AW88" s="111"/>
      <c r="AX88" s="111"/>
      <c r="AY88" s="111"/>
      <c r="AZ88" s="111"/>
      <c r="BA88" s="111"/>
      <c r="BB88" s="111"/>
      <c r="BC88" s="111"/>
      <c r="BD88" s="111"/>
      <c r="BE88" s="111"/>
    </row>
    <row r="89" spans="1:57" x14ac:dyDescent="0.3">
      <c r="A89" s="515">
        <v>820</v>
      </c>
      <c r="B89" s="538" t="s">
        <v>470</v>
      </c>
      <c r="C89" s="103" t="s">
        <v>112</v>
      </c>
      <c r="D89" s="517" t="str">
        <f t="shared" si="45"/>
        <v>✓</v>
      </c>
      <c r="E89" s="517" t="str">
        <f t="shared" si="46"/>
        <v>✓</v>
      </c>
      <c r="F89" s="518">
        <v>46.23</v>
      </c>
      <c r="G89" s="539">
        <f t="shared" si="49"/>
        <v>44.841430781139344</v>
      </c>
      <c r="H89" s="863">
        <f t="shared" si="50"/>
        <v>49.564920000000001</v>
      </c>
      <c r="I89" s="520"/>
      <c r="J89" s="520"/>
      <c r="K89" s="520"/>
      <c r="L89" s="520"/>
      <c r="M89" s="617">
        <f t="shared" si="36"/>
        <v>18773.385891928989</v>
      </c>
      <c r="N89" s="621">
        <f>ITE_PassBy!D12*1000</f>
        <v>250000</v>
      </c>
      <c r="O89" s="110">
        <v>4</v>
      </c>
      <c r="P89" s="521">
        <v>0.62</v>
      </c>
      <c r="Q89" s="522">
        <v>18774.5</v>
      </c>
      <c r="R89" s="523">
        <f t="shared" si="38"/>
        <v>1.0000593450791149</v>
      </c>
      <c r="S89" s="839"/>
      <c r="T89" s="839">
        <f t="shared" si="48"/>
        <v>0.96996389316762599</v>
      </c>
      <c r="U89" s="839">
        <f>Passby_Length_Adj!J93/ITE_LUC_Rates!P89</f>
        <v>1.129032258064516</v>
      </c>
      <c r="V89" s="839">
        <f>8.21*Passby_Length_Adj!H93/ITE_LUC_Rates!O89</f>
        <v>0.80611782477341398</v>
      </c>
      <c r="W89" s="839">
        <f t="shared" si="29"/>
        <v>0.88279617511020492</v>
      </c>
      <c r="X89" s="111"/>
      <c r="Y89" s="814">
        <f>FEE_3_Out!S98</f>
        <v>12755.328921430346</v>
      </c>
      <c r="Z89" s="814">
        <f>FEE_3_Out!H98</f>
        <v>13051.940895610114</v>
      </c>
      <c r="AA89" s="807">
        <f t="shared" si="37"/>
        <v>112.35739199999999</v>
      </c>
      <c r="AB89" s="807">
        <f>FEE_3_Out!Q98*2</f>
        <v>97.476621219578305</v>
      </c>
      <c r="AC89" s="826">
        <f t="shared" si="39"/>
        <v>-0.13244140430405937</v>
      </c>
      <c r="AD89" s="808">
        <f t="shared" si="40"/>
        <v>-3.003610683237401E-2</v>
      </c>
      <c r="AE89" s="808">
        <f t="shared" si="41"/>
        <v>-0.10240529747168536</v>
      </c>
      <c r="AF89" s="811">
        <f t="shared" si="42"/>
        <v>-0.32060353557056931</v>
      </c>
      <c r="AG89" s="811">
        <f t="shared" si="43"/>
        <v>-0.3048048738656095</v>
      </c>
      <c r="AH89" s="811"/>
      <c r="AI89" s="811"/>
      <c r="AJ89" s="111">
        <v>87</v>
      </c>
      <c r="AK89" s="111"/>
      <c r="AL89" s="874"/>
      <c r="AM89" s="871">
        <f t="shared" si="44"/>
        <v>-0.10533761159216608</v>
      </c>
      <c r="AN89" s="111"/>
      <c r="AO89" s="111"/>
      <c r="AP89" s="111"/>
      <c r="AQ89" s="111"/>
      <c r="AR89" s="111"/>
      <c r="AS89" s="111"/>
      <c r="AT89" s="111"/>
      <c r="AU89" s="111"/>
      <c r="AV89" s="111"/>
      <c r="AW89" s="111"/>
      <c r="AX89" s="111"/>
      <c r="AY89" s="111"/>
      <c r="AZ89" s="111"/>
      <c r="BA89" s="111"/>
      <c r="BB89" s="111"/>
      <c r="BC89" s="111"/>
      <c r="BD89" s="111"/>
      <c r="BE89" s="111"/>
    </row>
    <row r="90" spans="1:57" x14ac:dyDescent="0.3">
      <c r="A90" s="515">
        <v>820</v>
      </c>
      <c r="B90" s="538" t="s">
        <v>471</v>
      </c>
      <c r="C90" s="103" t="s">
        <v>112</v>
      </c>
      <c r="D90" s="517" t="str">
        <f t="shared" si="45"/>
        <v>✓</v>
      </c>
      <c r="E90" s="517" t="str">
        <f t="shared" si="46"/>
        <v>✓</v>
      </c>
      <c r="F90" s="518">
        <v>41.8</v>
      </c>
      <c r="G90" s="539">
        <f t="shared" si="49"/>
        <v>40.264145799881483</v>
      </c>
      <c r="H90" s="863">
        <f t="shared" si="50"/>
        <v>42.863514285714281</v>
      </c>
      <c r="I90" s="520"/>
      <c r="J90" s="520"/>
      <c r="K90" s="520"/>
      <c r="L90" s="520"/>
      <c r="M90" s="617">
        <f t="shared" si="36"/>
        <v>25844.926440267263</v>
      </c>
      <c r="N90" s="621">
        <f>ITE_PassBy!D13*1000</f>
        <v>350000</v>
      </c>
      <c r="O90" s="110">
        <v>5.9</v>
      </c>
      <c r="P90" s="521">
        <v>0.64</v>
      </c>
      <c r="Q90" s="522">
        <v>25847.3</v>
      </c>
      <c r="R90" s="523">
        <f t="shared" si="38"/>
        <v>1.0000918385176381</v>
      </c>
      <c r="S90" s="839"/>
      <c r="T90" s="839">
        <f t="shared" si="48"/>
        <v>0.96325707655218862</v>
      </c>
      <c r="U90" s="839">
        <f>Passby_Length_Adj!J94/ITE_LUC_Rates!P90</f>
        <v>1.125</v>
      </c>
      <c r="V90" s="839">
        <f>8.21*Passby_Length_Adj!H94/ITE_LUC_Rates!O90</f>
        <v>0.56754058067489388</v>
      </c>
      <c r="W90" s="839">
        <f t="shared" si="29"/>
        <v>0.61502341563633356</v>
      </c>
      <c r="X90" s="111"/>
      <c r="Y90" s="814">
        <f>FEE_3_Out!S99</f>
        <v>12233.636255777226</v>
      </c>
      <c r="Z90" s="814">
        <f>FEE_3_Out!H99</f>
        <v>12518.116806892358</v>
      </c>
      <c r="AA90" s="807">
        <f t="shared" si="37"/>
        <v>154.68006400000002</v>
      </c>
      <c r="AB90" s="807">
        <f>FEE_3_Out!Q99*2</f>
        <v>93.48982960674401</v>
      </c>
      <c r="AC90" s="826">
        <f t="shared" si="39"/>
        <v>-0.39559224900020729</v>
      </c>
      <c r="AD90" s="808">
        <f t="shared" si="40"/>
        <v>-3.6742923447811382E-2</v>
      </c>
      <c r="AE90" s="808">
        <f t="shared" si="41"/>
        <v>-0.3588493255523959</v>
      </c>
      <c r="AF90" s="811">
        <f t="shared" si="42"/>
        <v>-0.52669577651138699</v>
      </c>
      <c r="AG90" s="811">
        <f t="shared" si="43"/>
        <v>-0.51568957659436931</v>
      </c>
      <c r="AH90" s="811"/>
      <c r="AI90" s="811"/>
      <c r="AJ90" s="111">
        <v>88</v>
      </c>
      <c r="AK90" s="111"/>
      <c r="AL90" s="874"/>
      <c r="AM90" s="871">
        <f t="shared" si="44"/>
        <v>-6.4557894727284876E-2</v>
      </c>
      <c r="AN90" s="111"/>
      <c r="AO90" s="111"/>
      <c r="AP90" s="111"/>
      <c r="AQ90" s="111"/>
      <c r="AR90" s="111"/>
      <c r="AS90" s="111"/>
      <c r="AT90" s="111"/>
      <c r="AU90" s="111"/>
      <c r="AV90" s="111"/>
      <c r="AW90" s="111"/>
      <c r="AX90" s="111"/>
      <c r="AY90" s="111"/>
      <c r="AZ90" s="111"/>
      <c r="BA90" s="111"/>
      <c r="BB90" s="111"/>
      <c r="BC90" s="111"/>
      <c r="BD90" s="111"/>
      <c r="BE90" s="111"/>
    </row>
    <row r="91" spans="1:57" x14ac:dyDescent="0.3">
      <c r="A91" s="515">
        <v>820</v>
      </c>
      <c r="B91" s="538" t="s">
        <v>472</v>
      </c>
      <c r="C91" s="103" t="s">
        <v>112</v>
      </c>
      <c r="D91" s="517" t="str">
        <f t="shared" si="45"/>
        <v>✓</v>
      </c>
      <c r="E91" s="517" t="str">
        <f t="shared" si="46"/>
        <v>✓</v>
      </c>
      <c r="F91" s="518">
        <v>38.659999999999997</v>
      </c>
      <c r="G91" s="539">
        <f t="shared" si="49"/>
        <v>37.152860747503944</v>
      </c>
      <c r="H91" s="863">
        <f t="shared" si="50"/>
        <v>39.14051111111111</v>
      </c>
      <c r="I91" s="520"/>
      <c r="J91" s="520"/>
      <c r="K91" s="520"/>
      <c r="L91" s="520"/>
      <c r="M91" s="617">
        <f t="shared" si="36"/>
        <v>24650.448754458859</v>
      </c>
      <c r="N91" s="621">
        <f>ITE_PassBy!D14*1000</f>
        <v>450000</v>
      </c>
      <c r="O91" s="110">
        <v>5.9</v>
      </c>
      <c r="P91" s="521">
        <v>0.66</v>
      </c>
      <c r="Q91" s="522">
        <v>24653.1</v>
      </c>
      <c r="R91" s="523">
        <f t="shared" si="38"/>
        <v>1.000107553642027</v>
      </c>
      <c r="S91" s="839"/>
      <c r="T91" s="839">
        <f t="shared" si="48"/>
        <v>0.96101553925255945</v>
      </c>
      <c r="U91" s="839">
        <f>Passby_Length_Adj!J95/ITE_LUC_Rates!P91</f>
        <v>1.1212121212121211</v>
      </c>
      <c r="V91" s="839">
        <f>8.21*Passby_Length_Adj!H95/ITE_LUC_Rates!O91</f>
        <v>0.5885606021813713</v>
      </c>
      <c r="W91" s="839">
        <f t="shared" si="29"/>
        <v>0.6341753856382194</v>
      </c>
      <c r="X91" s="111"/>
      <c r="Y91" s="814">
        <f>FEE_3_Out!S100</f>
        <v>12031.584448848886</v>
      </c>
      <c r="Z91" s="814">
        <f>FEE_3_Out!H100</f>
        <v>12311.366494287782</v>
      </c>
      <c r="AA91" s="807">
        <f t="shared" si="37"/>
        <v>147.5311992</v>
      </c>
      <c r="AB91" s="807">
        <f>FEE_3_Out!Q100*2</f>
        <v>91.945743399951255</v>
      </c>
      <c r="AC91" s="826">
        <f t="shared" si="39"/>
        <v>-0.37677085322606629</v>
      </c>
      <c r="AD91" s="808">
        <f t="shared" si="40"/>
        <v>-3.8984460747440552E-2</v>
      </c>
      <c r="AE91" s="808">
        <f t="shared" si="41"/>
        <v>-0.33778639247862574</v>
      </c>
      <c r="AF91" s="811">
        <f t="shared" si="42"/>
        <v>-0.51196464343839576</v>
      </c>
      <c r="AG91" s="811">
        <f t="shared" si="43"/>
        <v>-0.50061588626632014</v>
      </c>
      <c r="AH91" s="811"/>
      <c r="AI91" s="811"/>
      <c r="AJ91" s="111">
        <v>89</v>
      </c>
      <c r="AK91" s="111"/>
      <c r="AL91" s="874"/>
      <c r="AM91" s="871">
        <f t="shared" si="44"/>
        <v>-5.3499254798049518E-2</v>
      </c>
      <c r="AN91" s="111"/>
      <c r="AO91" s="111"/>
      <c r="AP91" s="111"/>
      <c r="AQ91" s="111"/>
      <c r="AR91" s="111"/>
      <c r="AS91" s="111"/>
      <c r="AT91" s="111"/>
      <c r="AU91" s="111"/>
      <c r="AV91" s="111"/>
      <c r="AW91" s="111"/>
      <c r="AX91" s="111"/>
      <c r="AY91" s="111"/>
      <c r="AZ91" s="111"/>
      <c r="BA91" s="111"/>
      <c r="BB91" s="111"/>
      <c r="BC91" s="111"/>
      <c r="BD91" s="111"/>
      <c r="BE91" s="111"/>
    </row>
    <row r="92" spans="1:57" x14ac:dyDescent="0.3">
      <c r="A92" s="515">
        <v>820</v>
      </c>
      <c r="B92" s="538" t="s">
        <v>473</v>
      </c>
      <c r="C92" s="103" t="s">
        <v>112</v>
      </c>
      <c r="D92" s="517" t="str">
        <f t="shared" si="45"/>
        <v>✓</v>
      </c>
      <c r="E92" s="517" t="str">
        <f t="shared" si="46"/>
        <v>✓</v>
      </c>
      <c r="F92" s="518">
        <v>36.270000000000003</v>
      </c>
      <c r="G92" s="539">
        <f t="shared" si="49"/>
        <v>34.84209042728628</v>
      </c>
      <c r="H92" s="863">
        <f t="shared" si="50"/>
        <v>36.77132727272727</v>
      </c>
      <c r="I92" s="520"/>
      <c r="J92" s="520"/>
      <c r="K92" s="520"/>
      <c r="L92" s="520"/>
      <c r="M92" s="617">
        <f t="shared" si="36"/>
        <v>23476.935292026425</v>
      </c>
      <c r="N92" s="621">
        <f>ITE_PassBy!D15*1000</f>
        <v>550000</v>
      </c>
      <c r="O92" s="110">
        <v>5.9</v>
      </c>
      <c r="P92" s="521">
        <v>0.67</v>
      </c>
      <c r="Q92" s="522">
        <v>23479</v>
      </c>
      <c r="R92" s="523">
        <f t="shared" si="38"/>
        <v>1.0000879462309664</v>
      </c>
      <c r="S92" s="839"/>
      <c r="T92" s="839">
        <f t="shared" si="48"/>
        <v>0.96063111186342087</v>
      </c>
      <c r="U92" s="839">
        <f>Passby_Length_Adj!J96/ITE_LUC_Rates!P92</f>
        <v>1.1343283582089552</v>
      </c>
      <c r="V92" s="839">
        <f>8.21*Passby_Length_Adj!H96/ITE_LUC_Rates!O92</f>
        <v>0.60958062368784882</v>
      </c>
      <c r="W92" s="839">
        <f t="shared" si="29"/>
        <v>0.66424239604593782</v>
      </c>
      <c r="X92" s="111"/>
      <c r="Y92" s="814">
        <f>FEE_3_Out!S101</f>
        <v>12002.082468735323</v>
      </c>
      <c r="Z92" s="814">
        <f>FEE_3_Out!H101</f>
        <v>12281.178476156885</v>
      </c>
      <c r="AA92" s="807">
        <f t="shared" si="37"/>
        <v>140.5078038</v>
      </c>
      <c r="AB92" s="807">
        <f>FEE_3_Out!Q101*2</f>
        <v>91.720288348304123</v>
      </c>
      <c r="AC92" s="826">
        <f t="shared" si="39"/>
        <v>-0.34722281704111213</v>
      </c>
      <c r="AD92" s="808">
        <f t="shared" si="40"/>
        <v>-3.9368888136579128E-2</v>
      </c>
      <c r="AE92" s="808">
        <f t="shared" si="41"/>
        <v>-0.307853928904533</v>
      </c>
      <c r="AF92" s="811">
        <f t="shared" si="42"/>
        <v>-0.48881628396714838</v>
      </c>
      <c r="AG92" s="811">
        <f t="shared" si="43"/>
        <v>-0.47692923565071399</v>
      </c>
      <c r="AH92" s="811"/>
      <c r="AI92" s="811"/>
      <c r="AJ92" s="111">
        <v>90</v>
      </c>
      <c r="AK92" s="111"/>
      <c r="AL92" s="874"/>
      <c r="AM92" s="871">
        <f t="shared" si="44"/>
        <v>-5.537086959426879E-2</v>
      </c>
      <c r="AN92" s="111"/>
      <c r="AO92" s="111"/>
      <c r="AP92" s="111"/>
      <c r="AQ92" s="111"/>
      <c r="AR92" s="111"/>
      <c r="AS92" s="111"/>
      <c r="AT92" s="111"/>
      <c r="AU92" s="111"/>
      <c r="AV92" s="111"/>
      <c r="AW92" s="111"/>
      <c r="AX92" s="111"/>
      <c r="AY92" s="111"/>
      <c r="AZ92" s="111"/>
      <c r="BA92" s="111"/>
      <c r="BB92" s="111"/>
      <c r="BC92" s="111"/>
      <c r="BD92" s="111"/>
      <c r="BE92" s="111"/>
    </row>
    <row r="93" spans="1:57" x14ac:dyDescent="0.3">
      <c r="A93" s="515">
        <v>820</v>
      </c>
      <c r="B93" s="538" t="s">
        <v>474</v>
      </c>
      <c r="C93" s="103" t="s">
        <v>112</v>
      </c>
      <c r="D93" s="517" t="str">
        <f t="shared" si="45"/>
        <v>✓</v>
      </c>
      <c r="E93" s="517" t="str">
        <f t="shared" si="46"/>
        <v>✓</v>
      </c>
      <c r="F93" s="518">
        <v>32.799999999999997</v>
      </c>
      <c r="G93" s="539">
        <f t="shared" si="49"/>
        <v>32.254394347161764</v>
      </c>
      <c r="H93" s="863">
        <f t="shared" si="50"/>
        <v>34.486757142857144</v>
      </c>
      <c r="I93" s="520"/>
      <c r="J93" s="520"/>
      <c r="K93" s="520"/>
      <c r="L93" s="520"/>
      <c r="M93" s="617">
        <f t="shared" si="36"/>
        <v>21864.62227856342</v>
      </c>
      <c r="N93" s="621">
        <f>ITE_PassBy!D16*1000</f>
        <v>700000</v>
      </c>
      <c r="O93" s="110">
        <v>5.9</v>
      </c>
      <c r="P93" s="521">
        <v>0.69</v>
      </c>
      <c r="Q93" s="522">
        <v>21864.3</v>
      </c>
      <c r="R93" s="523">
        <f t="shared" si="38"/>
        <v>0.9999852602729965</v>
      </c>
      <c r="S93" s="839"/>
      <c r="T93" s="839">
        <f t="shared" si="48"/>
        <v>0.98336568131590751</v>
      </c>
      <c r="U93" s="839">
        <f>Passby_Length_Adj!J97/ITE_LUC_Rates!P93</f>
        <v>1.1304347826086958</v>
      </c>
      <c r="V93" s="839">
        <f>8.21*Passby_Length_Adj!H97/ITE_LUC_Rates!O93</f>
        <v>0.63060064519432646</v>
      </c>
      <c r="W93" s="839">
        <f t="shared" si="29"/>
        <v>0.70099508089539198</v>
      </c>
      <c r="X93" s="111"/>
      <c r="Y93" s="814">
        <f>FEE_3_Out!S102</f>
        <v>11796.293284498945</v>
      </c>
      <c r="Z93" s="814">
        <f>FEE_3_Out!H102</f>
        <v>12070.603877402607</v>
      </c>
      <c r="AA93" s="807">
        <f t="shared" si="37"/>
        <v>130.85822399999998</v>
      </c>
      <c r="AB93" s="807">
        <f>FEE_3_Out!Q102*2</f>
        <v>90.147640987623902</v>
      </c>
      <c r="AC93" s="826">
        <f t="shared" si="39"/>
        <v>-0.31110450507394993</v>
      </c>
      <c r="AD93" s="808">
        <f t="shared" si="40"/>
        <v>-1.6634318684092486E-2</v>
      </c>
      <c r="AE93" s="808">
        <f t="shared" si="41"/>
        <v>-0.29447018638985745</v>
      </c>
      <c r="AF93" s="811">
        <f t="shared" si="42"/>
        <v>-0.46047697458876136</v>
      </c>
      <c r="AG93" s="811">
        <f t="shared" si="43"/>
        <v>-0.44793092495974685</v>
      </c>
      <c r="AH93" s="811"/>
      <c r="AI93" s="811"/>
      <c r="AJ93" s="111">
        <v>91</v>
      </c>
      <c r="AK93" s="111"/>
      <c r="AL93" s="874"/>
      <c r="AM93" s="871">
        <f t="shared" si="44"/>
        <v>-6.9211121178340079E-2</v>
      </c>
      <c r="AN93" s="111"/>
      <c r="AO93" s="111"/>
      <c r="AP93" s="111"/>
      <c r="AQ93" s="111"/>
      <c r="AR93" s="111"/>
      <c r="AS93" s="111"/>
      <c r="AT93" s="111"/>
      <c r="AU93" s="111"/>
      <c r="AV93" s="111"/>
      <c r="AW93" s="111"/>
      <c r="AX93" s="111"/>
      <c r="AY93" s="111"/>
      <c r="AZ93" s="111"/>
      <c r="BA93" s="111"/>
      <c r="BB93" s="111"/>
      <c r="BC93" s="111"/>
      <c r="BD93" s="111"/>
      <c r="BE93" s="111"/>
    </row>
    <row r="94" spans="1:57" x14ac:dyDescent="0.3">
      <c r="A94" s="515">
        <v>820</v>
      </c>
      <c r="B94" s="538" t="s">
        <v>475</v>
      </c>
      <c r="C94" s="103" t="s">
        <v>112</v>
      </c>
      <c r="D94" s="517" t="str">
        <f t="shared" si="45"/>
        <v>✓</v>
      </c>
      <c r="E94" s="517" t="str">
        <f t="shared" si="46"/>
        <v>✓</v>
      </c>
      <c r="F94" s="518">
        <v>30.33</v>
      </c>
      <c r="G94" s="539">
        <f t="shared" si="49"/>
        <v>29.762037611107274</v>
      </c>
      <c r="H94" s="863">
        <f t="shared" si="50"/>
        <v>32.625255555555555</v>
      </c>
      <c r="I94" s="520"/>
      <c r="J94" s="520"/>
      <c r="K94" s="520"/>
      <c r="L94" s="520"/>
      <c r="M94" s="617">
        <f t="shared" si="36"/>
        <v>20511.125644935495</v>
      </c>
      <c r="N94" s="621">
        <f>ITE_PassBy!D17*1000</f>
        <v>900000</v>
      </c>
      <c r="O94" s="110">
        <v>5.9</v>
      </c>
      <c r="P94" s="521">
        <v>0.7</v>
      </c>
      <c r="Q94" s="522">
        <v>20513.7</v>
      </c>
      <c r="R94" s="523">
        <f t="shared" si="38"/>
        <v>1.0001255101796493</v>
      </c>
      <c r="S94" s="839"/>
      <c r="T94" s="839">
        <f t="shared" si="48"/>
        <v>0.98127390738896392</v>
      </c>
      <c r="U94" s="839">
        <f>Passby_Length_Adj!J98/ITE_LUC_Rates!P94</f>
        <v>1.142857142857143</v>
      </c>
      <c r="V94" s="839">
        <f>8.21*Passby_Length_Adj!H98/ITE_LUC_Rates!O94</f>
        <v>0.69366070971375904</v>
      </c>
      <c r="W94" s="839">
        <f t="shared" si="29"/>
        <v>0.77790989145488265</v>
      </c>
      <c r="X94" s="111"/>
      <c r="Y94" s="814">
        <f>FEE_3_Out!S103</f>
        <v>12280.255447660356</v>
      </c>
      <c r="Z94" s="814">
        <f>FEE_3_Out!H103</f>
        <v>12565.820079838728</v>
      </c>
      <c r="AA94" s="807">
        <f t="shared" si="37"/>
        <v>122.75764199999999</v>
      </c>
      <c r="AB94" s="807">
        <f>FEE_3_Out!Q103*2</f>
        <v>93.846094924302363</v>
      </c>
      <c r="AC94" s="826">
        <f t="shared" si="39"/>
        <v>-0.23551728922666693</v>
      </c>
      <c r="AD94" s="808">
        <f t="shared" si="40"/>
        <v>-1.8726092611036083E-2</v>
      </c>
      <c r="AE94" s="808">
        <f t="shared" si="41"/>
        <v>-0.21679119661563084</v>
      </c>
      <c r="AF94" s="811">
        <f t="shared" si="42"/>
        <v>-0.40136321347877979</v>
      </c>
      <c r="AG94" s="811">
        <f t="shared" si="43"/>
        <v>-0.38744253450919497</v>
      </c>
      <c r="AH94" s="811"/>
      <c r="AI94" s="811"/>
      <c r="AJ94" s="111">
        <v>92</v>
      </c>
      <c r="AK94" s="111"/>
      <c r="AL94" s="874"/>
      <c r="AM94" s="871">
        <f t="shared" si="44"/>
        <v>-9.6203693505841126E-2</v>
      </c>
      <c r="AN94" s="111"/>
      <c r="AO94" s="111"/>
      <c r="AP94" s="111"/>
      <c r="AQ94" s="111"/>
      <c r="AR94" s="111"/>
      <c r="AS94" s="111"/>
      <c r="AT94" s="111"/>
      <c r="AU94" s="111"/>
      <c r="AV94" s="111"/>
      <c r="AW94" s="111"/>
      <c r="AX94" s="111"/>
      <c r="AY94" s="111"/>
      <c r="AZ94" s="111"/>
      <c r="BA94" s="111"/>
      <c r="BB94" s="111"/>
      <c r="BC94" s="111"/>
      <c r="BD94" s="111"/>
      <c r="BE94" s="111"/>
    </row>
    <row r="95" spans="1:57" x14ac:dyDescent="0.3">
      <c r="A95" s="515">
        <v>820</v>
      </c>
      <c r="B95" s="538" t="s">
        <v>476</v>
      </c>
      <c r="C95" s="103" t="s">
        <v>112</v>
      </c>
      <c r="D95" s="517" t="str">
        <f t="shared" si="45"/>
        <v>✓</v>
      </c>
      <c r="E95" s="517" t="str">
        <f t="shared" si="46"/>
        <v>✓</v>
      </c>
      <c r="F95" s="518">
        <v>28.46</v>
      </c>
      <c r="G95" s="539">
        <f t="shared" si="49"/>
        <v>27.910949113552771</v>
      </c>
      <c r="H95" s="863">
        <f t="shared" si="50"/>
        <v>31.440663636363631</v>
      </c>
      <c r="I95" s="520"/>
      <c r="J95" s="520"/>
      <c r="K95" s="520"/>
      <c r="L95" s="520"/>
      <c r="M95" s="617">
        <f t="shared" si="36"/>
        <v>19521.45972667107</v>
      </c>
      <c r="N95" s="621">
        <f>ITE_PassBy!D18*1000</f>
        <v>1100000</v>
      </c>
      <c r="O95" s="110">
        <v>5.9</v>
      </c>
      <c r="P95" s="521">
        <v>0.71</v>
      </c>
      <c r="Q95" s="522">
        <v>19521.3</v>
      </c>
      <c r="R95" s="523">
        <f t="shared" si="38"/>
        <v>0.99999181789306191</v>
      </c>
      <c r="S95" s="839"/>
      <c r="T95" s="839">
        <f t="shared" si="48"/>
        <v>0.98070798009672422</v>
      </c>
      <c r="U95" s="839">
        <f>Passby_Length_Adj!J99/ITE_LUC_Rates!P95</f>
        <v>1.1408450704225352</v>
      </c>
      <c r="V95" s="839">
        <f>8.21*Passby_Length_Adj!H99/ITE_LUC_Rates!O95</f>
        <v>0.71468073122023645</v>
      </c>
      <c r="W95" s="839">
        <f t="shared" si="29"/>
        <v>0.79961043384018149</v>
      </c>
      <c r="X95" s="111"/>
      <c r="Y95" s="814">
        <f>FEE_3_Out!S104</f>
        <v>12013.7711186818</v>
      </c>
      <c r="Z95" s="814">
        <f>FEE_3_Out!H104</f>
        <v>12293.138933561833</v>
      </c>
      <c r="AA95" s="807">
        <f t="shared" si="37"/>
        <v>116.8345612</v>
      </c>
      <c r="AB95" s="807">
        <f>FEE_3_Out!Q104*2</f>
        <v>91.809613375547187</v>
      </c>
      <c r="AC95" s="826">
        <f t="shared" si="39"/>
        <v>-0.21419131092224108</v>
      </c>
      <c r="AD95" s="808">
        <f t="shared" si="40"/>
        <v>-1.9292019903275781E-2</v>
      </c>
      <c r="AE95" s="808">
        <f t="shared" si="41"/>
        <v>-0.1948992910189653</v>
      </c>
      <c r="AF95" s="811">
        <f t="shared" si="42"/>
        <v>-0.38458139987184259</v>
      </c>
      <c r="AG95" s="811">
        <f t="shared" si="43"/>
        <v>-0.37027047719353556</v>
      </c>
      <c r="AH95" s="811"/>
      <c r="AI95" s="811"/>
      <c r="AJ95" s="111">
        <v>93</v>
      </c>
      <c r="AK95" s="111"/>
      <c r="AL95" s="874"/>
      <c r="AM95" s="871">
        <f t="shared" si="44"/>
        <v>-0.12646343585273959</v>
      </c>
      <c r="AN95" s="111"/>
      <c r="AO95" s="111"/>
      <c r="AP95" s="111"/>
      <c r="AQ95" s="111"/>
      <c r="AR95" s="111"/>
      <c r="AS95" s="111"/>
      <c r="AT95" s="111"/>
      <c r="AU95" s="111"/>
      <c r="AV95" s="111"/>
      <c r="AW95" s="111"/>
      <c r="AX95" s="111"/>
      <c r="AY95" s="111"/>
      <c r="AZ95" s="111"/>
      <c r="BA95" s="111"/>
      <c r="BB95" s="111"/>
      <c r="BC95" s="111"/>
      <c r="BD95" s="111"/>
      <c r="BE95" s="111"/>
    </row>
    <row r="96" spans="1:57" x14ac:dyDescent="0.3">
      <c r="A96" s="515">
        <v>820</v>
      </c>
      <c r="B96" s="538" t="s">
        <v>477</v>
      </c>
      <c r="C96" s="103" t="s">
        <v>112</v>
      </c>
      <c r="D96" s="517" t="str">
        <f t="shared" si="45"/>
        <v>✓</v>
      </c>
      <c r="E96" s="517" t="str">
        <f t="shared" si="46"/>
        <v>✓</v>
      </c>
      <c r="F96" s="518">
        <v>27.67</v>
      </c>
      <c r="G96" s="539">
        <f t="shared" si="49"/>
        <v>26.458084032221276</v>
      </c>
      <c r="H96" s="863">
        <f t="shared" si="50"/>
        <v>30.620561538461537</v>
      </c>
      <c r="I96" s="520"/>
      <c r="J96" s="520"/>
      <c r="K96" s="520"/>
      <c r="L96" s="520"/>
      <c r="M96" s="617">
        <f t="shared" si="36"/>
        <v>19246.896026972954</v>
      </c>
      <c r="N96" s="621">
        <f>ITE_PassBy!D19*1000</f>
        <v>1300000</v>
      </c>
      <c r="O96" s="110">
        <v>5.9</v>
      </c>
      <c r="P96" s="521">
        <v>0.72</v>
      </c>
      <c r="Q96" s="522">
        <v>19248.8</v>
      </c>
      <c r="R96" s="523">
        <f t="shared" si="38"/>
        <v>1.0000989236406939</v>
      </c>
      <c r="S96" s="839"/>
      <c r="T96" s="839">
        <f t="shared" si="48"/>
        <v>0.95620108537120618</v>
      </c>
      <c r="U96" s="839">
        <f>Passby_Length_Adj!J100/ITE_LUC_Rates!P96</f>
        <v>1.1388888888888888</v>
      </c>
      <c r="V96" s="839">
        <f>8.21*Passby_Length_Adj!H100/ITE_LUC_Rates!O96</f>
        <v>0.7357007527267142</v>
      </c>
      <c r="W96" s="839">
        <f t="shared" si="29"/>
        <v>0.80118311635815542</v>
      </c>
      <c r="X96" s="111"/>
      <c r="Y96" s="814">
        <f>FEE_3_Out!S105</f>
        <v>11868.097377031001</v>
      </c>
      <c r="Z96" s="814">
        <f>FEE_3_Out!H105</f>
        <v>12144.077699799829</v>
      </c>
      <c r="AA96" s="807">
        <f t="shared" si="37"/>
        <v>115.19131680000001</v>
      </c>
      <c r="AB96" s="807">
        <f>FEE_3_Out!Q105*2</f>
        <v>90.696370100991061</v>
      </c>
      <c r="AC96" s="826">
        <f t="shared" si="39"/>
        <v>-0.21264577382632144</v>
      </c>
      <c r="AD96" s="808">
        <f t="shared" si="40"/>
        <v>-4.3798914628793817E-2</v>
      </c>
      <c r="AE96" s="808">
        <f t="shared" si="41"/>
        <v>-0.16884685919752762</v>
      </c>
      <c r="AF96" s="811">
        <f t="shared" si="42"/>
        <v>-0.38343702583896133</v>
      </c>
      <c r="AG96" s="811">
        <f t="shared" si="43"/>
        <v>-0.36909949192677827</v>
      </c>
      <c r="AH96" s="811"/>
      <c r="AI96" s="811"/>
      <c r="AJ96" s="111">
        <v>94</v>
      </c>
      <c r="AK96" s="111"/>
      <c r="AL96" s="874"/>
      <c r="AM96" s="871">
        <f t="shared" si="44"/>
        <v>-0.15732346685312129</v>
      </c>
      <c r="AN96" s="111"/>
      <c r="AO96" s="111"/>
      <c r="AP96" s="111"/>
      <c r="AQ96" s="111"/>
      <c r="AR96" s="111"/>
      <c r="AS96" s="111"/>
      <c r="AT96" s="111"/>
      <c r="AU96" s="111"/>
      <c r="AV96" s="111"/>
      <c r="AW96" s="111"/>
      <c r="AX96" s="111"/>
      <c r="AY96" s="111"/>
      <c r="AZ96" s="111"/>
      <c r="BA96" s="111"/>
      <c r="BB96" s="111"/>
      <c r="BC96" s="111"/>
      <c r="BD96" s="111"/>
      <c r="BE96" s="111"/>
    </row>
    <row r="97" spans="1:57" x14ac:dyDescent="0.3">
      <c r="A97" s="515">
        <v>823</v>
      </c>
      <c r="B97" s="516" t="s">
        <v>307</v>
      </c>
      <c r="C97" s="103" t="s">
        <v>112</v>
      </c>
      <c r="D97" s="517" t="str">
        <f t="shared" si="45"/>
        <v>X</v>
      </c>
      <c r="E97" s="517" t="str">
        <f t="shared" si="46"/>
        <v>✓</v>
      </c>
      <c r="F97" s="518"/>
      <c r="G97" s="520">
        <v>26.59</v>
      </c>
      <c r="H97" s="863">
        <v>26.59</v>
      </c>
      <c r="I97" s="520"/>
      <c r="J97" s="520"/>
      <c r="K97" s="520"/>
      <c r="L97" s="520"/>
      <c r="M97" s="617"/>
      <c r="N97" s="239"/>
      <c r="O97" s="110"/>
      <c r="P97" s="111"/>
      <c r="Q97" s="522"/>
      <c r="R97" s="523"/>
      <c r="S97" s="839"/>
      <c r="T97" s="839" t="e">
        <f t="shared" si="48"/>
        <v>#DIV/0!</v>
      </c>
      <c r="U97" s="839" t="e">
        <f>Passby_Length_Adj!J101/ITE_LUC_Rates!P97</f>
        <v>#DIV/0!</v>
      </c>
      <c r="V97" s="839" t="e">
        <f>8.21*Passby_Length_Adj!H101/ITE_LUC_Rates!O97</f>
        <v>#DIV/0!</v>
      </c>
      <c r="W97" s="839" t="e">
        <f t="shared" si="29"/>
        <v>#DIV/0!</v>
      </c>
      <c r="X97" s="111"/>
      <c r="Y97" s="814">
        <f>FEE_3_Out!S106</f>
        <v>27511.681787285961</v>
      </c>
      <c r="Z97" s="814">
        <f>FEE_3_Out!H106</f>
        <v>28151.437476707841</v>
      </c>
      <c r="AA97" s="807">
        <f t="shared" si="37"/>
        <v>0</v>
      </c>
      <c r="AB97" s="807">
        <f>FEE_3_Out!Q106*2</f>
        <v>210.24512979725822</v>
      </c>
      <c r="AC97" s="826">
        <f t="shared" si="39"/>
        <v>0</v>
      </c>
      <c r="AD97" s="808">
        <f t="shared" si="40"/>
        <v>0</v>
      </c>
      <c r="AE97" s="808">
        <f t="shared" si="41"/>
        <v>0</v>
      </c>
      <c r="AF97" s="811">
        <f t="shared" si="42"/>
        <v>0</v>
      </c>
      <c r="AG97" s="811">
        <f t="shared" si="43"/>
        <v>0</v>
      </c>
      <c r="AH97" s="811"/>
      <c r="AI97" s="811"/>
      <c r="AJ97" s="111">
        <v>95</v>
      </c>
      <c r="AK97" s="111"/>
      <c r="AL97" s="874"/>
      <c r="AM97" s="871">
        <f t="shared" si="44"/>
        <v>0</v>
      </c>
      <c r="AN97" s="111"/>
      <c r="AO97" s="111"/>
      <c r="AP97" s="111"/>
      <c r="AQ97" s="111"/>
      <c r="AR97" s="111"/>
      <c r="AS97" s="111"/>
      <c r="AT97" s="111"/>
      <c r="AU97" s="111"/>
      <c r="AV97" s="111"/>
      <c r="AW97" s="111"/>
      <c r="AX97" s="111"/>
      <c r="AY97" s="111"/>
      <c r="AZ97" s="111"/>
      <c r="BA97" s="111"/>
      <c r="BB97" s="111"/>
      <c r="BC97" s="111"/>
      <c r="BD97" s="111"/>
      <c r="BE97" s="111"/>
    </row>
    <row r="98" spans="1:57" x14ac:dyDescent="0.3">
      <c r="A98" s="515">
        <v>840</v>
      </c>
      <c r="B98" s="516" t="s">
        <v>478</v>
      </c>
      <c r="C98" s="103" t="s">
        <v>112</v>
      </c>
      <c r="D98" s="517" t="str">
        <f t="shared" si="45"/>
        <v>✓</v>
      </c>
      <c r="E98" s="517" t="str">
        <f t="shared" si="46"/>
        <v>✓</v>
      </c>
      <c r="F98" s="518">
        <v>33.56</v>
      </c>
      <c r="G98" s="520">
        <v>27.84</v>
      </c>
      <c r="H98" s="863">
        <v>27.84</v>
      </c>
      <c r="I98" s="520"/>
      <c r="J98" s="520"/>
      <c r="K98" s="520"/>
      <c r="L98" s="520"/>
      <c r="M98" s="617">
        <f t="shared" si="36"/>
        <v>24316.566929632445</v>
      </c>
      <c r="N98" s="239"/>
      <c r="O98" s="110">
        <v>5.9</v>
      </c>
      <c r="P98" s="521">
        <v>0.75</v>
      </c>
      <c r="Q98" s="522">
        <v>24316.7</v>
      </c>
      <c r="R98" s="523">
        <f t="shared" si="38"/>
        <v>1.0000054724159024</v>
      </c>
      <c r="S98" s="839"/>
      <c r="T98" s="839">
        <f t="shared" si="48"/>
        <v>0.8295589988081048</v>
      </c>
      <c r="U98" s="839">
        <f>Passby_Length_Adj!J102/ITE_LUC_Rates!P98</f>
        <v>1.0466666666666666</v>
      </c>
      <c r="V98" s="839">
        <f>8.21*Passby_Length_Adj!H102/ITE_LUC_Rates!O98</f>
        <v>0.96692098929796721</v>
      </c>
      <c r="W98" s="839">
        <f t="shared" si="29"/>
        <v>0.83955018150629679</v>
      </c>
      <c r="X98" s="111"/>
      <c r="Y98" s="814">
        <f>FEE_3_Out!S107</f>
        <v>15712.219304667191</v>
      </c>
      <c r="Z98" s="814">
        <f>FEE_3_Out!H107</f>
        <v>16077.590704762784</v>
      </c>
      <c r="AA98" s="807">
        <f t="shared" si="37"/>
        <v>145.53294000000002</v>
      </c>
      <c r="AB98" s="807">
        <f>FEE_3_Out!Q107*2</f>
        <v>120.07326969881413</v>
      </c>
      <c r="AC98" s="826">
        <f t="shared" si="39"/>
        <v>-0.1749409467106614</v>
      </c>
      <c r="AD98" s="808">
        <f t="shared" si="40"/>
        <v>-0.1704410011918952</v>
      </c>
      <c r="AE98" s="808">
        <f t="shared" si="41"/>
        <v>-4.4999455187662019E-3</v>
      </c>
      <c r="AF98" s="811">
        <f t="shared" si="42"/>
        <v>-0.35385067444730611</v>
      </c>
      <c r="AG98" s="811">
        <f t="shared" si="43"/>
        <v>-0.33882514055102941</v>
      </c>
      <c r="AH98" s="811"/>
      <c r="AI98" s="811"/>
      <c r="AJ98" s="111">
        <v>96</v>
      </c>
      <c r="AK98" s="111"/>
      <c r="AL98" s="874"/>
      <c r="AM98" s="871">
        <f t="shared" si="44"/>
        <v>0</v>
      </c>
      <c r="AN98" s="111"/>
      <c r="AO98" s="111"/>
      <c r="AP98" s="111"/>
      <c r="AQ98" s="111"/>
      <c r="AR98" s="111"/>
      <c r="AS98" s="111"/>
      <c r="AT98" s="111"/>
      <c r="AU98" s="111"/>
      <c r="AV98" s="111"/>
      <c r="AW98" s="111"/>
      <c r="AX98" s="111"/>
      <c r="AY98" s="111"/>
      <c r="AZ98" s="111"/>
      <c r="BA98" s="111"/>
      <c r="BB98" s="111"/>
      <c r="BC98" s="111"/>
      <c r="BD98" s="111"/>
      <c r="BE98" s="111"/>
    </row>
    <row r="99" spans="1:57" x14ac:dyDescent="0.3">
      <c r="A99" s="515">
        <v>843</v>
      </c>
      <c r="B99" s="516" t="s">
        <v>479</v>
      </c>
      <c r="C99" s="103" t="s">
        <v>112</v>
      </c>
      <c r="D99" s="517" t="str">
        <f t="shared" si="45"/>
        <v>✓</v>
      </c>
      <c r="E99" s="517" t="str">
        <f t="shared" si="46"/>
        <v>✓</v>
      </c>
      <c r="F99" s="518">
        <v>21.44</v>
      </c>
      <c r="G99" s="520">
        <v>55.34</v>
      </c>
      <c r="H99" s="863">
        <v>54.57</v>
      </c>
      <c r="I99" s="520"/>
      <c r="J99" s="520"/>
      <c r="K99" s="520"/>
      <c r="L99" s="520"/>
      <c r="M99" s="617">
        <f t="shared" si="36"/>
        <v>15534.779349562563</v>
      </c>
      <c r="N99" s="239"/>
      <c r="O99" s="110">
        <v>5.9</v>
      </c>
      <c r="P99" s="521">
        <v>0.75</v>
      </c>
      <c r="Q99" s="522">
        <v>15535</v>
      </c>
      <c r="R99" s="523">
        <f t="shared" si="38"/>
        <v>1.0000142036415498</v>
      </c>
      <c r="S99" s="839"/>
      <c r="T99" s="839">
        <f t="shared" si="48"/>
        <v>2.5811567164179103</v>
      </c>
      <c r="U99" s="839">
        <f>Passby_Length_Adj!J103/ITE_LUC_Rates!P99</f>
        <v>1.0466666666666666</v>
      </c>
      <c r="V99" s="839">
        <f>8.21*Passby_Length_Adj!H103/ITE_LUC_Rates!O99</f>
        <v>0.96692098929796721</v>
      </c>
      <c r="W99" s="839">
        <f t="shared" si="29"/>
        <v>2.6122440873745871</v>
      </c>
      <c r="X99" s="111"/>
      <c r="Y99" s="814">
        <f>FEE_3_Out!S108</f>
        <v>31232.550873573371</v>
      </c>
      <c r="Z99" s="814">
        <f>FEE_3_Out!H108</f>
        <v>31958.831523044999</v>
      </c>
      <c r="AA99" s="807">
        <f t="shared" ref="AA99:AA128" si="51">F99*O99*P99*0.98</f>
        <v>92.974560000000011</v>
      </c>
      <c r="AB99" s="807">
        <f>FEE_3_Out!Q108*2</f>
        <v>238.680127339525</v>
      </c>
      <c r="AC99" s="826">
        <f t="shared" si="39"/>
        <v>1.5671552233161949</v>
      </c>
      <c r="AD99" s="808">
        <f t="shared" si="40"/>
        <v>1.5811567164179103</v>
      </c>
      <c r="AE99" s="808">
        <f t="shared" si="41"/>
        <v>-1.400149310171539E-2</v>
      </c>
      <c r="AF99" s="811">
        <f t="shared" si="42"/>
        <v>1.010463525817404</v>
      </c>
      <c r="AG99" s="811">
        <f t="shared" si="43"/>
        <v>1.0572147745764404</v>
      </c>
      <c r="AH99" s="811"/>
      <c r="AI99" s="811"/>
      <c r="AJ99" s="111">
        <v>97</v>
      </c>
      <c r="AK99" s="111"/>
      <c r="AL99" s="874"/>
      <c r="AM99" s="871">
        <f t="shared" si="44"/>
        <v>1.3913986266714909E-2</v>
      </c>
      <c r="AN99" s="111"/>
      <c r="AO99" s="111"/>
      <c r="AP99" s="111"/>
      <c r="AQ99" s="111"/>
      <c r="AR99" s="111"/>
      <c r="AS99" s="111"/>
      <c r="AT99" s="111"/>
      <c r="AU99" s="111"/>
      <c r="AV99" s="111"/>
      <c r="AW99" s="111"/>
      <c r="AX99" s="111"/>
      <c r="AY99" s="111"/>
      <c r="AZ99" s="111"/>
      <c r="BA99" s="111"/>
      <c r="BB99" s="111"/>
      <c r="BC99" s="111"/>
      <c r="BD99" s="111"/>
      <c r="BE99" s="111"/>
    </row>
    <row r="100" spans="1:57" x14ac:dyDescent="0.3">
      <c r="A100" s="515">
        <v>848</v>
      </c>
      <c r="B100" s="516" t="s">
        <v>480</v>
      </c>
      <c r="C100" s="103" t="s">
        <v>112</v>
      </c>
      <c r="D100" s="517" t="str">
        <f t="shared" si="45"/>
        <v>✓</v>
      </c>
      <c r="E100" s="517" t="str">
        <f t="shared" si="46"/>
        <v>✓</v>
      </c>
      <c r="F100" s="518">
        <v>24.87</v>
      </c>
      <c r="G100" s="520">
        <v>28.52</v>
      </c>
      <c r="H100" s="863">
        <v>27.69</v>
      </c>
      <c r="I100" s="520"/>
      <c r="J100" s="520"/>
      <c r="K100" s="520"/>
      <c r="L100" s="520"/>
      <c r="M100" s="617">
        <f t="shared" si="36"/>
        <v>24026.738956692836</v>
      </c>
      <c r="N100" s="239"/>
      <c r="O100" s="110">
        <v>5.9</v>
      </c>
      <c r="P100" s="521">
        <v>1</v>
      </c>
      <c r="Q100" s="522">
        <v>24027.4</v>
      </c>
      <c r="R100" s="523">
        <f t="shared" si="38"/>
        <v>1.0000275128184626</v>
      </c>
      <c r="S100" s="839"/>
      <c r="T100" s="839">
        <f t="shared" si="48"/>
        <v>1.1467631684760755</v>
      </c>
      <c r="U100" s="839">
        <f>Passby_Length_Adj!J104/ITE_LUC_Rates!P100</f>
        <v>1</v>
      </c>
      <c r="V100" s="839">
        <f>8.21*Passby_Length_Adj!H104/ITE_LUC_Rates!O100</f>
        <v>1.1959703994113096</v>
      </c>
      <c r="W100" s="839">
        <f t="shared" si="29"/>
        <v>1.3714948046325108</v>
      </c>
      <c r="X100" s="111"/>
      <c r="Y100" s="814">
        <f>FEE_3_Out!S109</f>
        <v>25361.656074099461</v>
      </c>
      <c r="Z100" s="814">
        <f>FEE_3_Out!H109</f>
        <v>25951.415140521356</v>
      </c>
      <c r="AA100" s="807">
        <f t="shared" si="51"/>
        <v>143.79834</v>
      </c>
      <c r="AB100" s="807">
        <f>FEE_3_Out!Q109*2</f>
        <v>193.81456627768316</v>
      </c>
      <c r="AC100" s="826">
        <f t="shared" si="39"/>
        <v>0.34782200043257228</v>
      </c>
      <c r="AD100" s="808">
        <f t="shared" si="40"/>
        <v>0.14676316847607551</v>
      </c>
      <c r="AE100" s="808">
        <f t="shared" si="41"/>
        <v>0.20105883195649676</v>
      </c>
      <c r="AF100" s="811">
        <f t="shared" si="42"/>
        <v>5.5530605646031628E-2</v>
      </c>
      <c r="AG100" s="811">
        <f t="shared" si="43"/>
        <v>8.0075877561507136E-2</v>
      </c>
      <c r="AH100" s="811"/>
      <c r="AI100" s="811"/>
      <c r="AJ100" s="111">
        <v>98</v>
      </c>
      <c r="AK100" s="111"/>
      <c r="AL100" s="874"/>
      <c r="AM100" s="871">
        <f t="shared" si="44"/>
        <v>2.9102384291725045E-2</v>
      </c>
      <c r="AN100" s="111"/>
      <c r="AO100" s="111"/>
      <c r="AP100" s="111"/>
      <c r="AQ100" s="111"/>
      <c r="AR100" s="111"/>
      <c r="AS100" s="111"/>
      <c r="AT100" s="111"/>
      <c r="AU100" s="111"/>
      <c r="AV100" s="111"/>
      <c r="AW100" s="111"/>
      <c r="AX100" s="111"/>
      <c r="AY100" s="111"/>
      <c r="AZ100" s="111"/>
      <c r="BA100" s="111"/>
      <c r="BB100" s="111"/>
      <c r="BC100" s="111"/>
      <c r="BD100" s="111"/>
      <c r="BE100" s="111"/>
    </row>
    <row r="101" spans="1:57" x14ac:dyDescent="0.3">
      <c r="A101" s="515">
        <v>850</v>
      </c>
      <c r="B101" s="516" t="s">
        <v>315</v>
      </c>
      <c r="C101" s="103" t="s">
        <v>112</v>
      </c>
      <c r="D101" s="517" t="str">
        <f t="shared" si="45"/>
        <v>✓</v>
      </c>
      <c r="E101" s="517" t="str">
        <f t="shared" si="46"/>
        <v>✓</v>
      </c>
      <c r="F101" s="518">
        <v>102.24</v>
      </c>
      <c r="G101" s="520">
        <v>106.78</v>
      </c>
      <c r="H101" s="863">
        <v>93.84</v>
      </c>
      <c r="I101" s="239"/>
      <c r="J101" s="239"/>
      <c r="K101" s="239"/>
      <c r="L101" s="239"/>
      <c r="M101" s="617">
        <f t="shared" si="36"/>
        <v>19754.674635563133</v>
      </c>
      <c r="N101" s="239"/>
      <c r="O101" s="110">
        <v>2.36</v>
      </c>
      <c r="P101" s="521">
        <v>0.5</v>
      </c>
      <c r="Q101" s="522">
        <v>19750</v>
      </c>
      <c r="R101" s="523">
        <f t="shared" si="38"/>
        <v>0.99976336560083268</v>
      </c>
      <c r="S101" s="839"/>
      <c r="T101" s="839">
        <f t="shared" si="48"/>
        <v>1.0444053208137716</v>
      </c>
      <c r="U101" s="839">
        <f>Passby_Length_Adj!J105/ITE_LUC_Rates!P101</f>
        <v>1.1200000000000001</v>
      </c>
      <c r="V101" s="839">
        <f>8.21*Passby_Length_Adj!H105/ITE_LUC_Rates!O101</f>
        <v>1.0930411183368325</v>
      </c>
      <c r="W101" s="839">
        <f t="shared" si="29"/>
        <v>1.27856731504233</v>
      </c>
      <c r="X101" s="111"/>
      <c r="Y101" s="814">
        <f>FEE_3_Out!S110</f>
        <v>19439.36576158609</v>
      </c>
      <c r="Z101" s="814">
        <f>FEE_3_Out!H110</f>
        <v>19891.408095489314</v>
      </c>
      <c r="AA101" s="807">
        <f t="shared" si="51"/>
        <v>118.23033599999999</v>
      </c>
      <c r="AB101" s="807">
        <f>FEE_3_Out!Q110*2</f>
        <v>148.55623910312144</v>
      </c>
      <c r="AC101" s="826">
        <f t="shared" si="39"/>
        <v>0.25649849378015332</v>
      </c>
      <c r="AD101" s="808">
        <f t="shared" si="40"/>
        <v>4.4405320813771576E-2</v>
      </c>
      <c r="AE101" s="808">
        <f t="shared" si="41"/>
        <v>0.21209317296638175</v>
      </c>
      <c r="AF101" s="811">
        <f t="shared" si="42"/>
        <v>-1.5728315869058762E-2</v>
      </c>
      <c r="AG101" s="811">
        <f t="shared" si="43"/>
        <v>7.1599035690792512E-3</v>
      </c>
      <c r="AH101" s="811"/>
      <c r="AI101" s="811"/>
      <c r="AJ101" s="111">
        <v>99</v>
      </c>
      <c r="AK101" s="111"/>
      <c r="AL101" s="874"/>
      <c r="AM101" s="871">
        <f t="shared" si="44"/>
        <v>0.12118374227383402</v>
      </c>
      <c r="AN101" s="111"/>
      <c r="AO101" s="111"/>
      <c r="AP101" s="111"/>
      <c r="AQ101" s="111"/>
      <c r="AR101" s="111"/>
      <c r="AS101" s="111"/>
      <c r="AT101" s="111"/>
      <c r="AU101" s="111"/>
      <c r="AV101" s="111"/>
      <c r="AW101" s="111"/>
      <c r="AX101" s="111"/>
      <c r="AY101" s="111"/>
      <c r="AZ101" s="111"/>
      <c r="BA101" s="111"/>
      <c r="BB101" s="111"/>
      <c r="BC101" s="111"/>
      <c r="BD101" s="111"/>
      <c r="BE101" s="111"/>
    </row>
    <row r="102" spans="1:57" x14ac:dyDescent="0.3">
      <c r="A102" s="515">
        <v>851</v>
      </c>
      <c r="B102" s="516" t="s">
        <v>317</v>
      </c>
      <c r="C102" s="103" t="s">
        <v>112</v>
      </c>
      <c r="D102" s="517" t="str">
        <f t="shared" si="45"/>
        <v>✓</v>
      </c>
      <c r="E102" s="517" t="str">
        <f t="shared" si="46"/>
        <v>✓</v>
      </c>
      <c r="F102" s="518">
        <v>737.99</v>
      </c>
      <c r="G102" s="520">
        <v>762.28</v>
      </c>
      <c r="H102" s="863">
        <v>762.28</v>
      </c>
      <c r="I102" s="239"/>
      <c r="J102" s="520"/>
      <c r="K102" s="520">
        <v>1496.03</v>
      </c>
      <c r="L102" s="239"/>
      <c r="M102" s="617">
        <f t="shared" si="36"/>
        <v>52868.326986153523</v>
      </c>
      <c r="N102" s="239"/>
      <c r="O102" s="110">
        <v>1.25</v>
      </c>
      <c r="P102" s="521">
        <v>0.35</v>
      </c>
      <c r="Q102" s="522">
        <v>52868.6</v>
      </c>
      <c r="R102" s="523">
        <f t="shared" si="38"/>
        <v>1.0000051640341587</v>
      </c>
      <c r="S102" s="839"/>
      <c r="T102" s="839">
        <f t="shared" si="48"/>
        <v>1.0329137251182265</v>
      </c>
      <c r="U102" s="839">
        <f>Passby_Length_Adj!J106/ITE_LUC_Rates!P102</f>
        <v>1.9342857142857146</v>
      </c>
      <c r="V102" s="839">
        <f>8.21*Passby_Length_Adj!H106/ITE_LUC_Rates!O102</f>
        <v>2.1628761329305144</v>
      </c>
      <c r="W102" s="839">
        <f t="shared" si="29"/>
        <v>4.3213189377291394</v>
      </c>
      <c r="X102" s="111"/>
      <c r="Y102" s="814">
        <f>FEE_3_Out!S111</f>
        <v>175833.04634616079</v>
      </c>
      <c r="Z102" s="814">
        <f>FEE_3_Out!H111</f>
        <v>179921.86187761705</v>
      </c>
      <c r="AA102" s="807">
        <f t="shared" si="51"/>
        <v>316.41321249999993</v>
      </c>
      <c r="AB102" s="807">
        <f>FEE_3_Out!Q111*2</f>
        <v>1343.7216211471311</v>
      </c>
      <c r="AC102" s="826">
        <f t="shared" si="39"/>
        <v>3.2467304400164121</v>
      </c>
      <c r="AD102" s="808">
        <f t="shared" si="40"/>
        <v>3.2913725118226544E-2</v>
      </c>
      <c r="AE102" s="808">
        <f t="shared" si="41"/>
        <v>3.2138167148981855</v>
      </c>
      <c r="AF102" s="811">
        <f t="shared" si="42"/>
        <v>2.3258502465766218</v>
      </c>
      <c r="AG102" s="811">
        <f t="shared" si="43"/>
        <v>2.4031894522952575</v>
      </c>
      <c r="AH102" s="811"/>
      <c r="AI102" s="811"/>
      <c r="AJ102" s="111">
        <v>100</v>
      </c>
      <c r="AK102" s="111"/>
      <c r="AL102" s="874"/>
      <c r="AM102" s="871">
        <f t="shared" si="44"/>
        <v>0</v>
      </c>
      <c r="AN102" s="111"/>
      <c r="AO102" s="111"/>
      <c r="AP102" s="111"/>
      <c r="AQ102" s="111"/>
      <c r="AR102" s="111"/>
      <c r="AS102" s="111"/>
      <c r="AT102" s="111"/>
      <c r="AU102" s="111"/>
      <c r="AV102" s="111"/>
      <c r="AW102" s="111"/>
      <c r="AX102" s="111"/>
      <c r="AY102" s="111"/>
      <c r="AZ102" s="111"/>
      <c r="BA102" s="111"/>
      <c r="BB102" s="111"/>
      <c r="BC102" s="111"/>
      <c r="BD102" s="111"/>
      <c r="BE102" s="111"/>
    </row>
    <row r="103" spans="1:57" x14ac:dyDescent="0.3">
      <c r="A103" s="515">
        <v>853</v>
      </c>
      <c r="B103" s="516" t="s">
        <v>319</v>
      </c>
      <c r="C103" s="103" t="s">
        <v>112</v>
      </c>
      <c r="D103" s="517" t="str">
        <f t="shared" si="45"/>
        <v>✓</v>
      </c>
      <c r="E103" s="517" t="str">
        <f t="shared" si="46"/>
        <v>✓</v>
      </c>
      <c r="F103" s="518">
        <v>845.6</v>
      </c>
      <c r="G103" s="520">
        <v>624.20000000000005</v>
      </c>
      <c r="H103" s="863"/>
      <c r="I103" s="239"/>
      <c r="J103" s="239"/>
      <c r="K103" s="239"/>
      <c r="L103" s="239"/>
      <c r="M103" s="617">
        <f t="shared" si="36"/>
        <v>60577.321236726006</v>
      </c>
      <c r="N103" s="239"/>
      <c r="O103" s="110">
        <v>1.25</v>
      </c>
      <c r="P103" s="521">
        <v>0.35</v>
      </c>
      <c r="Q103" s="522">
        <v>60577.2</v>
      </c>
      <c r="R103" s="523">
        <f t="shared" si="38"/>
        <v>0.99999799864497907</v>
      </c>
      <c r="S103" s="839"/>
      <c r="T103" s="839">
        <f t="shared" si="48"/>
        <v>0.73817407757805109</v>
      </c>
      <c r="U103" s="839">
        <f>Passby_Length_Adj!J107/ITE_LUC_Rates!P103</f>
        <v>1.9342857142857146</v>
      </c>
      <c r="V103" s="839">
        <f>8.21*Passby_Length_Adj!H107/ITE_LUC_Rates!O103</f>
        <v>2.1628761329305144</v>
      </c>
      <c r="W103" s="839">
        <f t="shared" si="29"/>
        <v>3.0882401339121124</v>
      </c>
      <c r="X103" s="111"/>
      <c r="Y103" s="814">
        <f>FEE_3_Out!S112</f>
        <v>143982.50974612159</v>
      </c>
      <c r="Z103" s="814">
        <f>FEE_3_Out!H112</f>
        <v>147330.67400956151</v>
      </c>
      <c r="AA103" s="807">
        <f t="shared" si="51"/>
        <v>362.55099999999999</v>
      </c>
      <c r="AB103" s="807">
        <f>FEE_3_Out!Q112*2</f>
        <v>1100.3188276224475</v>
      </c>
      <c r="AC103" s="826">
        <f t="shared" si="39"/>
        <v>2.0349352990957068</v>
      </c>
      <c r="AD103" s="808">
        <f t="shared" si="40"/>
        <v>-0.26182592242194891</v>
      </c>
      <c r="AE103" s="808">
        <f t="shared" si="41"/>
        <v>2.2967612215176558</v>
      </c>
      <c r="AF103" s="811">
        <f t="shared" si="42"/>
        <v>1.3768432635731198</v>
      </c>
      <c r="AG103" s="811">
        <f t="shared" si="43"/>
        <v>1.4321142939845606</v>
      </c>
      <c r="AH103" s="811"/>
      <c r="AI103" s="811"/>
      <c r="AJ103" s="111">
        <v>101</v>
      </c>
      <c r="AK103" s="111"/>
      <c r="AL103" s="875" t="s">
        <v>481</v>
      </c>
      <c r="AM103" s="871"/>
      <c r="AN103" s="111"/>
      <c r="AO103" s="111"/>
      <c r="AP103" s="111"/>
      <c r="AQ103" s="111"/>
      <c r="AR103" s="111"/>
      <c r="AS103" s="111"/>
      <c r="AT103" s="111"/>
      <c r="AU103" s="111"/>
      <c r="AV103" s="111"/>
      <c r="AW103" s="111"/>
      <c r="AX103" s="111"/>
      <c r="AY103" s="111"/>
      <c r="AZ103" s="111"/>
      <c r="BA103" s="111"/>
      <c r="BB103" s="111"/>
      <c r="BC103" s="111"/>
      <c r="BD103" s="111"/>
      <c r="BE103" s="111"/>
    </row>
    <row r="104" spans="1:57" x14ac:dyDescent="0.3">
      <c r="A104" s="515">
        <v>857</v>
      </c>
      <c r="B104" s="516" t="s">
        <v>321</v>
      </c>
      <c r="C104" s="103" t="s">
        <v>112</v>
      </c>
      <c r="D104" s="517" t="str">
        <f t="shared" si="45"/>
        <v>X</v>
      </c>
      <c r="E104" s="517" t="str">
        <f t="shared" si="46"/>
        <v>✓</v>
      </c>
      <c r="F104" s="518"/>
      <c r="G104" s="520">
        <v>41.8</v>
      </c>
      <c r="H104" s="863">
        <v>42.46</v>
      </c>
      <c r="I104" s="520"/>
      <c r="J104" s="520"/>
      <c r="K104" s="520"/>
      <c r="L104" s="520"/>
      <c r="M104" s="617"/>
      <c r="N104" s="239"/>
      <c r="O104" s="110"/>
      <c r="P104" s="521"/>
      <c r="Q104" s="522"/>
      <c r="R104" s="523"/>
      <c r="S104" s="839"/>
      <c r="T104" s="839" t="e">
        <f t="shared" si="48"/>
        <v>#DIV/0!</v>
      </c>
      <c r="U104" s="839" t="e">
        <f>Passby_Length_Adj!J108/ITE_LUC_Rates!P104</f>
        <v>#DIV/0!</v>
      </c>
      <c r="V104" s="839" t="e">
        <f>8.21*Passby_Length_Adj!H108/ITE_LUC_Rates!O104</f>
        <v>#DIV/0!</v>
      </c>
      <c r="W104" s="839" t="e">
        <f t="shared" si="29"/>
        <v>#DIV/0!</v>
      </c>
      <c r="X104" s="111"/>
      <c r="Y104" s="814">
        <f>FEE_3_Out!S113</f>
        <v>37171.010655587568</v>
      </c>
      <c r="Z104" s="814">
        <f>FEE_3_Out!H113</f>
        <v>38035.384041858088</v>
      </c>
      <c r="AA104" s="807">
        <f t="shared" si="51"/>
        <v>0</v>
      </c>
      <c r="AB104" s="807">
        <f>FEE_3_Out!Q113*2</f>
        <v>284.06202210403774</v>
      </c>
      <c r="AC104" s="826">
        <f t="shared" si="39"/>
        <v>0</v>
      </c>
      <c r="AD104" s="808">
        <f t="shared" si="40"/>
        <v>0</v>
      </c>
      <c r="AE104" s="808">
        <f t="shared" si="41"/>
        <v>0</v>
      </c>
      <c r="AF104" s="811">
        <f t="shared" si="42"/>
        <v>0</v>
      </c>
      <c r="AG104" s="811">
        <f t="shared" si="43"/>
        <v>0</v>
      </c>
      <c r="AH104" s="811"/>
      <c r="AI104" s="811"/>
      <c r="AJ104" s="111">
        <v>102</v>
      </c>
      <c r="AK104" s="111"/>
      <c r="AL104" s="874"/>
      <c r="AM104" s="871">
        <f t="shared" si="44"/>
        <v>-1.5789473684210617E-2</v>
      </c>
      <c r="AN104" s="111"/>
      <c r="AO104" s="111"/>
      <c r="AP104" s="111"/>
      <c r="AQ104" s="111"/>
      <c r="AR104" s="111"/>
      <c r="AS104" s="111"/>
      <c r="AT104" s="111"/>
      <c r="AU104" s="111"/>
      <c r="AV104" s="111"/>
      <c r="AW104" s="111"/>
      <c r="AX104" s="111"/>
      <c r="AY104" s="111"/>
      <c r="AZ104" s="111"/>
      <c r="BA104" s="111"/>
      <c r="BB104" s="111"/>
      <c r="BC104" s="111"/>
      <c r="BD104" s="111"/>
      <c r="BE104" s="111"/>
    </row>
    <row r="105" spans="1:57" x14ac:dyDescent="0.3">
      <c r="A105" s="515">
        <v>861</v>
      </c>
      <c r="B105" s="516" t="s">
        <v>482</v>
      </c>
      <c r="C105" s="103" t="s">
        <v>112</v>
      </c>
      <c r="D105" s="517" t="str">
        <f t="shared" si="45"/>
        <v>X</v>
      </c>
      <c r="E105" s="517" t="str">
        <f t="shared" si="46"/>
        <v>✓</v>
      </c>
      <c r="F105" s="518"/>
      <c r="G105" s="520">
        <v>28.75</v>
      </c>
      <c r="H105" s="863">
        <v>23.78</v>
      </c>
      <c r="I105" s="520"/>
      <c r="J105" s="520"/>
      <c r="K105" s="520"/>
      <c r="L105" s="520"/>
      <c r="M105" s="617"/>
      <c r="N105" s="239"/>
      <c r="O105" s="110"/>
      <c r="P105" s="111"/>
      <c r="Q105" s="522"/>
      <c r="R105" s="523"/>
      <c r="S105" s="839"/>
      <c r="T105" s="839" t="e">
        <f t="shared" si="48"/>
        <v>#DIV/0!</v>
      </c>
      <c r="U105" s="839" t="e">
        <f>Passby_Length_Adj!J109/ITE_LUC_Rates!P105</f>
        <v>#DIV/0!</v>
      </c>
      <c r="V105" s="839" t="e">
        <f>8.21*Passby_Length_Adj!H109/ITE_LUC_Rates!O105</f>
        <v>#DIV/0!</v>
      </c>
      <c r="W105" s="839" t="e">
        <f t="shared" si="29"/>
        <v>#DIV/0!</v>
      </c>
      <c r="X105" s="111"/>
      <c r="Y105" s="814">
        <f>FEE_3_Out!S114</f>
        <v>25566.185558568006</v>
      </c>
      <c r="Z105" s="814">
        <f>FEE_3_Out!H114</f>
        <v>26160.700746493305</v>
      </c>
      <c r="AA105" s="807">
        <f t="shared" si="51"/>
        <v>0</v>
      </c>
      <c r="AB105" s="807">
        <f>FEE_3_Out!Q114*2</f>
        <v>195.37758697347093</v>
      </c>
      <c r="AC105" s="826">
        <f t="shared" si="39"/>
        <v>0</v>
      </c>
      <c r="AD105" s="808">
        <f t="shared" si="40"/>
        <v>0</v>
      </c>
      <c r="AE105" s="808">
        <f t="shared" si="41"/>
        <v>0</v>
      </c>
      <c r="AF105" s="811">
        <f t="shared" si="42"/>
        <v>0</v>
      </c>
      <c r="AG105" s="811">
        <f t="shared" si="43"/>
        <v>0</v>
      </c>
      <c r="AH105" s="811"/>
      <c r="AI105" s="811"/>
      <c r="AJ105" s="111">
        <v>103</v>
      </c>
      <c r="AK105" s="111"/>
      <c r="AL105" s="874"/>
      <c r="AM105" s="871">
        <f t="shared" si="44"/>
        <v>0.17286956521739127</v>
      </c>
      <c r="AN105" s="111"/>
      <c r="AO105" s="111"/>
      <c r="AP105" s="111"/>
      <c r="AQ105" s="111"/>
      <c r="AR105" s="111"/>
      <c r="AS105" s="111"/>
      <c r="AT105" s="111"/>
      <c r="AU105" s="111"/>
      <c r="AV105" s="111"/>
      <c r="AW105" s="111"/>
      <c r="AX105" s="111"/>
      <c r="AY105" s="111"/>
      <c r="AZ105" s="111"/>
      <c r="BA105" s="111"/>
      <c r="BB105" s="111"/>
      <c r="BC105" s="111"/>
      <c r="BD105" s="111"/>
      <c r="BE105" s="111"/>
    </row>
    <row r="106" spans="1:57" x14ac:dyDescent="0.3">
      <c r="A106" s="515">
        <v>862</v>
      </c>
      <c r="B106" s="516" t="s">
        <v>325</v>
      </c>
      <c r="C106" s="103" t="s">
        <v>112</v>
      </c>
      <c r="D106" s="517" t="str">
        <f t="shared" si="45"/>
        <v>✓</v>
      </c>
      <c r="E106" s="517" t="str">
        <f t="shared" si="46"/>
        <v>✓</v>
      </c>
      <c r="F106" s="518">
        <v>30.74</v>
      </c>
      <c r="G106" s="520">
        <v>30.74</v>
      </c>
      <c r="H106" s="863">
        <v>30.74</v>
      </c>
      <c r="I106" s="520"/>
      <c r="J106" s="520"/>
      <c r="K106" s="520"/>
      <c r="L106" s="520"/>
      <c r="M106" s="617">
        <f t="shared" si="36"/>
        <v>22273.279720408256</v>
      </c>
      <c r="N106" s="239"/>
      <c r="O106" s="110">
        <v>5.9</v>
      </c>
      <c r="P106" s="521">
        <v>0.75</v>
      </c>
      <c r="Q106" s="522">
        <v>22273</v>
      </c>
      <c r="R106" s="523">
        <f t="shared" si="38"/>
        <v>0.99998744143602702</v>
      </c>
      <c r="S106" s="839"/>
      <c r="T106" s="839">
        <f t="shared" si="48"/>
        <v>1</v>
      </c>
      <c r="U106" s="839">
        <f>Passby_Length_Adj!J110/ITE_LUC_Rates!P106</f>
        <v>1.3333333333333333</v>
      </c>
      <c r="V106" s="839">
        <f>8.21*Passby_Length_Adj!H110/ITE_LUC_Rates!O106</f>
        <v>1.1959703994113096</v>
      </c>
      <c r="W106" s="839">
        <f t="shared" si="29"/>
        <v>1.5946271992150793</v>
      </c>
      <c r="X106" s="111"/>
      <c r="Y106" s="814">
        <f>FEE_3_Out!S115</f>
        <v>27335.810228534971</v>
      </c>
      <c r="Z106" s="814">
        <f>FEE_3_Out!H115</f>
        <v>27971.476206859272</v>
      </c>
      <c r="AA106" s="807">
        <f t="shared" si="51"/>
        <v>133.30401000000001</v>
      </c>
      <c r="AB106" s="807">
        <f>FEE_3_Out!Q115*2</f>
        <v>208.9011138631129</v>
      </c>
      <c r="AC106" s="826">
        <f t="shared" si="39"/>
        <v>0.56710299910042372</v>
      </c>
      <c r="AD106" s="808">
        <f t="shared" si="40"/>
        <v>0</v>
      </c>
      <c r="AE106" s="808">
        <f t="shared" si="41"/>
        <v>0.56710299910042372</v>
      </c>
      <c r="AF106" s="811">
        <f t="shared" si="42"/>
        <v>0.22730706364364783</v>
      </c>
      <c r="AG106" s="811">
        <f t="shared" si="43"/>
        <v>0.25584681932650621</v>
      </c>
      <c r="AH106" s="811"/>
      <c r="AI106" s="811"/>
      <c r="AJ106" s="111">
        <v>104</v>
      </c>
      <c r="AK106" s="111"/>
      <c r="AL106" s="874"/>
      <c r="AM106" s="871">
        <f t="shared" si="44"/>
        <v>0</v>
      </c>
      <c r="AN106" s="111"/>
      <c r="AO106" s="111"/>
      <c r="AP106" s="111"/>
      <c r="AQ106" s="111"/>
      <c r="AR106" s="111"/>
      <c r="AS106" s="111"/>
      <c r="AT106" s="111"/>
      <c r="AU106" s="111"/>
      <c r="AV106" s="111"/>
      <c r="AW106" s="111"/>
      <c r="AX106" s="111"/>
      <c r="AY106" s="111"/>
      <c r="AZ106" s="111"/>
      <c r="BA106" s="111"/>
      <c r="BB106" s="111"/>
      <c r="BC106" s="111"/>
      <c r="BD106" s="111"/>
      <c r="BE106" s="111"/>
    </row>
    <row r="107" spans="1:57" x14ac:dyDescent="0.3">
      <c r="A107" s="515">
        <v>863</v>
      </c>
      <c r="B107" s="516" t="s">
        <v>327</v>
      </c>
      <c r="C107" s="103" t="s">
        <v>112</v>
      </c>
      <c r="D107" s="517" t="str">
        <f t="shared" si="45"/>
        <v>X</v>
      </c>
      <c r="E107" s="517" t="str">
        <f t="shared" si="46"/>
        <v>✓</v>
      </c>
      <c r="F107" s="518"/>
      <c r="G107" s="520">
        <v>41.05</v>
      </c>
      <c r="H107" s="863">
        <v>41.05</v>
      </c>
      <c r="I107" s="520"/>
      <c r="J107" s="520"/>
      <c r="K107" s="520"/>
      <c r="L107" s="520"/>
      <c r="M107" s="617"/>
      <c r="N107" s="239"/>
      <c r="O107" s="110"/>
      <c r="P107" s="111"/>
      <c r="Q107" s="522"/>
      <c r="R107" s="523"/>
      <c r="S107" s="839"/>
      <c r="T107" s="839" t="e">
        <f t="shared" si="48"/>
        <v>#DIV/0!</v>
      </c>
      <c r="U107" s="839" t="e">
        <f>Passby_Length_Adj!J111/ITE_LUC_Rates!P107</f>
        <v>#DIV/0!</v>
      </c>
      <c r="V107" s="839" t="e">
        <f>8.21*Passby_Length_Adj!H111/ITE_LUC_Rates!O107</f>
        <v>#DIV/0!</v>
      </c>
      <c r="W107" s="839" t="e">
        <f t="shared" si="29"/>
        <v>#DIV/0!</v>
      </c>
      <c r="X107" s="111"/>
      <c r="Y107" s="814">
        <f>FEE_3_Out!S116</f>
        <v>36504.066684494486</v>
      </c>
      <c r="Z107" s="814">
        <f>FEE_3_Out!H116</f>
        <v>37352.930978906094</v>
      </c>
      <c r="AA107" s="807">
        <f t="shared" si="51"/>
        <v>0</v>
      </c>
      <c r="AB107" s="807">
        <f>FEE_3_Out!Q116*2</f>
        <v>278.96521548733847</v>
      </c>
      <c r="AC107" s="826">
        <f t="shared" si="39"/>
        <v>0</v>
      </c>
      <c r="AD107" s="808">
        <f t="shared" si="40"/>
        <v>0</v>
      </c>
      <c r="AE107" s="808">
        <f t="shared" si="41"/>
        <v>0</v>
      </c>
      <c r="AF107" s="811">
        <f t="shared" si="42"/>
        <v>0</v>
      </c>
      <c r="AG107" s="811">
        <f t="shared" si="43"/>
        <v>0</v>
      </c>
      <c r="AH107" s="811"/>
      <c r="AI107" s="811"/>
      <c r="AJ107" s="111">
        <v>105</v>
      </c>
      <c r="AK107" s="111"/>
      <c r="AL107" s="874"/>
      <c r="AM107" s="871">
        <f t="shared" si="44"/>
        <v>0</v>
      </c>
      <c r="AN107" s="111"/>
      <c r="AO107" s="111"/>
      <c r="AP107" s="111"/>
      <c r="AQ107" s="111"/>
      <c r="AR107" s="111"/>
      <c r="AS107" s="111"/>
      <c r="AT107" s="111"/>
      <c r="AU107" s="111"/>
      <c r="AV107" s="111"/>
      <c r="AW107" s="111"/>
      <c r="AX107" s="111"/>
      <c r="AY107" s="111"/>
      <c r="AZ107" s="111"/>
      <c r="BA107" s="111"/>
      <c r="BB107" s="111"/>
      <c r="BC107" s="111"/>
      <c r="BD107" s="111"/>
      <c r="BE107" s="111"/>
    </row>
    <row r="108" spans="1:57" x14ac:dyDescent="0.3">
      <c r="A108" s="515">
        <v>868</v>
      </c>
      <c r="B108" s="516" t="s">
        <v>329</v>
      </c>
      <c r="C108" s="103" t="s">
        <v>112</v>
      </c>
      <c r="D108" s="517" t="str">
        <f t="shared" si="45"/>
        <v>X</v>
      </c>
      <c r="E108" s="517" t="str">
        <f t="shared" si="46"/>
        <v>✓</v>
      </c>
      <c r="F108" s="518"/>
      <c r="G108" s="520">
        <v>143.6</v>
      </c>
      <c r="H108" s="863">
        <v>143.6</v>
      </c>
      <c r="I108" s="520"/>
      <c r="J108" s="520"/>
      <c r="K108" s="520"/>
      <c r="L108" s="520"/>
      <c r="M108" s="617"/>
      <c r="N108" s="239"/>
      <c r="O108" s="110"/>
      <c r="P108" s="111"/>
      <c r="Q108" s="522"/>
      <c r="R108" s="523"/>
      <c r="S108" s="839"/>
      <c r="T108" s="839" t="e">
        <f t="shared" si="48"/>
        <v>#DIV/0!</v>
      </c>
      <c r="U108" s="839" t="e">
        <f>Passby_Length_Adj!J112/ITE_LUC_Rates!P108</f>
        <v>#DIV/0!</v>
      </c>
      <c r="V108" s="839" t="e">
        <f>8.21*Passby_Length_Adj!H112/ITE_LUC_Rates!O108</f>
        <v>#DIV/0!</v>
      </c>
      <c r="W108" s="839" t="e">
        <f t="shared" si="29"/>
        <v>#DIV/0!</v>
      </c>
      <c r="X108" s="111"/>
      <c r="Y108" s="814">
        <f>FEE_3_Out!S117</f>
        <v>127697.5389986214</v>
      </c>
      <c r="Z108" s="814">
        <f>FEE_3_Out!H117</f>
        <v>130667.01311987611</v>
      </c>
      <c r="AA108" s="807">
        <f t="shared" si="51"/>
        <v>0</v>
      </c>
      <c r="AB108" s="807">
        <f>FEE_3_Out!Q117*2</f>
        <v>975.86857354401468</v>
      </c>
      <c r="AC108" s="826">
        <f t="shared" si="39"/>
        <v>0</v>
      </c>
      <c r="AD108" s="808">
        <f t="shared" si="40"/>
        <v>0</v>
      </c>
      <c r="AE108" s="808">
        <f t="shared" si="41"/>
        <v>0</v>
      </c>
      <c r="AF108" s="811">
        <f t="shared" si="42"/>
        <v>0</v>
      </c>
      <c r="AG108" s="811">
        <f t="shared" si="43"/>
        <v>0</v>
      </c>
      <c r="AH108" s="811"/>
      <c r="AI108" s="811"/>
      <c r="AJ108" s="111">
        <v>106</v>
      </c>
      <c r="AK108" s="111"/>
      <c r="AL108" s="874"/>
      <c r="AM108" s="871">
        <f t="shared" si="44"/>
        <v>0</v>
      </c>
      <c r="AN108" s="111"/>
      <c r="AO108" s="111"/>
      <c r="AP108" s="111"/>
      <c r="AQ108" s="111"/>
      <c r="AR108" s="111"/>
      <c r="AS108" s="111"/>
      <c r="AT108" s="111"/>
      <c r="AU108" s="111"/>
      <c r="AV108" s="111"/>
      <c r="AW108" s="111"/>
      <c r="AX108" s="111"/>
      <c r="AY108" s="111"/>
      <c r="AZ108" s="111"/>
      <c r="BA108" s="111"/>
      <c r="BB108" s="111"/>
      <c r="BC108" s="111"/>
      <c r="BD108" s="111"/>
      <c r="BE108" s="111"/>
    </row>
    <row r="109" spans="1:57" x14ac:dyDescent="0.3">
      <c r="A109" s="515">
        <v>869</v>
      </c>
      <c r="B109" s="516" t="s">
        <v>331</v>
      </c>
      <c r="C109" s="103" t="s">
        <v>112</v>
      </c>
      <c r="D109" s="517" t="str">
        <f t="shared" si="45"/>
        <v>X</v>
      </c>
      <c r="E109" s="517" t="str">
        <f t="shared" si="46"/>
        <v>✓</v>
      </c>
      <c r="F109" s="518"/>
      <c r="G109" s="520">
        <v>20</v>
      </c>
      <c r="H109" s="863">
        <v>20</v>
      </c>
      <c r="I109" s="520"/>
      <c r="J109" s="520"/>
      <c r="K109" s="520"/>
      <c r="L109" s="520"/>
      <c r="M109" s="617"/>
      <c r="N109" s="239"/>
      <c r="O109" s="110"/>
      <c r="P109" s="111"/>
      <c r="Q109" s="522"/>
      <c r="R109" s="523"/>
      <c r="S109" s="839"/>
      <c r="T109" s="839" t="e">
        <f t="shared" si="48"/>
        <v>#DIV/0!</v>
      </c>
      <c r="U109" s="839" t="e">
        <f>Passby_Length_Adj!J113/ITE_LUC_Rates!P109</f>
        <v>#DIV/0!</v>
      </c>
      <c r="V109" s="839" t="e">
        <f>8.21*Passby_Length_Adj!H113/ITE_LUC_Rates!O109</f>
        <v>#DIV/0!</v>
      </c>
      <c r="W109" s="839" t="e">
        <f t="shared" si="29"/>
        <v>#DIV/0!</v>
      </c>
      <c r="X109" s="111"/>
      <c r="Y109" s="814">
        <f>FEE_3_Out!S118</f>
        <v>17785.172562482094</v>
      </c>
      <c r="Z109" s="814">
        <f>FEE_3_Out!H118</f>
        <v>18198.748345386652</v>
      </c>
      <c r="AA109" s="807">
        <f t="shared" si="51"/>
        <v>0</v>
      </c>
      <c r="AB109" s="807">
        <f>FEE_3_Out!Q118*2</f>
        <v>135.91484311197979</v>
      </c>
      <c r="AC109" s="826">
        <f t="shared" si="39"/>
        <v>0</v>
      </c>
      <c r="AD109" s="808">
        <f t="shared" si="40"/>
        <v>0</v>
      </c>
      <c r="AE109" s="808">
        <f t="shared" si="41"/>
        <v>0</v>
      </c>
      <c r="AF109" s="811">
        <f t="shared" si="42"/>
        <v>0</v>
      </c>
      <c r="AG109" s="811">
        <f t="shared" si="43"/>
        <v>0</v>
      </c>
      <c r="AH109" s="811"/>
      <c r="AI109" s="811"/>
      <c r="AJ109" s="111">
        <v>107</v>
      </c>
      <c r="AK109" s="111"/>
      <c r="AL109" s="874"/>
      <c r="AM109" s="871">
        <f t="shared" si="44"/>
        <v>0</v>
      </c>
      <c r="AN109" s="111"/>
      <c r="AO109" s="111"/>
      <c r="AP109" s="111"/>
      <c r="AQ109" s="111"/>
      <c r="AR109" s="111"/>
      <c r="AS109" s="111"/>
      <c r="AT109" s="111"/>
      <c r="AU109" s="111"/>
      <c r="AV109" s="111"/>
      <c r="AW109" s="111"/>
      <c r="AX109" s="111"/>
      <c r="AY109" s="111"/>
      <c r="AZ109" s="111"/>
      <c r="BA109" s="111"/>
      <c r="BB109" s="111"/>
      <c r="BC109" s="111"/>
      <c r="BD109" s="111"/>
      <c r="BE109" s="111"/>
    </row>
    <row r="110" spans="1:57" x14ac:dyDescent="0.3">
      <c r="A110" s="515">
        <v>875</v>
      </c>
      <c r="B110" s="516" t="s">
        <v>333</v>
      </c>
      <c r="C110" s="103" t="s">
        <v>112</v>
      </c>
      <c r="D110" s="517" t="str">
        <f t="shared" si="45"/>
        <v>✓</v>
      </c>
      <c r="E110" s="517" t="str">
        <f t="shared" si="46"/>
        <v>✓</v>
      </c>
      <c r="F110" s="518">
        <v>22.88</v>
      </c>
      <c r="G110" s="520">
        <v>22.88</v>
      </c>
      <c r="H110" s="863">
        <v>22.88</v>
      </c>
      <c r="I110" s="520"/>
      <c r="J110" s="520"/>
      <c r="K110" s="520"/>
      <c r="L110" s="520"/>
      <c r="M110" s="617">
        <f t="shared" si="36"/>
        <v>9283.7696292012679</v>
      </c>
      <c r="N110" s="239"/>
      <c r="O110" s="110">
        <v>5.9</v>
      </c>
      <c r="P110" s="521">
        <v>0.42</v>
      </c>
      <c r="Q110" s="522">
        <v>9283</v>
      </c>
      <c r="R110" s="523">
        <f t="shared" si="38"/>
        <v>0.99991709949384711</v>
      </c>
      <c r="S110" s="839"/>
      <c r="T110" s="839">
        <f t="shared" si="48"/>
        <v>1</v>
      </c>
      <c r="U110" s="839">
        <f>Passby_Length_Adj!J114/ITE_LUC_Rates!P110</f>
        <v>2.3809523809523809</v>
      </c>
      <c r="V110" s="839">
        <f>8.21*Passby_Length_Adj!H114/ITE_LUC_Rates!O110</f>
        <v>1.1959703994113096</v>
      </c>
      <c r="W110" s="839">
        <f t="shared" si="29"/>
        <v>2.8475485700269276</v>
      </c>
      <c r="X110" s="111"/>
      <c r="Y110" s="814">
        <f>FEE_3_Out!S119</f>
        <v>20346.237411479513</v>
      </c>
      <c r="Z110" s="814">
        <f>FEE_3_Out!H119</f>
        <v>20819.368107122325</v>
      </c>
      <c r="AA110" s="807">
        <f t="shared" si="51"/>
        <v>55.562707199999991</v>
      </c>
      <c r="AB110" s="807">
        <f>FEE_3_Out!Q119*2</f>
        <v>155.48658052010487</v>
      </c>
      <c r="AC110" s="826">
        <f t="shared" si="39"/>
        <v>1.798398212679329</v>
      </c>
      <c r="AD110" s="808">
        <f t="shared" si="40"/>
        <v>0</v>
      </c>
      <c r="AE110" s="808">
        <f t="shared" si="41"/>
        <v>1.798398212679329</v>
      </c>
      <c r="AF110" s="811">
        <f t="shared" si="42"/>
        <v>1.1917739320779397</v>
      </c>
      <c r="AG110" s="811">
        <f t="shared" si="43"/>
        <v>1.2427413667049794</v>
      </c>
      <c r="AH110" s="811"/>
      <c r="AI110" s="811"/>
      <c r="AJ110" s="111">
        <v>108</v>
      </c>
      <c r="AK110" s="111"/>
      <c r="AL110" s="874"/>
      <c r="AM110" s="871">
        <f t="shared" si="44"/>
        <v>0</v>
      </c>
      <c r="AN110" s="111"/>
      <c r="AO110" s="111"/>
      <c r="AP110" s="111"/>
      <c r="AQ110" s="111"/>
      <c r="AR110" s="111"/>
      <c r="AS110" s="111"/>
      <c r="AT110" s="111"/>
      <c r="AU110" s="111"/>
      <c r="AV110" s="111"/>
      <c r="AW110" s="111"/>
      <c r="AX110" s="111"/>
      <c r="AY110" s="111"/>
      <c r="AZ110" s="111"/>
      <c r="BA110" s="111"/>
      <c r="BB110" s="111"/>
      <c r="BC110" s="111"/>
      <c r="BD110" s="111"/>
      <c r="BE110" s="111"/>
    </row>
    <row r="111" spans="1:57" x14ac:dyDescent="0.3">
      <c r="A111" s="515">
        <v>876</v>
      </c>
      <c r="B111" s="516" t="s">
        <v>335</v>
      </c>
      <c r="C111" s="103" t="s">
        <v>112</v>
      </c>
      <c r="D111" s="517" t="str">
        <f t="shared" si="45"/>
        <v>X</v>
      </c>
      <c r="E111" s="517" t="str">
        <f t="shared" si="46"/>
        <v>✓</v>
      </c>
      <c r="F111" s="518"/>
      <c r="G111" s="520">
        <v>66.400000000000006</v>
      </c>
      <c r="H111" s="863">
        <v>66.400000000000006</v>
      </c>
      <c r="I111" s="520">
        <v>384.82</v>
      </c>
      <c r="J111" s="520"/>
      <c r="K111" s="520"/>
      <c r="L111" s="520"/>
      <c r="M111" s="617"/>
      <c r="N111" s="239"/>
      <c r="O111" s="110"/>
      <c r="P111" s="111"/>
      <c r="Q111" s="522"/>
      <c r="R111" s="523"/>
      <c r="S111" s="839"/>
      <c r="T111" s="839" t="e">
        <f t="shared" si="48"/>
        <v>#DIV/0!</v>
      </c>
      <c r="U111" s="839" t="e">
        <f>Passby_Length_Adj!J115/ITE_LUC_Rates!P111</f>
        <v>#DIV/0!</v>
      </c>
      <c r="V111" s="839" t="e">
        <f>8.21*Passby_Length_Adj!H115/ITE_LUC_Rates!O111</f>
        <v>#DIV/0!</v>
      </c>
      <c r="W111" s="839" t="e">
        <f t="shared" si="29"/>
        <v>#DIV/0!</v>
      </c>
      <c r="X111" s="111"/>
      <c r="Y111" s="814">
        <f>FEE_3_Out!S120</f>
        <v>59046.772907440543</v>
      </c>
      <c r="Z111" s="814">
        <f>FEE_3_Out!H120</f>
        <v>60419.844506683672</v>
      </c>
      <c r="AA111" s="807">
        <f t="shared" si="51"/>
        <v>0</v>
      </c>
      <c r="AB111" s="807">
        <f>FEE_3_Out!Q120*2</f>
        <v>451.23727913177288</v>
      </c>
      <c r="AC111" s="826">
        <f t="shared" si="39"/>
        <v>0</v>
      </c>
      <c r="AD111" s="808">
        <f t="shared" si="40"/>
        <v>0</v>
      </c>
      <c r="AE111" s="808">
        <f t="shared" si="41"/>
        <v>0</v>
      </c>
      <c r="AF111" s="811">
        <f t="shared" si="42"/>
        <v>0</v>
      </c>
      <c r="AG111" s="811">
        <f t="shared" si="43"/>
        <v>0</v>
      </c>
      <c r="AH111" s="811"/>
      <c r="AI111" s="811"/>
      <c r="AJ111" s="111">
        <v>109</v>
      </c>
      <c r="AK111" s="111"/>
      <c r="AL111" s="874"/>
      <c r="AM111" s="871">
        <f t="shared" si="44"/>
        <v>0</v>
      </c>
      <c r="AN111" s="111"/>
      <c r="AO111" s="111"/>
      <c r="AP111" s="111"/>
      <c r="AQ111" s="111"/>
      <c r="AR111" s="111"/>
      <c r="AS111" s="111"/>
      <c r="AT111" s="111"/>
      <c r="AU111" s="111"/>
      <c r="AV111" s="111"/>
      <c r="AW111" s="111"/>
      <c r="AX111" s="111"/>
      <c r="AY111" s="111"/>
      <c r="AZ111" s="111"/>
      <c r="BA111" s="111"/>
      <c r="BB111" s="111"/>
      <c r="BC111" s="111"/>
      <c r="BD111" s="111"/>
      <c r="BE111" s="111"/>
    </row>
    <row r="112" spans="1:57" x14ac:dyDescent="0.3">
      <c r="A112" s="515">
        <v>879</v>
      </c>
      <c r="B112" s="516" t="s">
        <v>337</v>
      </c>
      <c r="C112" s="103" t="s">
        <v>112</v>
      </c>
      <c r="D112" s="517" t="str">
        <f t="shared" si="45"/>
        <v>X</v>
      </c>
      <c r="E112" s="517" t="str">
        <f t="shared" si="46"/>
        <v>✓</v>
      </c>
      <c r="F112" s="518"/>
      <c r="G112" s="520">
        <v>56.55</v>
      </c>
      <c r="H112" s="863">
        <v>56.55</v>
      </c>
      <c r="I112" s="520"/>
      <c r="J112" s="520"/>
      <c r="K112" s="520"/>
      <c r="L112" s="520"/>
      <c r="M112" s="617"/>
      <c r="N112" s="239"/>
      <c r="O112" s="110"/>
      <c r="P112" s="111"/>
      <c r="Q112" s="522"/>
      <c r="R112" s="523"/>
      <c r="S112" s="839"/>
      <c r="T112" s="839" t="e">
        <f t="shared" si="48"/>
        <v>#DIV/0!</v>
      </c>
      <c r="U112" s="839" t="e">
        <f>Passby_Length_Adj!J116/ITE_LUC_Rates!P112</f>
        <v>#DIV/0!</v>
      </c>
      <c r="V112" s="839" t="e">
        <f>8.21*Passby_Length_Adj!H116/ITE_LUC_Rates!O112</f>
        <v>#DIV/0!</v>
      </c>
      <c r="W112" s="839" t="e">
        <f t="shared" si="29"/>
        <v>#DIV/0!</v>
      </c>
      <c r="X112" s="111"/>
      <c r="Y112" s="814">
        <f>FEE_3_Out!S121</f>
        <v>50287.575420418114</v>
      </c>
      <c r="Z112" s="814">
        <f>FEE_3_Out!H121</f>
        <v>51456.960946580744</v>
      </c>
      <c r="AA112" s="807">
        <f t="shared" si="51"/>
        <v>0</v>
      </c>
      <c r="AB112" s="807">
        <f>FEE_3_Out!Q121*2</f>
        <v>384.29921889912282</v>
      </c>
      <c r="AC112" s="826">
        <f t="shared" si="39"/>
        <v>0</v>
      </c>
      <c r="AD112" s="808">
        <f t="shared" si="40"/>
        <v>0</v>
      </c>
      <c r="AE112" s="808">
        <f t="shared" si="41"/>
        <v>0</v>
      </c>
      <c r="AF112" s="811">
        <f t="shared" si="42"/>
        <v>0</v>
      </c>
      <c r="AG112" s="811">
        <f t="shared" si="43"/>
        <v>0</v>
      </c>
      <c r="AH112" s="811"/>
      <c r="AI112" s="811"/>
      <c r="AJ112" s="111">
        <v>110</v>
      </c>
      <c r="AK112" s="111"/>
      <c r="AL112" s="874"/>
      <c r="AM112" s="871">
        <f t="shared" si="44"/>
        <v>0</v>
      </c>
      <c r="AN112" s="111"/>
      <c r="AO112" s="111"/>
      <c r="AP112" s="111"/>
      <c r="AQ112" s="111"/>
      <c r="AR112" s="111"/>
      <c r="AS112" s="111"/>
      <c r="AT112" s="111"/>
      <c r="AU112" s="111"/>
      <c r="AV112" s="111"/>
      <c r="AW112" s="111"/>
      <c r="AX112" s="111"/>
      <c r="AY112" s="111"/>
      <c r="AZ112" s="111"/>
      <c r="BA112" s="111"/>
      <c r="BB112" s="111"/>
      <c r="BC112" s="111"/>
      <c r="BD112" s="111"/>
      <c r="BE112" s="111"/>
    </row>
    <row r="113" spans="1:61" x14ac:dyDescent="0.3">
      <c r="A113" s="515">
        <v>880</v>
      </c>
      <c r="B113" s="516" t="s">
        <v>339</v>
      </c>
      <c r="C113" s="103" t="s">
        <v>112</v>
      </c>
      <c r="D113" s="517" t="str">
        <f t="shared" si="45"/>
        <v>✓</v>
      </c>
      <c r="E113" s="517" t="str">
        <f t="shared" si="46"/>
        <v>✓</v>
      </c>
      <c r="F113" s="518">
        <v>90.06</v>
      </c>
      <c r="G113" s="520">
        <v>90.08</v>
      </c>
      <c r="H113" s="863">
        <v>90.08</v>
      </c>
      <c r="I113" s="520"/>
      <c r="J113" s="520"/>
      <c r="K113" s="520">
        <v>323.69</v>
      </c>
      <c r="L113" s="239"/>
      <c r="M113" s="617">
        <f t="shared" si="36"/>
        <v>11136.813756987891</v>
      </c>
      <c r="N113" s="239"/>
      <c r="O113" s="110">
        <v>2.36</v>
      </c>
      <c r="P113" s="521">
        <v>0.32</v>
      </c>
      <c r="Q113" s="522">
        <v>11136.5</v>
      </c>
      <c r="R113" s="523">
        <f t="shared" si="38"/>
        <v>0.99997182704185084</v>
      </c>
      <c r="S113" s="839"/>
      <c r="T113" s="839">
        <f t="shared" si="48"/>
        <v>1.0002220741727736</v>
      </c>
      <c r="U113" s="839">
        <f>Passby_Length_Adj!J117/ITE_LUC_Rates!P113</f>
        <v>1.0125</v>
      </c>
      <c r="V113" s="839">
        <f>8.21*Passby_Length_Adj!H117/ITE_LUC_Rates!O113</f>
        <v>1.0930411183368325</v>
      </c>
      <c r="W113" s="839">
        <f t="shared" si="29"/>
        <v>1.1069499027207321</v>
      </c>
      <c r="X113" s="111"/>
      <c r="Y113" s="814">
        <f>FEE_3_Out!S122</f>
        <v>9488.0624710417724</v>
      </c>
      <c r="Z113" s="814">
        <f>FEE_3_Out!H122</f>
        <v>9708.697545057652</v>
      </c>
      <c r="AA113" s="807">
        <f t="shared" si="51"/>
        <v>66.653045759999998</v>
      </c>
      <c r="AB113" s="807">
        <f>FEE_3_Out!Q122*2</f>
        <v>72.508069160299115</v>
      </c>
      <c r="AC113" s="826">
        <f t="shared" si="39"/>
        <v>8.7843298585056573E-2</v>
      </c>
      <c r="AD113" s="808">
        <f t="shared" si="40"/>
        <v>2.2207417277364527E-4</v>
      </c>
      <c r="AE113" s="808">
        <f t="shared" si="41"/>
        <v>8.7621224412282928E-2</v>
      </c>
      <c r="AF113" s="811">
        <f t="shared" si="42"/>
        <v>-0.14802114928013532</v>
      </c>
      <c r="AG113" s="811">
        <f t="shared" si="43"/>
        <v>-0.12820926277936051</v>
      </c>
      <c r="AH113" s="811"/>
      <c r="AI113" s="811"/>
      <c r="AJ113" s="111">
        <v>111</v>
      </c>
      <c r="AK113" s="111"/>
      <c r="AL113" s="874"/>
      <c r="AM113" s="871">
        <f t="shared" si="44"/>
        <v>0</v>
      </c>
      <c r="AN113" s="111"/>
      <c r="AO113" s="111"/>
      <c r="AP113" s="111"/>
      <c r="AQ113" s="111"/>
      <c r="AR113" s="111"/>
      <c r="AS113" s="111"/>
      <c r="AT113" s="111"/>
      <c r="AU113" s="111"/>
      <c r="AV113" s="111"/>
      <c r="AW113" s="111"/>
      <c r="AX113" s="111"/>
      <c r="AY113" s="111"/>
      <c r="AZ113" s="111"/>
      <c r="BA113" s="111"/>
      <c r="BB113" s="111"/>
      <c r="BC113" s="111"/>
      <c r="BD113" s="111"/>
      <c r="BE113" s="111"/>
      <c r="BF113" s="239"/>
      <c r="BG113" s="239"/>
      <c r="BH113" s="239"/>
      <c r="BI113" s="239"/>
    </row>
    <row r="114" spans="1:61" x14ac:dyDescent="0.3">
      <c r="A114" s="515">
        <v>881</v>
      </c>
      <c r="B114" s="516" t="s">
        <v>341</v>
      </c>
      <c r="C114" s="103" t="s">
        <v>112</v>
      </c>
      <c r="D114" s="517" t="str">
        <f t="shared" si="45"/>
        <v>✓</v>
      </c>
      <c r="E114" s="517" t="str">
        <f t="shared" si="46"/>
        <v>✓</v>
      </c>
      <c r="F114" s="518">
        <v>96.91</v>
      </c>
      <c r="G114" s="520">
        <v>109.16</v>
      </c>
      <c r="H114" s="863">
        <v>108.4</v>
      </c>
      <c r="I114" s="520"/>
      <c r="J114" s="520"/>
      <c r="K114" s="520"/>
      <c r="L114" s="520"/>
      <c r="M114" s="617">
        <f t="shared" si="36"/>
        <v>11983.884312566031</v>
      </c>
      <c r="N114" s="239"/>
      <c r="O114" s="110">
        <v>2.36</v>
      </c>
      <c r="P114" s="521">
        <v>0.32</v>
      </c>
      <c r="Q114" s="522">
        <v>11984.3</v>
      </c>
      <c r="R114" s="523">
        <f t="shared" si="38"/>
        <v>1.0000346872035082</v>
      </c>
      <c r="S114" s="839"/>
      <c r="T114" s="839">
        <f t="shared" si="48"/>
        <v>1.1264059436590652</v>
      </c>
      <c r="U114" s="839">
        <f>Passby_Length_Adj!J118/ITE_LUC_Rates!P114</f>
        <v>1.0125</v>
      </c>
      <c r="V114" s="839">
        <f>8.21*Passby_Length_Adj!H118/ITE_LUC_Rates!O114</f>
        <v>1.0930411183368325</v>
      </c>
      <c r="W114" s="839">
        <f t="shared" si="29"/>
        <v>1.2465981125128394</v>
      </c>
      <c r="X114" s="111"/>
      <c r="Y114" s="814">
        <f>FEE_3_Out!S123</f>
        <v>11497.745330138985</v>
      </c>
      <c r="Z114" s="814">
        <f>FEE_3_Out!H123</f>
        <v>11765.113499317198</v>
      </c>
      <c r="AA114" s="807">
        <f t="shared" si="51"/>
        <v>71.722703359999997</v>
      </c>
      <c r="AB114" s="807">
        <f>FEE_3_Out!Q123*2</f>
        <v>87.866128214234578</v>
      </c>
      <c r="AC114" s="826">
        <f t="shared" si="39"/>
        <v>0.2250810984243774</v>
      </c>
      <c r="AD114" s="808">
        <f t="shared" si="40"/>
        <v>0.12640594365906521</v>
      </c>
      <c r="AE114" s="808">
        <f t="shared" si="41"/>
        <v>9.867515476531219E-2</v>
      </c>
      <c r="AF114" s="811">
        <f t="shared" si="42"/>
        <v>-4.0599339958196534E-2</v>
      </c>
      <c r="AG114" s="811">
        <f t="shared" si="43"/>
        <v>-1.8289470447402145E-2</v>
      </c>
      <c r="AH114" s="811"/>
      <c r="AI114" s="811"/>
      <c r="AJ114" s="111">
        <v>112</v>
      </c>
      <c r="AK114" s="111"/>
      <c r="AL114" s="874"/>
      <c r="AM114" s="871">
        <f t="shared" si="44"/>
        <v>6.9622572370830974E-3</v>
      </c>
      <c r="AN114" s="111"/>
      <c r="AO114" s="111"/>
      <c r="AP114" s="111"/>
      <c r="AQ114" s="111"/>
      <c r="AR114" s="111"/>
      <c r="AS114" s="111"/>
      <c r="AT114" s="111"/>
      <c r="AU114" s="111"/>
      <c r="AV114" s="111"/>
      <c r="AW114" s="111"/>
      <c r="AX114" s="111"/>
      <c r="AY114" s="111"/>
      <c r="AZ114" s="111"/>
      <c r="BA114" s="111"/>
      <c r="BB114" s="111"/>
      <c r="BC114" s="111"/>
      <c r="BD114" s="111"/>
      <c r="BE114" s="111"/>
      <c r="BF114" s="239"/>
      <c r="BG114" s="239"/>
      <c r="BH114" s="239"/>
      <c r="BI114" s="239"/>
    </row>
    <row r="115" spans="1:61" x14ac:dyDescent="0.3">
      <c r="A115" s="515">
        <v>882</v>
      </c>
      <c r="B115" s="516" t="s">
        <v>343</v>
      </c>
      <c r="C115" s="103" t="s">
        <v>112</v>
      </c>
      <c r="D115" s="517" t="str">
        <f t="shared" si="45"/>
        <v>X</v>
      </c>
      <c r="E115" s="517" t="str">
        <f t="shared" si="46"/>
        <v>✓</v>
      </c>
      <c r="F115" s="518"/>
      <c r="G115" s="520">
        <v>252.7</v>
      </c>
      <c r="H115" s="863">
        <v>211.12</v>
      </c>
      <c r="I115" s="520"/>
      <c r="J115" s="520"/>
      <c r="K115" s="520"/>
      <c r="L115" s="520"/>
      <c r="M115" s="617"/>
      <c r="N115" s="239"/>
      <c r="O115" s="110"/>
      <c r="P115" s="111"/>
      <c r="Q115" s="522"/>
      <c r="R115" s="523"/>
      <c r="S115" s="839"/>
      <c r="T115" s="839" t="e">
        <f t="shared" si="48"/>
        <v>#DIV/0!</v>
      </c>
      <c r="U115" s="839" t="e">
        <f>Passby_Length_Adj!J119/ITE_LUC_Rates!P115</f>
        <v>#DIV/0!</v>
      </c>
      <c r="V115" s="839" t="e">
        <f>8.21*Passby_Length_Adj!H119/ITE_LUC_Rates!O115</f>
        <v>#DIV/0!</v>
      </c>
      <c r="W115" s="839" t="e">
        <f t="shared" si="29"/>
        <v>#DIV/0!</v>
      </c>
      <c r="X115" s="111"/>
      <c r="Y115" s="814">
        <f>FEE_3_Out!S124</f>
        <v>224715.65532696122</v>
      </c>
      <c r="Z115" s="814">
        <f>FEE_3_Out!H124</f>
        <v>229941.1853439603</v>
      </c>
      <c r="AA115" s="807">
        <f t="shared" si="51"/>
        <v>0</v>
      </c>
      <c r="AB115" s="807">
        <f>FEE_3_Out!Q124*2</f>
        <v>1717.2840427198644</v>
      </c>
      <c r="AC115" s="826">
        <f t="shared" si="39"/>
        <v>0</v>
      </c>
      <c r="AD115" s="808">
        <f t="shared" si="40"/>
        <v>0</v>
      </c>
      <c r="AE115" s="808">
        <f t="shared" si="41"/>
        <v>0</v>
      </c>
      <c r="AF115" s="811">
        <f t="shared" si="42"/>
        <v>0</v>
      </c>
      <c r="AG115" s="811">
        <f t="shared" si="43"/>
        <v>0</v>
      </c>
      <c r="AH115" s="811"/>
      <c r="AI115" s="811"/>
      <c r="AJ115" s="111">
        <v>113</v>
      </c>
      <c r="AK115" s="111"/>
      <c r="AL115" s="874"/>
      <c r="AM115" s="871">
        <f t="shared" si="44"/>
        <v>0.16454293628808858</v>
      </c>
      <c r="AN115" s="111"/>
      <c r="AO115" s="111"/>
      <c r="AP115" s="111"/>
      <c r="AQ115" s="111"/>
      <c r="AR115" s="111"/>
      <c r="AS115" s="111"/>
      <c r="AT115" s="111"/>
      <c r="AU115" s="111"/>
      <c r="AV115" s="111"/>
      <c r="AW115" s="111"/>
      <c r="AX115" s="111"/>
      <c r="AY115" s="111"/>
      <c r="AZ115" s="111"/>
      <c r="BA115" s="111"/>
      <c r="BB115" s="111"/>
      <c r="BC115" s="111"/>
      <c r="BD115" s="111"/>
      <c r="BE115" s="111"/>
      <c r="BF115" s="239"/>
      <c r="BG115" s="239"/>
      <c r="BH115" s="239"/>
      <c r="BI115" s="239"/>
    </row>
    <row r="116" spans="1:61" x14ac:dyDescent="0.3">
      <c r="A116" s="515">
        <v>890</v>
      </c>
      <c r="B116" s="516" t="s">
        <v>345</v>
      </c>
      <c r="C116" s="103" t="s">
        <v>112</v>
      </c>
      <c r="D116" s="517" t="str">
        <f t="shared" si="45"/>
        <v>✓</v>
      </c>
      <c r="E116" s="517" t="str">
        <f t="shared" si="46"/>
        <v>✓</v>
      </c>
      <c r="F116" s="518">
        <v>5.0599999999999996</v>
      </c>
      <c r="G116" s="520">
        <v>6.3</v>
      </c>
      <c r="H116" s="863">
        <v>6.3</v>
      </c>
      <c r="I116" s="520"/>
      <c r="J116" s="520"/>
      <c r="K116" s="520"/>
      <c r="L116" s="520"/>
      <c r="M116" s="617">
        <f t="shared" si="36"/>
        <v>1657.0955288975999</v>
      </c>
      <c r="N116" s="239"/>
      <c r="O116" s="110">
        <v>4</v>
      </c>
      <c r="P116" s="521">
        <v>0.5</v>
      </c>
      <c r="Q116" s="522">
        <v>1656.8</v>
      </c>
      <c r="R116" s="523">
        <f t="shared" si="38"/>
        <v>0.99982165850281635</v>
      </c>
      <c r="S116" s="839"/>
      <c r="T116" s="839">
        <f t="shared" si="48"/>
        <v>1.2450592885375495</v>
      </c>
      <c r="U116" s="839">
        <f>Passby_Length_Adj!J120/ITE_LUC_Rates!P116</f>
        <v>1.0840000000000001</v>
      </c>
      <c r="V116" s="839">
        <f>8.21*Passby_Length_Adj!H120/ITE_LUC_Rates!O116</f>
        <v>1.8881759818731119</v>
      </c>
      <c r="W116" s="839">
        <f t="shared" si="29"/>
        <v>2.5483658923730945</v>
      </c>
      <c r="X116" s="111"/>
      <c r="Y116" s="814">
        <f>FEE_3_Out!S125</f>
        <v>3250.1091133343971</v>
      </c>
      <c r="Z116" s="814">
        <f>FEE_3_Out!H125</f>
        <v>3325.6870373804099</v>
      </c>
      <c r="AA116" s="807">
        <f t="shared" si="51"/>
        <v>9.9175999999999984</v>
      </c>
      <c r="AB116" s="807">
        <f>FEE_3_Out!Q125*2</f>
        <v>24.837435154692223</v>
      </c>
      <c r="AC116" s="826">
        <f t="shared" si="39"/>
        <v>1.5043796034012491</v>
      </c>
      <c r="AD116" s="808">
        <f t="shared" si="40"/>
        <v>0.24505928853754955</v>
      </c>
      <c r="AE116" s="808">
        <f t="shared" si="41"/>
        <v>1.2593203148636996</v>
      </c>
      <c r="AF116" s="811">
        <f t="shared" si="42"/>
        <v>0.96167860534427652</v>
      </c>
      <c r="AG116" s="811">
        <f t="shared" si="43"/>
        <v>1.0072954112629224</v>
      </c>
      <c r="AH116" s="811"/>
      <c r="AI116" s="811"/>
      <c r="AJ116" s="111">
        <v>114</v>
      </c>
      <c r="AK116" s="111"/>
      <c r="AL116" s="874"/>
      <c r="AM116" s="871">
        <f t="shared" si="44"/>
        <v>0</v>
      </c>
      <c r="AN116" s="111"/>
      <c r="AO116" s="111"/>
      <c r="AP116" s="111"/>
      <c r="AQ116" s="111"/>
      <c r="AR116" s="111"/>
      <c r="AS116" s="111"/>
      <c r="AT116" s="111"/>
      <c r="AU116" s="111"/>
      <c r="AV116" s="111"/>
      <c r="AW116" s="111"/>
      <c r="AX116" s="111"/>
      <c r="AY116" s="111"/>
      <c r="AZ116" s="111"/>
      <c r="BA116" s="111"/>
      <c r="BB116" s="111"/>
      <c r="BC116" s="111"/>
      <c r="BD116" s="111"/>
      <c r="BE116" s="111"/>
      <c r="BF116" s="239"/>
      <c r="BG116" s="239"/>
      <c r="BH116" s="239"/>
      <c r="BI116" s="239"/>
    </row>
    <row r="117" spans="1:61" x14ac:dyDescent="0.3">
      <c r="A117" s="515">
        <v>899</v>
      </c>
      <c r="B117" s="516" t="s">
        <v>347</v>
      </c>
      <c r="C117" s="103" t="s">
        <v>112</v>
      </c>
      <c r="D117" s="517" t="str">
        <f t="shared" si="45"/>
        <v>X</v>
      </c>
      <c r="E117" s="517" t="str">
        <f t="shared" si="46"/>
        <v>✓</v>
      </c>
      <c r="F117" s="518"/>
      <c r="G117" s="520">
        <v>101.49</v>
      </c>
      <c r="H117" s="863">
        <v>107.21</v>
      </c>
      <c r="I117" s="520"/>
      <c r="J117" s="520"/>
      <c r="K117" s="520"/>
      <c r="L117" s="520"/>
      <c r="M117" s="617"/>
      <c r="N117" s="239"/>
      <c r="O117" s="110"/>
      <c r="P117" s="111"/>
      <c r="Q117" s="522"/>
      <c r="R117" s="523"/>
      <c r="S117" s="839"/>
      <c r="T117" s="839" t="e">
        <f t="shared" si="48"/>
        <v>#DIV/0!</v>
      </c>
      <c r="U117" s="839" t="e">
        <f>Passby_Length_Adj!J121/ITE_LUC_Rates!P117</f>
        <v>#DIV/0!</v>
      </c>
      <c r="V117" s="839" t="e">
        <f>8.21*Passby_Length_Adj!H121/ITE_LUC_Rates!O117</f>
        <v>#DIV/0!</v>
      </c>
      <c r="W117" s="839" t="e">
        <f t="shared" ref="W117" si="52">V117*U117*T117</f>
        <v>#DIV/0!</v>
      </c>
      <c r="X117" s="111"/>
      <c r="Y117" s="814">
        <f>FEE_3_Out!S126</f>
        <v>64314.285866226441</v>
      </c>
      <c r="Z117" s="814">
        <f>FEE_3_Out!H126</f>
        <v>65809.84802822549</v>
      </c>
      <c r="AA117" s="807">
        <f t="shared" si="51"/>
        <v>0</v>
      </c>
      <c r="AB117" s="807">
        <f>FEE_3_Out!Q126*2</f>
        <v>491.49177735879431</v>
      </c>
      <c r="AC117" s="826">
        <f t="shared" si="39"/>
        <v>0</v>
      </c>
      <c r="AD117" s="808">
        <f t="shared" si="40"/>
        <v>0</v>
      </c>
      <c r="AE117" s="808">
        <f t="shared" si="41"/>
        <v>0</v>
      </c>
      <c r="AF117" s="811">
        <f t="shared" si="42"/>
        <v>0</v>
      </c>
      <c r="AG117" s="811">
        <f t="shared" si="43"/>
        <v>0</v>
      </c>
      <c r="AH117" s="811"/>
      <c r="AI117" s="811"/>
      <c r="AJ117" s="111">
        <v>115</v>
      </c>
      <c r="AK117" s="111"/>
      <c r="AL117" s="874"/>
      <c r="AM117" s="871">
        <f t="shared" si="44"/>
        <v>-5.6360232535225138E-2</v>
      </c>
      <c r="AN117" s="111"/>
      <c r="AO117" s="111"/>
      <c r="AP117" s="111"/>
      <c r="AQ117" s="111"/>
      <c r="AR117" s="111"/>
      <c r="AS117" s="111"/>
      <c r="AT117" s="111"/>
      <c r="AU117" s="111"/>
      <c r="AV117" s="111"/>
      <c r="AW117" s="111"/>
      <c r="AX117" s="111"/>
      <c r="AY117" s="111"/>
      <c r="AZ117" s="111"/>
      <c r="BA117" s="111"/>
      <c r="BB117" s="111"/>
      <c r="BC117" s="111"/>
      <c r="BD117" s="111"/>
      <c r="BE117" s="111"/>
      <c r="BF117" s="239"/>
      <c r="BG117" s="239"/>
      <c r="BH117" s="239"/>
      <c r="BI117" s="239"/>
    </row>
    <row r="118" spans="1:61" s="136" customFormat="1" x14ac:dyDescent="0.3">
      <c r="A118" s="505" t="s">
        <v>483</v>
      </c>
      <c r="B118" s="506"/>
      <c r="C118" s="507"/>
      <c r="D118" s="508"/>
      <c r="E118" s="508"/>
      <c r="F118" s="534"/>
      <c r="G118" s="535"/>
      <c r="H118" s="863"/>
      <c r="I118" s="535"/>
      <c r="J118" s="535"/>
      <c r="K118" s="535"/>
      <c r="L118" s="535"/>
      <c r="M118" s="615"/>
      <c r="N118" s="616"/>
      <c r="O118" s="511"/>
      <c r="P118" s="512"/>
      <c r="Q118" s="536"/>
      <c r="R118" s="514"/>
      <c r="S118" s="838"/>
      <c r="T118" s="838"/>
      <c r="U118" s="838"/>
      <c r="V118" s="839" t="e">
        <f>8.21*Passby_Length_Adj!H122/ITE_LUC_Rates!O118</f>
        <v>#DIV/0!</v>
      </c>
      <c r="W118" s="838"/>
      <c r="X118" s="111"/>
      <c r="Y118" s="814">
        <f>FEE_3_Out!S127</f>
        <v>0</v>
      </c>
      <c r="Z118" s="814">
        <f>FEE_3_Out!H127</f>
        <v>0</v>
      </c>
      <c r="AA118" s="807">
        <f t="shared" si="51"/>
        <v>0</v>
      </c>
      <c r="AB118" s="807">
        <f>FEE_3_Out!Q127*2</f>
        <v>0</v>
      </c>
      <c r="AC118" s="826">
        <f t="shared" si="39"/>
        <v>0</v>
      </c>
      <c r="AD118" s="808">
        <f t="shared" si="40"/>
        <v>0</v>
      </c>
      <c r="AE118" s="808">
        <f t="shared" si="41"/>
        <v>0</v>
      </c>
      <c r="AF118" s="811">
        <f t="shared" si="42"/>
        <v>0</v>
      </c>
      <c r="AG118" s="811">
        <f t="shared" si="43"/>
        <v>0</v>
      </c>
      <c r="AH118" s="811"/>
      <c r="AI118" s="811"/>
      <c r="AJ118" s="111">
        <v>116</v>
      </c>
      <c r="AK118" s="111"/>
      <c r="AL118" s="874"/>
      <c r="AM118" s="871"/>
      <c r="AN118" s="111"/>
      <c r="AO118" s="111"/>
      <c r="AP118" s="111"/>
      <c r="AQ118" s="111"/>
      <c r="AR118" s="111"/>
      <c r="AS118" s="111"/>
      <c r="AT118" s="111"/>
      <c r="AU118" s="111"/>
      <c r="AV118" s="111"/>
      <c r="AW118" s="111"/>
      <c r="AX118" s="111"/>
      <c r="AY118" s="111"/>
      <c r="AZ118" s="111"/>
      <c r="BA118" s="111"/>
      <c r="BB118" s="111"/>
      <c r="BC118" s="111"/>
      <c r="BD118" s="111"/>
      <c r="BE118" s="111"/>
      <c r="BF118" s="239"/>
      <c r="BG118" s="239"/>
      <c r="BH118" s="239"/>
      <c r="BI118" s="239"/>
    </row>
    <row r="119" spans="1:61" x14ac:dyDescent="0.3">
      <c r="A119" s="515">
        <v>911</v>
      </c>
      <c r="B119" s="516" t="s">
        <v>349</v>
      </c>
      <c r="C119" s="103" t="s">
        <v>112</v>
      </c>
      <c r="D119" s="517" t="str">
        <f>IF(F119,"✓","X")</f>
        <v>✓</v>
      </c>
      <c r="E119" s="517" t="str">
        <f>IF(G119,"✓","X")</f>
        <v>✓</v>
      </c>
      <c r="F119" s="518">
        <v>156.47999999999999</v>
      </c>
      <c r="G119" s="847">
        <v>156.47999999999999</v>
      </c>
      <c r="H119" s="863"/>
      <c r="I119" s="520"/>
      <c r="J119" s="540"/>
      <c r="K119" s="520"/>
      <c r="L119" s="520"/>
      <c r="M119" s="617">
        <f t="shared" si="36"/>
        <v>16014.223589543995</v>
      </c>
      <c r="N119" s="239"/>
      <c r="O119" s="111">
        <v>1.25</v>
      </c>
      <c r="P119" s="521">
        <v>0.5</v>
      </c>
      <c r="Q119" s="522">
        <v>16014.3</v>
      </c>
      <c r="R119" s="523">
        <f t="shared" si="38"/>
        <v>1.0000047714118376</v>
      </c>
      <c r="S119" s="839"/>
      <c r="T119" s="839">
        <f t="shared" ref="T119:T128" si="53">G119/F119</f>
        <v>1</v>
      </c>
      <c r="U119" s="839">
        <f>Passby_Length_Adj!J123/ITE_LUC_Rates!P119</f>
        <v>0.92400000000000004</v>
      </c>
      <c r="V119" s="839">
        <f>8.21*Passby_Length_Adj!H123/ITE_LUC_Rates!O119</f>
        <v>2.4406767371601212</v>
      </c>
      <c r="W119" s="839">
        <f t="shared" ref="W119:W128" si="54">V119*U119*T119</f>
        <v>2.2551853051359521</v>
      </c>
      <c r="X119" s="111"/>
      <c r="Y119" s="814">
        <f>FEE_3_Out!S128</f>
        <v>27795.643502276369</v>
      </c>
      <c r="Z119" s="814">
        <f>FEE_3_Out!H128</f>
        <v>28442.002427521769</v>
      </c>
      <c r="AA119" s="807">
        <f t="shared" si="51"/>
        <v>95.843999999999994</v>
      </c>
      <c r="AB119" s="807">
        <f>FEE_3_Out!Q128*2</f>
        <v>212.4151740747113</v>
      </c>
      <c r="AC119" s="826">
        <f t="shared" si="39"/>
        <v>1.2162594849412725</v>
      </c>
      <c r="AD119" s="808">
        <f t="shared" si="40"/>
        <v>0</v>
      </c>
      <c r="AE119" s="808">
        <f t="shared" si="41"/>
        <v>1.2162594849412725</v>
      </c>
      <c r="AF119" s="811">
        <f t="shared" si="42"/>
        <v>0.73567645805788384</v>
      </c>
      <c r="AG119" s="811">
        <f t="shared" si="43"/>
        <v>0.77603781792034443</v>
      </c>
      <c r="AH119" s="811"/>
      <c r="AI119" s="811"/>
      <c r="AJ119" s="111">
        <v>117</v>
      </c>
      <c r="AK119" s="111"/>
      <c r="AL119" s="875" t="s">
        <v>436</v>
      </c>
      <c r="AM119" s="871"/>
      <c r="AN119" s="111"/>
      <c r="AO119" s="111"/>
      <c r="AP119" s="111"/>
      <c r="AQ119" s="111"/>
      <c r="AR119" s="111"/>
      <c r="AS119" s="111"/>
      <c r="AT119" s="111"/>
      <c r="AU119" s="111"/>
      <c r="AV119" s="111"/>
      <c r="AW119" s="111"/>
      <c r="AX119" s="111"/>
      <c r="AY119" s="111"/>
      <c r="AZ119" s="111"/>
      <c r="BA119" s="111"/>
      <c r="BB119" s="111"/>
      <c r="BC119" s="111"/>
      <c r="BD119" s="111"/>
      <c r="BE119" s="111"/>
      <c r="BF119" s="239"/>
      <c r="BG119" s="239"/>
      <c r="BH119" s="239"/>
      <c r="BI119" s="239"/>
    </row>
    <row r="120" spans="1:61" x14ac:dyDescent="0.3">
      <c r="A120" s="515">
        <v>912</v>
      </c>
      <c r="B120" s="516" t="s">
        <v>351</v>
      </c>
      <c r="C120" s="103" t="s">
        <v>112</v>
      </c>
      <c r="D120" s="517" t="str">
        <f t="shared" ref="D120:E128" si="55">IF(F120,"✓","X")</f>
        <v>✓</v>
      </c>
      <c r="E120" s="517" t="str">
        <f t="shared" ref="E120:E127" si="56">IF(G120,"✓","X")</f>
        <v>✓</v>
      </c>
      <c r="F120" s="518">
        <v>246.49</v>
      </c>
      <c r="G120" s="520">
        <v>100.03</v>
      </c>
      <c r="H120" s="863">
        <v>100.35</v>
      </c>
      <c r="I120" s="520"/>
      <c r="J120" s="520"/>
      <c r="K120" s="520"/>
      <c r="L120" s="520"/>
      <c r="M120" s="617">
        <f t="shared" si="36"/>
        <v>25225.88172665325</v>
      </c>
      <c r="N120" s="239"/>
      <c r="O120" s="110">
        <v>1.25</v>
      </c>
      <c r="P120" s="521">
        <v>0.5</v>
      </c>
      <c r="Q120" s="522">
        <v>25226.6</v>
      </c>
      <c r="R120" s="523">
        <f t="shared" si="38"/>
        <v>1.0000284736666307</v>
      </c>
      <c r="S120" s="839"/>
      <c r="T120" s="839">
        <f t="shared" si="53"/>
        <v>0.4058176802304353</v>
      </c>
      <c r="U120" s="839">
        <f>Passby_Length_Adj!J124/ITE_LUC_Rates!P120</f>
        <v>0.92400000000000004</v>
      </c>
      <c r="V120" s="839">
        <f>8.21*Passby_Length_Adj!H124/ITE_LUC_Rates!O120</f>
        <v>2.4406767371601212</v>
      </c>
      <c r="W120" s="839">
        <f t="shared" si="54"/>
        <v>0.91519406902003841</v>
      </c>
      <c r="X120" s="111"/>
      <c r="Y120" s="814">
        <f>FEE_3_Out!S129</f>
        <v>17768.393529733545</v>
      </c>
      <c r="Z120" s="814">
        <f>FEE_3_Out!H129</f>
        <v>18181.579133595362</v>
      </c>
      <c r="AA120" s="807">
        <f t="shared" si="51"/>
        <v>150.97512499999999</v>
      </c>
      <c r="AB120" s="807">
        <f>FEE_3_Out!Q129*2</f>
        <v>135.78661722068873</v>
      </c>
      <c r="AC120" s="826">
        <f t="shared" si="39"/>
        <v>-0.1006027170324334</v>
      </c>
      <c r="AD120" s="808">
        <f t="shared" si="40"/>
        <v>-0.5941823197695647</v>
      </c>
      <c r="AE120" s="808">
        <f t="shared" si="41"/>
        <v>0.49357960273713131</v>
      </c>
      <c r="AF120" s="811">
        <f t="shared" si="42"/>
        <v>-0.29564850079941229</v>
      </c>
      <c r="AG120" s="811">
        <f t="shared" si="43"/>
        <v>-0.27926953558563727</v>
      </c>
      <c r="AH120" s="811"/>
      <c r="AI120" s="811"/>
      <c r="AJ120" s="111">
        <v>118</v>
      </c>
      <c r="AK120" s="111"/>
      <c r="AL120" s="874"/>
      <c r="AM120" s="871">
        <f t="shared" si="44"/>
        <v>-3.1990402879135578E-3</v>
      </c>
      <c r="AN120" s="111"/>
      <c r="AO120" s="111"/>
      <c r="AP120" s="111"/>
      <c r="AQ120" s="111"/>
      <c r="AR120" s="111"/>
      <c r="AS120" s="111"/>
      <c r="AT120" s="111"/>
      <c r="AU120" s="111"/>
      <c r="AV120" s="111"/>
      <c r="AW120" s="111"/>
      <c r="AX120" s="111"/>
      <c r="AY120" s="111"/>
      <c r="AZ120" s="111"/>
      <c r="BA120" s="111"/>
      <c r="BB120" s="111"/>
      <c r="BC120" s="111"/>
      <c r="BD120" s="111"/>
      <c r="BE120" s="111"/>
      <c r="BF120" s="239"/>
      <c r="BG120" s="239"/>
      <c r="BH120" s="239"/>
      <c r="BI120" s="239"/>
    </row>
    <row r="121" spans="1:61" x14ac:dyDescent="0.3">
      <c r="A121" s="515">
        <v>931</v>
      </c>
      <c r="B121" s="516" t="s">
        <v>484</v>
      </c>
      <c r="C121" s="103" t="s">
        <v>112</v>
      </c>
      <c r="D121" s="517" t="str">
        <f t="shared" si="55"/>
        <v>✓</v>
      </c>
      <c r="E121" s="517" t="str">
        <f t="shared" si="56"/>
        <v>✓</v>
      </c>
      <c r="F121" s="518">
        <v>89.95</v>
      </c>
      <c r="G121" s="520">
        <v>83.84</v>
      </c>
      <c r="H121" s="863">
        <v>83.84</v>
      </c>
      <c r="I121" s="520"/>
      <c r="J121" s="520"/>
      <c r="K121" s="520"/>
      <c r="L121" s="520"/>
      <c r="M121" s="617">
        <f t="shared" si="36"/>
        <v>68047.186941546126</v>
      </c>
      <c r="N121" s="239"/>
      <c r="O121" s="110">
        <v>6.16</v>
      </c>
      <c r="P121" s="521">
        <v>0.75</v>
      </c>
      <c r="Q121" s="522">
        <v>68047</v>
      </c>
      <c r="R121" s="523">
        <f t="shared" si="38"/>
        <v>0.99999725276599183</v>
      </c>
      <c r="S121" s="839"/>
      <c r="T121" s="839">
        <f t="shared" si="53"/>
        <v>0.93207337409672042</v>
      </c>
      <c r="U121" s="839">
        <f>Passby_Length_Adj!J125/ITE_LUC_Rates!P121</f>
        <v>1.0226666666666666</v>
      </c>
      <c r="V121" s="839">
        <f>8.21*Passby_Length_Adj!H125/ITE_LUC_Rates!O121</f>
        <v>0.6321703221250049</v>
      </c>
      <c r="W121" s="839">
        <f t="shared" si="54"/>
        <v>0.60258498531685956</v>
      </c>
      <c r="X121" s="111"/>
      <c r="Y121" s="814">
        <f>FEE_3_Out!S130</f>
        <v>31558.553904548633</v>
      </c>
      <c r="Z121" s="814">
        <f>FEE_3_Out!H130</f>
        <v>32292.415417140433</v>
      </c>
      <c r="AA121" s="807">
        <f t="shared" si="51"/>
        <v>407.25761999999997</v>
      </c>
      <c r="AB121" s="807">
        <f>FEE_3_Out!Q130*2</f>
        <v>241.17145266422284</v>
      </c>
      <c r="AC121" s="826">
        <f t="shared" si="39"/>
        <v>-0.40781598472185032</v>
      </c>
      <c r="AD121" s="808">
        <f t="shared" si="40"/>
        <v>-6.792662590327958E-2</v>
      </c>
      <c r="AE121" s="808">
        <f t="shared" si="41"/>
        <v>-0.33988935881857074</v>
      </c>
      <c r="AF121" s="811">
        <f t="shared" si="42"/>
        <v>-0.53622416999208444</v>
      </c>
      <c r="AG121" s="811">
        <f t="shared" si="43"/>
        <v>-0.52543954300497542</v>
      </c>
      <c r="AH121" s="811"/>
      <c r="AI121" s="811"/>
      <c r="AJ121" s="111">
        <v>119</v>
      </c>
      <c r="AK121" s="111"/>
      <c r="AL121" s="874"/>
      <c r="AM121" s="871">
        <f t="shared" si="44"/>
        <v>0</v>
      </c>
      <c r="AN121" s="111"/>
      <c r="AO121" s="111"/>
      <c r="AP121" s="111"/>
      <c r="AQ121" s="111"/>
      <c r="AR121" s="111"/>
      <c r="AS121" s="111"/>
      <c r="AT121" s="111"/>
      <c r="AU121" s="111"/>
      <c r="AV121" s="111"/>
      <c r="AW121" s="111"/>
      <c r="AX121" s="111"/>
      <c r="AY121" s="111"/>
      <c r="AZ121" s="111"/>
      <c r="BA121" s="111"/>
      <c r="BB121" s="111"/>
      <c r="BC121" s="111"/>
      <c r="BD121" s="111"/>
      <c r="BE121" s="111"/>
      <c r="BF121" s="239"/>
      <c r="BG121" s="239"/>
      <c r="BH121" s="239"/>
      <c r="BI121" s="239"/>
    </row>
    <row r="122" spans="1:61" x14ac:dyDescent="0.3">
      <c r="A122" s="515">
        <v>931</v>
      </c>
      <c r="B122" s="516" t="s">
        <v>355</v>
      </c>
      <c r="C122" s="103" t="s">
        <v>356</v>
      </c>
      <c r="D122" s="517" t="str">
        <f t="shared" si="55"/>
        <v>✓</v>
      </c>
      <c r="E122" s="517" t="str">
        <f t="shared" si="56"/>
        <v>✓</v>
      </c>
      <c r="F122" s="518">
        <v>2.86</v>
      </c>
      <c r="G122" s="520">
        <v>2.6</v>
      </c>
      <c r="H122" s="863">
        <v>2.6</v>
      </c>
      <c r="I122" s="520"/>
      <c r="J122" s="520"/>
      <c r="K122" s="520"/>
      <c r="L122" s="520"/>
      <c r="M122" s="617">
        <f t="shared" si="36"/>
        <v>2163.5903796867356</v>
      </c>
      <c r="N122" s="239"/>
      <c r="O122" s="110">
        <v>6.16</v>
      </c>
      <c r="P122" s="521">
        <v>0.75</v>
      </c>
      <c r="Q122" s="522">
        <v>2163.0520000000001</v>
      </c>
      <c r="R122" s="523">
        <f t="shared" si="38"/>
        <v>0.99975116376381123</v>
      </c>
      <c r="S122" s="839"/>
      <c r="T122" s="839">
        <f t="shared" si="53"/>
        <v>0.90909090909090917</v>
      </c>
      <c r="U122" s="839">
        <f>Passby_Length_Adj!J126/ITE_LUC_Rates!P122</f>
        <v>1.0226666666666666</v>
      </c>
      <c r="V122" s="839">
        <f>8.21*Passby_Length_Adj!H126/ITE_LUC_Rates!O122</f>
        <v>0.6321703221250049</v>
      </c>
      <c r="W122" s="839">
        <f t="shared" si="54"/>
        <v>0.58772683281197435</v>
      </c>
      <c r="X122" s="111"/>
      <c r="Y122" s="814">
        <f>FEE_3_Out!S131</f>
        <v>978.67652852846447</v>
      </c>
      <c r="Z122" s="814">
        <f>FEE_3_Out!H131</f>
        <v>1001.4346384132293</v>
      </c>
      <c r="AA122" s="807">
        <f t="shared" si="51"/>
        <v>12.948936</v>
      </c>
      <c r="AB122" s="807">
        <f>FEE_3_Out!Q131*2</f>
        <v>7.4790765377740875</v>
      </c>
      <c r="AC122" s="826">
        <f t="shared" si="39"/>
        <v>-0.42241767680571685</v>
      </c>
      <c r="AD122" s="808">
        <f t="shared" si="40"/>
        <v>-9.0909090909090828E-2</v>
      </c>
      <c r="AE122" s="808">
        <f t="shared" si="41"/>
        <v>-0.33150858589662602</v>
      </c>
      <c r="AF122" s="811">
        <f t="shared" si="42"/>
        <v>-0.547548312047762</v>
      </c>
      <c r="AG122" s="811">
        <f t="shared" si="43"/>
        <v>-0.53702701626533744</v>
      </c>
      <c r="AH122" s="811"/>
      <c r="AI122" s="811"/>
      <c r="AJ122" s="111">
        <v>120</v>
      </c>
      <c r="AK122" s="111"/>
      <c r="AL122" s="874"/>
      <c r="AM122" s="871">
        <f t="shared" si="44"/>
        <v>0</v>
      </c>
      <c r="AN122" s="111"/>
      <c r="AO122" s="111"/>
      <c r="AP122" s="111"/>
      <c r="AQ122" s="111"/>
      <c r="AR122" s="111"/>
      <c r="AS122" s="111"/>
      <c r="AT122" s="111"/>
      <c r="AU122" s="111"/>
      <c r="AV122" s="111"/>
      <c r="AW122" s="111"/>
      <c r="AX122" s="111"/>
      <c r="AY122" s="111"/>
      <c r="AZ122" s="111"/>
      <c r="BA122" s="111"/>
      <c r="BB122" s="111"/>
      <c r="BC122" s="111"/>
      <c r="BD122" s="111"/>
      <c r="BE122" s="111"/>
      <c r="BF122" s="239"/>
      <c r="BG122" s="239"/>
      <c r="BH122" s="239"/>
      <c r="BI122" s="239"/>
    </row>
    <row r="123" spans="1:61" x14ac:dyDescent="0.3">
      <c r="A123" s="515">
        <v>932</v>
      </c>
      <c r="B123" s="516" t="s">
        <v>485</v>
      </c>
      <c r="C123" s="103" t="s">
        <v>112</v>
      </c>
      <c r="D123" s="517" t="str">
        <f t="shared" si="55"/>
        <v>✓</v>
      </c>
      <c r="E123" s="517" t="str">
        <f t="shared" si="56"/>
        <v>✓</v>
      </c>
      <c r="F123" s="518">
        <v>158.37</v>
      </c>
      <c r="G123" s="520">
        <v>112.18</v>
      </c>
      <c r="H123" s="863">
        <v>107.2</v>
      </c>
      <c r="I123" s="520"/>
      <c r="J123" s="520"/>
      <c r="K123" s="520"/>
      <c r="L123" s="520"/>
      <c r="M123" s="617">
        <f t="shared" si="36"/>
        <v>51864.470140615194</v>
      </c>
      <c r="N123" s="239"/>
      <c r="O123" s="110">
        <v>4</v>
      </c>
      <c r="P123" s="521">
        <v>0.5</v>
      </c>
      <c r="Q123" s="522">
        <v>51864.5</v>
      </c>
      <c r="R123" s="523">
        <f t="shared" si="38"/>
        <v>1.0000005757194612</v>
      </c>
      <c r="S123" s="839"/>
      <c r="T123" s="839">
        <f t="shared" si="53"/>
        <v>0.70834122624234386</v>
      </c>
      <c r="U123" s="839">
        <f>Passby_Length_Adj!J127/ITE_LUC_Rates!P123</f>
        <v>1.4159999999999999</v>
      </c>
      <c r="V123" s="839">
        <f>8.21*Passby_Length_Adj!H127/ITE_LUC_Rates!O123</f>
        <v>0.9828436555891239</v>
      </c>
      <c r="W123" s="839">
        <f t="shared" si="54"/>
        <v>0.98580317116958316</v>
      </c>
      <c r="X123" s="111"/>
      <c r="Y123" s="814">
        <f>FEE_3_Out!S132</f>
        <v>39350.365301615835</v>
      </c>
      <c r="Z123" s="814">
        <f>FEE_3_Out!H132</f>
        <v>40265.417324868446</v>
      </c>
      <c r="AA123" s="807">
        <f t="shared" si="51"/>
        <v>310.40519999999998</v>
      </c>
      <c r="AB123" s="807">
        <f>FEE_3_Out!Q132*2</f>
        <v>300.71671824261472</v>
      </c>
      <c r="AC123" s="826">
        <f t="shared" si="39"/>
        <v>-3.1212369371986237E-2</v>
      </c>
      <c r="AD123" s="808">
        <f t="shared" si="40"/>
        <v>-0.29165877375765614</v>
      </c>
      <c r="AE123" s="808">
        <f t="shared" si="41"/>
        <v>0.26044640438566991</v>
      </c>
      <c r="AF123" s="811">
        <f t="shared" si="42"/>
        <v>-0.24128516997916039</v>
      </c>
      <c r="AG123" s="811">
        <f t="shared" si="43"/>
        <v>-0.22364204176520652</v>
      </c>
      <c r="AH123" s="811"/>
      <c r="AI123" s="811"/>
      <c r="AJ123" s="111">
        <v>121</v>
      </c>
      <c r="AK123" s="111"/>
      <c r="AL123" s="874"/>
      <c r="AM123" s="871">
        <f t="shared" si="44"/>
        <v>4.4392939917988976E-2</v>
      </c>
      <c r="AN123" s="111"/>
      <c r="AO123" s="111"/>
      <c r="AP123" s="111"/>
      <c r="AQ123" s="111"/>
      <c r="AR123" s="111"/>
      <c r="AS123" s="111"/>
      <c r="AT123" s="111"/>
      <c r="AU123" s="111"/>
      <c r="AV123" s="111"/>
      <c r="AW123" s="111"/>
      <c r="AX123" s="111"/>
      <c r="AY123" s="111"/>
      <c r="AZ123" s="111"/>
      <c r="BA123" s="111"/>
      <c r="BB123" s="111"/>
      <c r="BC123" s="111"/>
      <c r="BD123" s="111"/>
      <c r="BE123" s="111"/>
      <c r="BF123" s="239"/>
      <c r="BG123" s="239"/>
      <c r="BH123" s="239"/>
      <c r="BI123" s="239"/>
    </row>
    <row r="124" spans="1:61" x14ac:dyDescent="0.3">
      <c r="A124" s="515">
        <v>932</v>
      </c>
      <c r="B124" s="516" t="s">
        <v>485</v>
      </c>
      <c r="C124" s="103" t="s">
        <v>356</v>
      </c>
      <c r="D124" s="517" t="str">
        <f t="shared" si="55"/>
        <v>✓</v>
      </c>
      <c r="E124" s="517" t="str">
        <f t="shared" si="56"/>
        <v>✓</v>
      </c>
      <c r="F124" s="518">
        <v>4.83</v>
      </c>
      <c r="G124" s="520">
        <v>4.37</v>
      </c>
      <c r="H124" s="863">
        <v>4.37</v>
      </c>
      <c r="I124" s="520"/>
      <c r="J124" s="520"/>
      <c r="K124" s="520"/>
      <c r="L124" s="520"/>
      <c r="M124" s="617">
        <f t="shared" si="36"/>
        <v>1581.7730048568001</v>
      </c>
      <c r="N124" s="239"/>
      <c r="O124" s="110">
        <v>4</v>
      </c>
      <c r="P124" s="521">
        <v>0.5</v>
      </c>
      <c r="Q124" s="522">
        <v>1581.08</v>
      </c>
      <c r="R124" s="523">
        <f t="shared" si="38"/>
        <v>0.99956188096858889</v>
      </c>
      <c r="S124" s="839"/>
      <c r="T124" s="839">
        <f t="shared" si="53"/>
        <v>0.90476190476190477</v>
      </c>
      <c r="U124" s="839">
        <f>Passby_Length_Adj!J128/ITE_LUC_Rates!P124</f>
        <v>1.4159999999999999</v>
      </c>
      <c r="V124" s="839">
        <f>8.21*Passby_Length_Adj!H128/ITE_LUC_Rates!O124</f>
        <v>0.9828436555891239</v>
      </c>
      <c r="W124" s="839">
        <f t="shared" si="54"/>
        <v>1.2591631290461804</v>
      </c>
      <c r="X124" s="111"/>
      <c r="Y124" s="814">
        <f>FEE_3_Out!S133</f>
        <v>1532.9033372086044</v>
      </c>
      <c r="Z124" s="814">
        <f>FEE_3_Out!H133</f>
        <v>1568.5494179860505</v>
      </c>
      <c r="AA124" s="807">
        <f t="shared" si="51"/>
        <v>9.4667999999999992</v>
      </c>
      <c r="AB124" s="807">
        <f>FEE_3_Out!Q133*2</f>
        <v>11.714495085757058</v>
      </c>
      <c r="AC124" s="826">
        <f t="shared" si="39"/>
        <v>0.23742923540764127</v>
      </c>
      <c r="AD124" s="808">
        <f t="shared" si="40"/>
        <v>-9.5238095238095233E-2</v>
      </c>
      <c r="AE124" s="808">
        <f t="shared" si="41"/>
        <v>0.3326673306457365</v>
      </c>
      <c r="AF124" s="811">
        <f t="shared" si="42"/>
        <v>-3.0470730634373666E-2</v>
      </c>
      <c r="AG124" s="811">
        <f t="shared" si="43"/>
        <v>-7.9253307953737195E-3</v>
      </c>
      <c r="AH124" s="811"/>
      <c r="AI124" s="811"/>
      <c r="AJ124" s="111">
        <v>122</v>
      </c>
      <c r="AK124" s="111"/>
      <c r="AL124" s="874"/>
      <c r="AM124" s="871">
        <f t="shared" si="44"/>
        <v>0</v>
      </c>
      <c r="AN124" s="111"/>
      <c r="AO124" s="111"/>
      <c r="AP124" s="111"/>
      <c r="AQ124" s="111"/>
      <c r="AR124" s="111"/>
      <c r="AS124" s="111"/>
      <c r="AT124" s="111"/>
      <c r="AU124" s="111"/>
      <c r="AV124" s="111"/>
      <c r="AW124" s="111"/>
      <c r="AX124" s="111"/>
      <c r="AY124" s="111"/>
      <c r="AZ124" s="111"/>
      <c r="BA124" s="111"/>
      <c r="BB124" s="111"/>
      <c r="BC124" s="111"/>
      <c r="BD124" s="111"/>
      <c r="BE124" s="111"/>
      <c r="BF124" s="239"/>
      <c r="BG124" s="239"/>
      <c r="BH124" s="239"/>
      <c r="BI124" s="239"/>
    </row>
    <row r="125" spans="1:61" x14ac:dyDescent="0.3">
      <c r="A125" s="515">
        <v>933</v>
      </c>
      <c r="B125" s="516" t="s">
        <v>486</v>
      </c>
      <c r="C125" s="103" t="s">
        <v>112</v>
      </c>
      <c r="D125" s="517" t="str">
        <f t="shared" si="55"/>
        <v>✓</v>
      </c>
      <c r="E125" s="517" t="str">
        <f t="shared" si="56"/>
        <v>✓</v>
      </c>
      <c r="F125" s="518">
        <v>716</v>
      </c>
      <c r="G125" s="520">
        <v>346.23</v>
      </c>
      <c r="H125" s="863">
        <v>450.49</v>
      </c>
      <c r="I125" s="520"/>
      <c r="J125" s="520"/>
      <c r="K125" s="520"/>
      <c r="L125" s="520"/>
      <c r="M125" s="617">
        <f t="shared" si="36"/>
        <v>73275.716322299995</v>
      </c>
      <c r="N125" s="239"/>
      <c r="O125" s="110">
        <v>1.25</v>
      </c>
      <c r="P125" s="521">
        <v>0.5</v>
      </c>
      <c r="Q125" s="522">
        <v>73276.3</v>
      </c>
      <c r="R125" s="523">
        <f t="shared" si="38"/>
        <v>1.0000079654997496</v>
      </c>
      <c r="S125" s="839"/>
      <c r="T125" s="839">
        <f t="shared" si="53"/>
        <v>0.48356145251396648</v>
      </c>
      <c r="U125" s="839">
        <f>Passby_Length_Adj!J129/ITE_LUC_Rates!P125</f>
        <v>1.1579999999999999</v>
      </c>
      <c r="V125" s="839">
        <f>8.21*Passby_Length_Adj!H129/ITE_LUC_Rates!O125</f>
        <v>2.0338972809667673</v>
      </c>
      <c r="W125" s="839">
        <f t="shared" si="54"/>
        <v>1.1389095865533594</v>
      </c>
      <c r="X125" s="111"/>
      <c r="Y125" s="814">
        <f>FEE_3_Out!S134</f>
        <v>64230.001676841719</v>
      </c>
      <c r="Z125" s="814">
        <f>FEE_3_Out!H134</f>
        <v>65723.603897238369</v>
      </c>
      <c r="AA125" s="807">
        <f t="shared" si="51"/>
        <v>438.55</v>
      </c>
      <c r="AB125" s="807">
        <f>FEE_3_Out!Q134*2</f>
        <v>490.84767495625647</v>
      </c>
      <c r="AC125" s="826">
        <f t="shared" si="39"/>
        <v>0.11925133954225631</v>
      </c>
      <c r="AD125" s="808">
        <f t="shared" si="40"/>
        <v>-0.51643854748603357</v>
      </c>
      <c r="AE125" s="808">
        <f t="shared" si="41"/>
        <v>0.63568988702828988</v>
      </c>
      <c r="AF125" s="811">
        <f t="shared" si="42"/>
        <v>-0.12345462752838621</v>
      </c>
      <c r="AG125" s="811">
        <f t="shared" si="43"/>
        <v>-0.1030714719870085</v>
      </c>
      <c r="AH125" s="811"/>
      <c r="AI125" s="811"/>
      <c r="AJ125" s="111">
        <v>123</v>
      </c>
      <c r="AK125" s="111"/>
      <c r="AL125" s="874"/>
      <c r="AM125" s="871">
        <f t="shared" si="44"/>
        <v>-0.30112930710799174</v>
      </c>
      <c r="AN125" s="111"/>
      <c r="AO125" s="111"/>
      <c r="AP125" s="111"/>
      <c r="AQ125" s="111"/>
      <c r="AR125" s="111"/>
      <c r="AS125" s="111"/>
      <c r="AT125" s="111"/>
      <c r="AU125" s="111"/>
      <c r="AV125" s="111"/>
      <c r="AW125" s="111"/>
      <c r="AX125" s="111"/>
      <c r="AY125" s="111"/>
      <c r="AZ125" s="111"/>
      <c r="BA125" s="111"/>
      <c r="BB125" s="111"/>
      <c r="BC125" s="111"/>
      <c r="BD125" s="111"/>
      <c r="BE125" s="111"/>
      <c r="BF125" s="239"/>
      <c r="BG125" s="239"/>
      <c r="BH125" s="239"/>
      <c r="BI125" s="239"/>
    </row>
    <row r="126" spans="1:61" x14ac:dyDescent="0.3">
      <c r="A126" s="515">
        <v>934</v>
      </c>
      <c r="B126" s="516" t="s">
        <v>363</v>
      </c>
      <c r="C126" s="103" t="s">
        <v>112</v>
      </c>
      <c r="D126" s="517" t="str">
        <f t="shared" si="55"/>
        <v>✓</v>
      </c>
      <c r="E126" s="517" t="str">
        <f t="shared" si="56"/>
        <v>✓</v>
      </c>
      <c r="F126" s="518">
        <v>496.12</v>
      </c>
      <c r="G126" s="520">
        <v>470.95</v>
      </c>
      <c r="H126" s="863">
        <v>467.48</v>
      </c>
      <c r="I126" s="520"/>
      <c r="J126" s="520"/>
      <c r="K126" s="520"/>
      <c r="L126" s="520"/>
      <c r="M126" s="617">
        <f t="shared" si="36"/>
        <v>50773.112265110998</v>
      </c>
      <c r="N126" s="239"/>
      <c r="O126" s="110">
        <v>1.25</v>
      </c>
      <c r="P126" s="521">
        <v>0.5</v>
      </c>
      <c r="Q126" s="522">
        <v>50772.9</v>
      </c>
      <c r="R126" s="523">
        <f t="shared" si="38"/>
        <v>0.9999958193401679</v>
      </c>
      <c r="S126" s="839"/>
      <c r="T126" s="839">
        <f t="shared" si="53"/>
        <v>0.94926630653874056</v>
      </c>
      <c r="U126" s="839">
        <f>Passby_Length_Adj!J130/ITE_LUC_Rates!P126</f>
        <v>1.1579999999999999</v>
      </c>
      <c r="V126" s="839">
        <f>8.21*Passby_Length_Adj!H130/ITE_LUC_Rates!O126</f>
        <v>2.0338972809667673</v>
      </c>
      <c r="W126" s="839">
        <f t="shared" si="54"/>
        <v>2.2357623650281466</v>
      </c>
      <c r="X126" s="111"/>
      <c r="Y126" s="814">
        <f>FEE_3_Out!S135</f>
        <v>87367.123847467315</v>
      </c>
      <c r="Z126" s="814">
        <f>FEE_3_Out!H135</f>
        <v>89398.755900425764</v>
      </c>
      <c r="AA126" s="807">
        <f t="shared" si="51"/>
        <v>303.87349999999998</v>
      </c>
      <c r="AB126" s="807">
        <f>FEE_3_Out!Q135*2</f>
        <v>667.66228380166069</v>
      </c>
      <c r="AC126" s="826">
        <f t="shared" si="39"/>
        <v>1.197171796164064</v>
      </c>
      <c r="AD126" s="808">
        <f t="shared" si="40"/>
        <v>-5.0733693461259444E-2</v>
      </c>
      <c r="AE126" s="808">
        <f t="shared" si="41"/>
        <v>1.2479054896253234</v>
      </c>
      <c r="AF126" s="811">
        <f t="shared" si="42"/>
        <v>0.72074322812892921</v>
      </c>
      <c r="AG126" s="811">
        <f t="shared" si="43"/>
        <v>0.76075733118308708</v>
      </c>
      <c r="AH126" s="811"/>
      <c r="AI126" s="811"/>
      <c r="AJ126" s="111">
        <v>124</v>
      </c>
      <c r="AK126" s="111"/>
      <c r="AL126" s="874"/>
      <c r="AM126" s="871">
        <f t="shared" si="44"/>
        <v>7.3680857840534462E-3</v>
      </c>
      <c r="AN126" s="111"/>
      <c r="AO126" s="111"/>
      <c r="AP126" s="111"/>
      <c r="AQ126" s="111"/>
      <c r="AR126" s="111"/>
      <c r="AS126" s="111"/>
      <c r="AT126" s="111"/>
      <c r="AU126" s="111"/>
      <c r="AV126" s="111"/>
      <c r="AW126" s="111"/>
      <c r="AX126" s="111"/>
      <c r="AY126" s="111"/>
      <c r="AZ126" s="111"/>
      <c r="BA126" s="111"/>
      <c r="BB126" s="111"/>
      <c r="BC126" s="111"/>
      <c r="BD126" s="111"/>
      <c r="BE126" s="111"/>
      <c r="BF126" s="239"/>
      <c r="BG126" s="239"/>
      <c r="BH126" s="239"/>
      <c r="BI126" s="239"/>
    </row>
    <row r="127" spans="1:61" x14ac:dyDescent="0.3">
      <c r="A127" s="515">
        <v>937</v>
      </c>
      <c r="B127" s="516" t="s">
        <v>487</v>
      </c>
      <c r="C127" s="103" t="s">
        <v>112</v>
      </c>
      <c r="D127" s="517" t="str">
        <f t="shared" si="55"/>
        <v>✓</v>
      </c>
      <c r="E127" s="517" t="str">
        <f t="shared" si="56"/>
        <v>✓</v>
      </c>
      <c r="F127" s="518">
        <v>818.58</v>
      </c>
      <c r="G127" s="520">
        <v>820.38</v>
      </c>
      <c r="H127" s="863">
        <v>533.57000000000005</v>
      </c>
      <c r="I127" s="520"/>
      <c r="J127" s="520"/>
      <c r="K127" s="520"/>
      <c r="L127" s="520"/>
      <c r="M127" s="617">
        <f t="shared" si="36"/>
        <v>58641.65517734053</v>
      </c>
      <c r="N127" s="239"/>
      <c r="O127" s="110">
        <v>1.25</v>
      </c>
      <c r="P127" s="521">
        <v>0.35</v>
      </c>
      <c r="Q127" s="522">
        <v>58641.2</v>
      </c>
      <c r="R127" s="523">
        <f t="shared" si="38"/>
        <v>0.99999223798613535</v>
      </c>
      <c r="S127" s="839"/>
      <c r="T127" s="839">
        <f t="shared" si="53"/>
        <v>1.0021989298541376</v>
      </c>
      <c r="U127" s="839">
        <f>Passby_Length_Adj!J131/ITE_LUC_Rates!P127</f>
        <v>1.6542857142857144</v>
      </c>
      <c r="V127" s="839">
        <f>8.21*Passby_Length_Adj!H131/ITE_LUC_Rates!O127</f>
        <v>2.0338972809667673</v>
      </c>
      <c r="W127" s="839">
        <f t="shared" si="54"/>
        <v>3.3720458394402852</v>
      </c>
      <c r="X127" s="111"/>
      <c r="Y127" s="814">
        <f>FEE_3_Out!S136</f>
        <v>152190.76560565922</v>
      </c>
      <c r="Z127" s="814">
        <f>FEE_3_Out!H136</f>
        <v>155729.80436477601</v>
      </c>
      <c r="AA127" s="807">
        <f t="shared" si="51"/>
        <v>350.96617499999996</v>
      </c>
      <c r="AB127" s="807">
        <f>FEE_3_Out!Q136*2</f>
        <v>1163.0465747642133</v>
      </c>
      <c r="AC127" s="826">
        <f t="shared" si="39"/>
        <v>2.3138423517998947</v>
      </c>
      <c r="AD127" s="808">
        <f t="shared" si="40"/>
        <v>2.1989298541376101E-3</v>
      </c>
      <c r="AE127" s="808">
        <f t="shared" si="41"/>
        <v>2.3116434219457571</v>
      </c>
      <c r="AF127" s="811">
        <f t="shared" si="42"/>
        <v>1.5952873680221282</v>
      </c>
      <c r="AG127" s="811">
        <f t="shared" si="43"/>
        <v>1.6556380900250338</v>
      </c>
      <c r="AH127" s="811"/>
      <c r="AI127" s="811"/>
      <c r="AJ127" s="111">
        <v>125</v>
      </c>
      <c r="AK127" s="111"/>
      <c r="AL127" s="874"/>
      <c r="AM127" s="871">
        <f t="shared" si="44"/>
        <v>0.34960628001657762</v>
      </c>
      <c r="AN127" s="111"/>
      <c r="AO127" s="111"/>
      <c r="AP127" s="111"/>
      <c r="AQ127" s="111"/>
      <c r="AR127" s="111"/>
      <c r="AS127" s="111"/>
      <c r="AT127" s="111"/>
      <c r="AU127" s="111"/>
      <c r="AV127" s="111"/>
      <c r="AW127" s="111"/>
      <c r="AX127" s="111"/>
      <c r="AY127" s="111"/>
      <c r="AZ127" s="111"/>
      <c r="BA127" s="111"/>
      <c r="BB127" s="111"/>
      <c r="BC127" s="111"/>
      <c r="BD127" s="111"/>
      <c r="BE127" s="111"/>
      <c r="BF127" s="239"/>
      <c r="BG127" s="239"/>
      <c r="BH127" s="239"/>
      <c r="BI127" s="239"/>
    </row>
    <row r="128" spans="1:61" ht="17.25" thickBot="1" x14ac:dyDescent="0.35">
      <c r="A128" s="541">
        <v>944</v>
      </c>
      <c r="B128" s="542" t="s">
        <v>488</v>
      </c>
      <c r="C128" s="543" t="s">
        <v>368</v>
      </c>
      <c r="D128" s="544" t="str">
        <f t="shared" si="55"/>
        <v>✓</v>
      </c>
      <c r="E128" s="544" t="str">
        <f t="shared" si="55"/>
        <v>✓</v>
      </c>
      <c r="F128" s="545">
        <v>168.56</v>
      </c>
      <c r="G128" s="546">
        <v>172.01</v>
      </c>
      <c r="H128" s="864">
        <v>172.01</v>
      </c>
      <c r="I128" s="546"/>
      <c r="J128" s="546"/>
      <c r="K128" s="546"/>
      <c r="L128" s="546"/>
      <c r="M128" s="622">
        <f>((F128*0.97*(P128/2)*O128)/8500)*(1951500-278800)*1.02*1.682</f>
        <v>12075.346816062598</v>
      </c>
      <c r="N128" s="623"/>
      <c r="O128" s="547">
        <v>1.25</v>
      </c>
      <c r="P128" s="548">
        <v>0.35</v>
      </c>
      <c r="Q128" s="549">
        <v>12075.078</v>
      </c>
      <c r="R128" s="550">
        <f t="shared" si="38"/>
        <v>0.99997773843959159</v>
      </c>
      <c r="S128" s="839"/>
      <c r="T128" s="839">
        <f t="shared" si="53"/>
        <v>1.0204674893213099</v>
      </c>
      <c r="U128" s="839">
        <f>Passby_Length_Adj!J132/ITE_LUC_Rates!P128</f>
        <v>1.9342857142857146</v>
      </c>
      <c r="V128" s="839">
        <f>8.21*Passby_Length_Adj!H132/ITE_LUC_Rates!O128</f>
        <v>2.1628761329305144</v>
      </c>
      <c r="W128" s="839">
        <f t="shared" si="54"/>
        <v>4.2692486116750423</v>
      </c>
      <c r="X128" s="111"/>
      <c r="Y128" s="814">
        <f>FEE_3_Out!S137</f>
        <v>39677.077060926589</v>
      </c>
      <c r="Z128" s="814">
        <f>FEE_3_Out!H137</f>
        <v>40599.726428043388</v>
      </c>
      <c r="AA128" s="807">
        <f t="shared" si="51"/>
        <v>72.270099999999985</v>
      </c>
      <c r="AB128" s="807">
        <f>FEE_3_Out!Q137*2</f>
        <v>303.21345969134444</v>
      </c>
      <c r="AC128" s="826">
        <f t="shared" si="39"/>
        <v>3.1955588783099032</v>
      </c>
      <c r="AD128" s="808">
        <f t="shared" si="40"/>
        <v>2.0467489321309928E-2</v>
      </c>
      <c r="AE128" s="808">
        <f t="shared" si="41"/>
        <v>3.1750913889885934</v>
      </c>
      <c r="AF128" s="811">
        <f t="shared" si="42"/>
        <v>2.2858650735777104</v>
      </c>
      <c r="AG128" s="811">
        <f t="shared" si="43"/>
        <v>2.3622744654770256</v>
      </c>
      <c r="AH128" s="811"/>
      <c r="AI128" s="811"/>
      <c r="AJ128" s="111">
        <v>126</v>
      </c>
      <c r="AK128" s="111"/>
      <c r="AL128" s="874"/>
      <c r="AM128" s="871">
        <f t="shared" si="44"/>
        <v>0</v>
      </c>
      <c r="AN128" s="111"/>
      <c r="AO128" s="111"/>
      <c r="AP128" s="111"/>
      <c r="AQ128" s="111"/>
      <c r="AR128" s="111"/>
      <c r="AS128" s="111"/>
      <c r="AT128" s="111"/>
      <c r="AU128" s="111"/>
      <c r="AV128" s="111"/>
      <c r="AW128" s="111"/>
      <c r="AX128" s="111"/>
      <c r="AY128" s="111"/>
      <c r="AZ128" s="111"/>
      <c r="BA128" s="111"/>
      <c r="BB128" s="111"/>
      <c r="BC128" s="111"/>
      <c r="BD128" s="111"/>
      <c r="BE128" s="111"/>
      <c r="BF128" s="239"/>
      <c r="BG128" s="239"/>
      <c r="BH128" s="239"/>
      <c r="BI128" s="239"/>
    </row>
    <row r="129" spans="1:57" x14ac:dyDescent="0.3">
      <c r="A129" s="239"/>
      <c r="B129" s="239"/>
      <c r="C129" s="239"/>
      <c r="D129" s="239"/>
      <c r="E129" s="239"/>
      <c r="G129" s="239"/>
      <c r="H129" s="865"/>
      <c r="I129" s="239"/>
      <c r="J129" s="239"/>
      <c r="K129" s="239"/>
      <c r="L129" s="239"/>
      <c r="M129" s="624"/>
      <c r="N129" s="239"/>
      <c r="O129" s="110"/>
      <c r="P129" s="111"/>
      <c r="R129" s="132"/>
      <c r="S129" s="132"/>
      <c r="T129" s="132"/>
      <c r="U129" s="132"/>
      <c r="V129" s="132"/>
      <c r="W129" s="132"/>
      <c r="X129" s="111"/>
      <c r="Y129" s="111"/>
      <c r="Z129" s="111"/>
      <c r="AJ129" s="111">
        <v>127</v>
      </c>
      <c r="AK129" s="111"/>
      <c r="AL129" s="874"/>
      <c r="AM129" s="870"/>
      <c r="AN129" s="111"/>
      <c r="AO129" s="111"/>
      <c r="AP129" s="111"/>
      <c r="AQ129" s="111"/>
      <c r="AR129" s="111"/>
      <c r="AS129" s="111"/>
      <c r="AT129" s="111"/>
      <c r="AU129" s="111"/>
      <c r="AV129" s="111"/>
      <c r="AW129" s="111"/>
      <c r="AX129" s="111"/>
      <c r="AY129" s="111"/>
      <c r="AZ129" s="111"/>
      <c r="BA129" s="111"/>
      <c r="BB129" s="111"/>
      <c r="BC129" s="111"/>
      <c r="BD129" s="111"/>
      <c r="BE129" s="111"/>
    </row>
    <row r="130" spans="1:57" x14ac:dyDescent="0.3">
      <c r="A130" s="551" t="s">
        <v>489</v>
      </c>
      <c r="B130" s="239" t="s">
        <v>490</v>
      </c>
      <c r="C130" s="239"/>
      <c r="D130" s="239"/>
      <c r="E130" s="239"/>
      <c r="G130" s="239"/>
      <c r="H130" s="865"/>
      <c r="I130" s="239"/>
      <c r="J130" s="239"/>
      <c r="K130" s="239"/>
      <c r="L130" s="239"/>
      <c r="M130" s="624"/>
      <c r="N130" s="239"/>
      <c r="O130" s="239"/>
      <c r="P130" s="624"/>
      <c r="Q130" s="239"/>
      <c r="R130" s="110"/>
      <c r="S130" s="110"/>
      <c r="T130" s="110"/>
      <c r="U130" s="110"/>
      <c r="V130" s="110"/>
      <c r="W130" s="110"/>
      <c r="X130" s="111"/>
      <c r="Y130" s="111"/>
      <c r="Z130" s="111"/>
      <c r="AJ130" s="111">
        <v>128</v>
      </c>
      <c r="AK130" s="111"/>
      <c r="AL130" s="874"/>
      <c r="AM130" s="870"/>
      <c r="AN130" s="111"/>
      <c r="AO130" s="111"/>
      <c r="AP130" s="111"/>
      <c r="AQ130" s="111"/>
      <c r="AR130" s="111"/>
      <c r="AS130" s="111"/>
      <c r="AT130" s="111"/>
      <c r="AU130" s="111"/>
      <c r="AV130" s="111"/>
      <c r="AW130" s="111"/>
      <c r="AX130" s="111"/>
      <c r="AY130" s="111"/>
      <c r="AZ130" s="111"/>
      <c r="BA130" s="111"/>
      <c r="BB130" s="111"/>
      <c r="BC130" s="111"/>
      <c r="BD130" s="111"/>
      <c r="BE130" s="111"/>
    </row>
    <row r="131" spans="1:57" x14ac:dyDescent="0.3">
      <c r="A131" s="343" t="s">
        <v>491</v>
      </c>
      <c r="B131" s="239" t="s">
        <v>492</v>
      </c>
      <c r="C131" s="239"/>
      <c r="D131" s="239"/>
      <c r="E131" s="239"/>
      <c r="G131" s="239"/>
      <c r="H131" s="865"/>
      <c r="I131" s="239"/>
      <c r="J131" s="239"/>
      <c r="K131" s="239"/>
      <c r="L131" s="239"/>
      <c r="M131" s="624"/>
      <c r="N131" s="239"/>
      <c r="O131" s="239"/>
      <c r="P131" s="624"/>
      <c r="Q131" s="239"/>
      <c r="R131" s="110"/>
      <c r="S131" s="110"/>
      <c r="T131" s="110"/>
      <c r="U131" s="110"/>
      <c r="V131" s="110"/>
      <c r="W131" s="110"/>
      <c r="X131" s="111"/>
      <c r="Y131" s="111"/>
      <c r="Z131" s="111"/>
      <c r="AJ131" s="111">
        <v>129</v>
      </c>
      <c r="AK131" s="111"/>
      <c r="AL131" s="874"/>
      <c r="AM131" s="870"/>
      <c r="AN131" s="111"/>
      <c r="AO131" s="111"/>
      <c r="AP131" s="111"/>
      <c r="AQ131" s="111"/>
      <c r="AR131" s="111"/>
      <c r="AS131" s="111"/>
      <c r="AT131" s="111"/>
      <c r="AU131" s="111"/>
      <c r="AV131" s="111"/>
      <c r="AW131" s="111"/>
      <c r="AX131" s="111"/>
      <c r="AY131" s="111"/>
      <c r="AZ131" s="111"/>
      <c r="BA131" s="111"/>
      <c r="BB131" s="111"/>
      <c r="BC131" s="111"/>
      <c r="BD131" s="111"/>
      <c r="BE131" s="111"/>
    </row>
    <row r="132" spans="1:57" x14ac:dyDescent="0.3">
      <c r="A132" s="239"/>
      <c r="B132" s="239"/>
      <c r="C132" s="239"/>
      <c r="D132" s="239"/>
      <c r="E132" s="239"/>
      <c r="G132" s="239"/>
      <c r="H132" s="865"/>
      <c r="I132" s="239"/>
      <c r="J132" s="239"/>
      <c r="K132" s="239"/>
      <c r="L132" s="239"/>
      <c r="M132" s="624"/>
      <c r="N132" s="239"/>
      <c r="O132" s="239"/>
      <c r="P132" s="624"/>
      <c r="Q132" s="239"/>
      <c r="R132" s="110"/>
      <c r="S132" s="110"/>
      <c r="T132" s="110"/>
      <c r="U132" s="110"/>
      <c r="V132" s="110"/>
      <c r="W132" s="110"/>
      <c r="X132" s="111"/>
      <c r="Y132" s="111"/>
      <c r="Z132" s="111"/>
      <c r="AJ132" s="111"/>
      <c r="AK132" s="111"/>
      <c r="AL132" s="874"/>
      <c r="AM132" s="870"/>
      <c r="AN132" s="111"/>
      <c r="AO132" s="111"/>
      <c r="AP132" s="111"/>
      <c r="AQ132" s="111"/>
      <c r="AR132" s="111"/>
      <c r="AS132" s="111"/>
      <c r="AT132" s="111"/>
      <c r="AU132" s="111"/>
      <c r="AV132" s="111"/>
      <c r="AW132" s="111"/>
      <c r="AX132" s="111"/>
      <c r="AY132" s="111"/>
      <c r="AZ132" s="111"/>
      <c r="BA132" s="111"/>
      <c r="BB132" s="111"/>
      <c r="BC132" s="111"/>
      <c r="BD132" s="111"/>
      <c r="BE132" s="111"/>
    </row>
    <row r="133" spans="1:57" x14ac:dyDescent="0.3">
      <c r="A133" s="239"/>
      <c r="B133" s="239"/>
      <c r="C133" s="239"/>
      <c r="D133" s="239"/>
      <c r="E133" s="239"/>
      <c r="G133" s="239"/>
      <c r="H133" s="865"/>
      <c r="I133" s="239"/>
      <c r="J133" s="239"/>
      <c r="K133" s="239"/>
      <c r="L133" s="239"/>
      <c r="M133" s="624"/>
      <c r="N133" s="239"/>
      <c r="O133" s="239"/>
      <c r="P133" s="624"/>
      <c r="Q133" s="239"/>
      <c r="R133" s="110"/>
      <c r="S133" s="110"/>
      <c r="T133" s="110"/>
      <c r="U133" s="110"/>
      <c r="V133" s="110"/>
      <c r="W133" s="110"/>
      <c r="X133" s="111"/>
      <c r="Y133" s="111"/>
      <c r="Z133" s="111"/>
      <c r="AJ133" s="111"/>
      <c r="AK133" s="111"/>
      <c r="AL133" s="874"/>
      <c r="AM133" s="870"/>
      <c r="AN133" s="111"/>
      <c r="AO133" s="111"/>
      <c r="AP133" s="111"/>
      <c r="AQ133" s="111"/>
      <c r="AR133" s="111"/>
      <c r="AS133" s="111"/>
      <c r="AT133" s="111"/>
      <c r="AU133" s="111"/>
      <c r="AV133" s="111"/>
      <c r="AW133" s="111"/>
      <c r="AX133" s="111"/>
      <c r="AY133" s="111"/>
      <c r="AZ133" s="111"/>
      <c r="BA133" s="111"/>
      <c r="BB133" s="111"/>
      <c r="BC133" s="111"/>
      <c r="BD133" s="111"/>
      <c r="BE133" s="111"/>
    </row>
    <row r="134" spans="1:57" x14ac:dyDescent="0.3">
      <c r="A134" s="239"/>
      <c r="B134" s="239"/>
      <c r="C134" s="239"/>
      <c r="D134" s="239"/>
      <c r="E134" s="239"/>
      <c r="G134" s="239"/>
      <c r="H134" s="865"/>
      <c r="I134" s="239"/>
      <c r="J134" s="239"/>
      <c r="K134" s="239"/>
      <c r="L134" s="239"/>
      <c r="M134" s="624"/>
      <c r="N134" s="239"/>
      <c r="O134" s="239"/>
      <c r="P134" s="624"/>
      <c r="Q134" s="239"/>
      <c r="R134" s="110"/>
      <c r="S134" s="110"/>
      <c r="T134" s="110"/>
      <c r="U134" s="110"/>
      <c r="V134" s="110"/>
      <c r="W134" s="110"/>
      <c r="X134" s="111"/>
      <c r="Y134" s="111"/>
      <c r="Z134" s="111"/>
      <c r="AJ134" s="111"/>
      <c r="AK134" s="111"/>
      <c r="AL134" s="874"/>
      <c r="AM134" s="870"/>
      <c r="AN134" s="111"/>
      <c r="AO134" s="111"/>
      <c r="AP134" s="111"/>
      <c r="AQ134" s="111"/>
      <c r="AR134" s="111"/>
      <c r="AS134" s="111"/>
      <c r="AT134" s="111"/>
      <c r="AU134" s="111"/>
      <c r="AV134" s="111"/>
      <c r="AW134" s="111"/>
      <c r="AX134" s="111"/>
      <c r="AY134" s="111"/>
      <c r="AZ134" s="111"/>
      <c r="BA134" s="111"/>
      <c r="BB134" s="111"/>
      <c r="BC134" s="111"/>
      <c r="BD134" s="111"/>
      <c r="BE134" s="111"/>
    </row>
    <row r="135" spans="1:57" x14ac:dyDescent="0.3">
      <c r="A135" s="239"/>
      <c r="B135" s="239"/>
      <c r="C135" s="239"/>
      <c r="D135" s="239"/>
      <c r="E135" s="239"/>
      <c r="G135" s="239"/>
      <c r="H135" s="865"/>
      <c r="I135" s="239"/>
      <c r="J135" s="239"/>
      <c r="K135" s="239"/>
      <c r="L135" s="239"/>
      <c r="M135" s="624"/>
      <c r="N135" s="239"/>
      <c r="O135" s="239"/>
      <c r="P135" s="624"/>
      <c r="Q135" s="239"/>
      <c r="R135" s="110"/>
      <c r="S135" s="110"/>
      <c r="T135" s="110"/>
      <c r="U135" s="110"/>
      <c r="V135" s="110"/>
      <c r="W135" s="110"/>
      <c r="X135" s="111"/>
      <c r="Y135" s="111"/>
      <c r="Z135" s="111"/>
      <c r="AJ135" s="111"/>
      <c r="AK135" s="111"/>
      <c r="AL135" s="874"/>
      <c r="AM135" s="870"/>
      <c r="AN135" s="111"/>
      <c r="AO135" s="111"/>
      <c r="AP135" s="111"/>
      <c r="AQ135" s="111"/>
      <c r="AR135" s="111"/>
      <c r="AS135" s="111"/>
      <c r="AT135" s="111"/>
      <c r="AU135" s="111"/>
      <c r="AV135" s="111"/>
      <c r="AW135" s="111"/>
      <c r="AX135" s="111"/>
      <c r="AY135" s="111"/>
      <c r="AZ135" s="111"/>
      <c r="BA135" s="111"/>
      <c r="BB135" s="111"/>
      <c r="BC135" s="111"/>
      <c r="BD135" s="111"/>
      <c r="BE135" s="111"/>
    </row>
    <row r="136" spans="1:57" x14ac:dyDescent="0.3">
      <c r="A136" s="239"/>
      <c r="B136" s="239"/>
      <c r="C136" s="239"/>
      <c r="D136" s="239"/>
      <c r="E136" s="239"/>
      <c r="G136" s="239"/>
      <c r="H136" s="865"/>
      <c r="I136" s="239"/>
      <c r="J136" s="239"/>
      <c r="K136" s="239"/>
      <c r="L136" s="239"/>
      <c r="M136" s="624"/>
      <c r="N136" s="239"/>
      <c r="O136" s="239"/>
      <c r="P136" s="624"/>
      <c r="Q136" s="239"/>
      <c r="R136" s="110"/>
      <c r="S136" s="110"/>
      <c r="T136" s="110"/>
      <c r="U136" s="110"/>
      <c r="V136" s="110"/>
      <c r="W136" s="110"/>
      <c r="X136" s="111"/>
      <c r="Y136" s="111"/>
      <c r="Z136" s="111"/>
      <c r="AJ136" s="111"/>
      <c r="AK136" s="111"/>
      <c r="AL136" s="874"/>
      <c r="AM136" s="870"/>
      <c r="AN136" s="111"/>
      <c r="AO136" s="111"/>
      <c r="AP136" s="111"/>
      <c r="AQ136" s="111"/>
      <c r="AR136" s="111"/>
      <c r="AS136" s="111"/>
      <c r="AT136" s="111"/>
      <c r="AU136" s="111"/>
      <c r="AV136" s="111"/>
      <c r="AW136" s="111"/>
      <c r="AX136" s="111"/>
      <c r="AY136" s="111"/>
      <c r="AZ136" s="111"/>
      <c r="BA136" s="111"/>
      <c r="BB136" s="111"/>
      <c r="BC136" s="111"/>
      <c r="BD136" s="111"/>
      <c r="BE136" s="111"/>
    </row>
    <row r="137" spans="1:57" x14ac:dyDescent="0.3">
      <c r="A137" s="239"/>
      <c r="B137" s="239"/>
      <c r="C137" s="239"/>
      <c r="D137" s="239"/>
      <c r="E137" s="239"/>
      <c r="G137" s="239"/>
      <c r="H137" s="865"/>
      <c r="I137" s="239"/>
      <c r="J137" s="239"/>
      <c r="K137" s="239"/>
      <c r="L137" s="239"/>
      <c r="M137" s="624"/>
      <c r="N137" s="239"/>
      <c r="O137" s="239"/>
      <c r="P137" s="624"/>
      <c r="Q137" s="239"/>
      <c r="R137" s="110"/>
      <c r="S137" s="110"/>
      <c r="T137" s="110"/>
      <c r="U137" s="110"/>
      <c r="V137" s="110"/>
      <c r="W137" s="110"/>
      <c r="X137" s="111"/>
      <c r="Y137" s="111"/>
      <c r="Z137" s="111"/>
      <c r="AJ137" s="111"/>
      <c r="AK137" s="111"/>
      <c r="AL137" s="874"/>
      <c r="AM137" s="870"/>
      <c r="AN137" s="111"/>
      <c r="AO137" s="111"/>
      <c r="AP137" s="111"/>
      <c r="AQ137" s="111"/>
      <c r="AR137" s="111"/>
      <c r="AS137" s="111"/>
      <c r="AT137" s="111"/>
      <c r="AU137" s="111"/>
      <c r="AV137" s="111"/>
      <c r="AW137" s="111"/>
      <c r="AX137" s="111"/>
      <c r="AY137" s="111"/>
      <c r="AZ137" s="111"/>
      <c r="BA137" s="111"/>
      <c r="BB137" s="111"/>
      <c r="BC137" s="111"/>
      <c r="BD137" s="111"/>
      <c r="BE137" s="111"/>
    </row>
    <row r="138" spans="1:57" x14ac:dyDescent="0.3">
      <c r="A138" s="239"/>
      <c r="B138" s="239"/>
      <c r="C138" s="239"/>
      <c r="D138" s="239"/>
      <c r="E138" s="239"/>
      <c r="G138" s="239"/>
      <c r="H138" s="865"/>
      <c r="I138" s="239"/>
      <c r="J138" s="239"/>
      <c r="K138" s="239"/>
      <c r="L138" s="239"/>
      <c r="M138" s="624"/>
      <c r="N138" s="239"/>
      <c r="O138" s="239"/>
      <c r="P138" s="624"/>
      <c r="Q138" s="239"/>
      <c r="R138" s="110"/>
      <c r="S138" s="110"/>
      <c r="T138" s="110"/>
      <c r="U138" s="110"/>
      <c r="V138" s="110"/>
      <c r="W138" s="110"/>
      <c r="X138" s="111"/>
      <c r="Y138" s="111"/>
      <c r="Z138" s="111"/>
      <c r="AJ138" s="111"/>
      <c r="AK138" s="111"/>
      <c r="AL138" s="874"/>
      <c r="AM138" s="870"/>
      <c r="AN138" s="111"/>
      <c r="AO138" s="111"/>
      <c r="AP138" s="111"/>
      <c r="AQ138" s="111"/>
      <c r="AR138" s="111"/>
      <c r="AS138" s="111"/>
      <c r="AT138" s="111"/>
      <c r="AU138" s="111"/>
      <c r="AV138" s="111"/>
      <c r="AW138" s="111"/>
      <c r="AX138" s="111"/>
      <c r="AY138" s="111"/>
      <c r="AZ138" s="111"/>
      <c r="BA138" s="111"/>
      <c r="BB138" s="111"/>
      <c r="BC138" s="111"/>
      <c r="BD138" s="111"/>
      <c r="BE138" s="111"/>
    </row>
    <row r="139" spans="1:57" x14ac:dyDescent="0.3">
      <c r="A139" s="239"/>
      <c r="B139" s="239"/>
      <c r="C139" s="239"/>
      <c r="D139" s="239"/>
      <c r="E139" s="239"/>
      <c r="G139" s="239"/>
      <c r="H139" s="865"/>
      <c r="I139" s="239"/>
      <c r="J139" s="239"/>
      <c r="K139" s="239"/>
      <c r="L139" s="239"/>
      <c r="M139" s="624"/>
      <c r="N139" s="239"/>
      <c r="O139" s="239"/>
      <c r="P139" s="624"/>
      <c r="Q139" s="239"/>
      <c r="R139" s="110"/>
      <c r="S139" s="110"/>
      <c r="T139" s="110"/>
      <c r="U139" s="110"/>
      <c r="V139" s="110"/>
      <c r="W139" s="110"/>
      <c r="X139" s="111"/>
      <c r="Y139" s="111"/>
      <c r="Z139" s="111"/>
      <c r="AJ139" s="111"/>
      <c r="AK139" s="111"/>
      <c r="AL139" s="874"/>
      <c r="AM139" s="870"/>
      <c r="AN139" s="111"/>
      <c r="AO139" s="111"/>
      <c r="AP139" s="111"/>
      <c r="AQ139" s="111"/>
      <c r="AR139" s="111"/>
      <c r="AS139" s="111"/>
      <c r="AT139" s="111"/>
      <c r="AU139" s="111"/>
      <c r="AV139" s="111"/>
      <c r="AW139" s="111"/>
      <c r="AX139" s="111"/>
      <c r="AY139" s="111"/>
      <c r="AZ139" s="111"/>
      <c r="BA139" s="111"/>
      <c r="BB139" s="111"/>
      <c r="BC139" s="111"/>
      <c r="BD139" s="111"/>
      <c r="BE139" s="111"/>
    </row>
    <row r="140" spans="1:57" x14ac:dyDescent="0.3">
      <c r="A140" s="239"/>
      <c r="B140" s="239"/>
      <c r="C140" s="239"/>
      <c r="D140" s="239"/>
      <c r="E140" s="239"/>
      <c r="G140" s="239"/>
      <c r="H140" s="865"/>
      <c r="I140" s="239"/>
      <c r="J140" s="239"/>
      <c r="K140" s="239"/>
      <c r="L140" s="239"/>
      <c r="M140" s="624"/>
      <c r="N140" s="239"/>
      <c r="P140" s="111"/>
      <c r="R140" s="132"/>
      <c r="S140" s="132"/>
      <c r="T140" s="132"/>
      <c r="U140" s="132"/>
      <c r="V140" s="132"/>
      <c r="W140" s="132"/>
      <c r="X140" s="111"/>
      <c r="Y140" s="111"/>
      <c r="Z140" s="111"/>
      <c r="AJ140" s="111"/>
      <c r="AK140" s="111"/>
      <c r="AL140" s="874"/>
      <c r="AM140" s="870"/>
      <c r="AN140" s="111"/>
      <c r="AO140" s="111"/>
      <c r="AP140" s="111"/>
      <c r="AQ140" s="111"/>
      <c r="AR140" s="111"/>
      <c r="AS140" s="111"/>
      <c r="AT140" s="111"/>
      <c r="AU140" s="111"/>
      <c r="AV140" s="111"/>
      <c r="AW140" s="111"/>
      <c r="AX140" s="111"/>
      <c r="AY140" s="111"/>
      <c r="AZ140" s="111"/>
      <c r="BA140" s="111"/>
      <c r="BB140" s="111"/>
      <c r="BC140" s="111"/>
      <c r="BD140" s="111"/>
      <c r="BE140" s="111"/>
    </row>
    <row r="141" spans="1:57" x14ac:dyDescent="0.3">
      <c r="A141" s="239"/>
      <c r="B141" s="239"/>
      <c r="C141" s="239"/>
      <c r="D141" s="239"/>
      <c r="E141" s="239"/>
      <c r="G141" s="239"/>
      <c r="H141" s="865"/>
      <c r="I141" s="239"/>
      <c r="J141" s="239"/>
      <c r="K141" s="239"/>
      <c r="L141" s="239"/>
      <c r="M141" s="624"/>
      <c r="N141" s="239"/>
      <c r="O141" s="110"/>
      <c r="P141" s="111"/>
      <c r="R141" s="132"/>
      <c r="S141" s="132"/>
      <c r="T141" s="132"/>
      <c r="U141" s="132"/>
      <c r="V141" s="132"/>
      <c r="W141" s="132"/>
      <c r="X141" s="111"/>
      <c r="Y141" s="111"/>
      <c r="Z141" s="111"/>
      <c r="AJ141" s="111"/>
      <c r="AK141" s="111"/>
      <c r="AL141" s="874"/>
      <c r="AM141" s="870"/>
      <c r="AN141" s="111"/>
      <c r="AO141" s="111"/>
      <c r="AP141" s="111"/>
      <c r="AQ141" s="111"/>
      <c r="AR141" s="111"/>
      <c r="AS141" s="111"/>
      <c r="AT141" s="111"/>
      <c r="AU141" s="111"/>
      <c r="AV141" s="111"/>
      <c r="AW141" s="111"/>
      <c r="AX141" s="111"/>
      <c r="AY141" s="111"/>
      <c r="AZ141" s="111"/>
      <c r="BA141" s="111"/>
      <c r="BB141" s="111"/>
      <c r="BC141" s="111"/>
      <c r="BD141" s="111"/>
      <c r="BE141" s="111"/>
    </row>
    <row r="142" spans="1:57" x14ac:dyDescent="0.3">
      <c r="A142" s="239"/>
      <c r="B142" s="239"/>
      <c r="C142" s="239"/>
      <c r="D142" s="239"/>
      <c r="E142" s="239"/>
      <c r="G142" s="239"/>
      <c r="H142" s="865"/>
      <c r="I142" s="239"/>
      <c r="J142" s="239"/>
      <c r="K142" s="239"/>
      <c r="L142" s="239"/>
      <c r="M142" s="624"/>
      <c r="N142" s="239"/>
      <c r="O142" s="110"/>
      <c r="P142" s="111"/>
      <c r="R142" s="132"/>
      <c r="S142" s="132"/>
      <c r="T142" s="132"/>
      <c r="U142" s="132"/>
      <c r="V142" s="132"/>
      <c r="W142" s="132"/>
      <c r="X142" s="111"/>
      <c r="Y142" s="111"/>
      <c r="Z142" s="111"/>
      <c r="AJ142" s="111"/>
      <c r="AK142" s="111"/>
      <c r="AL142" s="874"/>
      <c r="AM142" s="870"/>
      <c r="AN142" s="111"/>
      <c r="AO142" s="111"/>
      <c r="AP142" s="111"/>
      <c r="AQ142" s="111"/>
      <c r="AR142" s="111"/>
      <c r="AS142" s="111"/>
      <c r="AT142" s="111"/>
      <c r="AU142" s="111"/>
      <c r="AV142" s="111"/>
      <c r="AW142" s="111"/>
      <c r="AX142" s="111"/>
      <c r="AY142" s="111"/>
      <c r="AZ142" s="111"/>
      <c r="BA142" s="111"/>
      <c r="BB142" s="111"/>
      <c r="BC142" s="111"/>
      <c r="BD142" s="111"/>
      <c r="BE142" s="111"/>
    </row>
    <row r="143" spans="1:57" x14ac:dyDescent="0.3">
      <c r="A143" s="239"/>
      <c r="B143" s="239"/>
      <c r="C143" s="239"/>
      <c r="D143" s="239"/>
      <c r="E143" s="239"/>
      <c r="G143" s="239"/>
      <c r="H143" s="865"/>
      <c r="I143" s="239"/>
      <c r="J143" s="239"/>
      <c r="K143" s="239"/>
      <c r="L143" s="239"/>
      <c r="M143" s="624"/>
      <c r="N143" s="239"/>
      <c r="O143" s="110"/>
      <c r="P143" s="111"/>
      <c r="R143" s="132"/>
      <c r="S143" s="132"/>
      <c r="T143" s="132"/>
      <c r="U143" s="132"/>
      <c r="V143" s="132"/>
      <c r="W143" s="132"/>
      <c r="X143" s="111"/>
      <c r="Y143" s="111"/>
      <c r="Z143" s="111"/>
      <c r="AJ143" s="111"/>
      <c r="AK143" s="111"/>
      <c r="AL143" s="874"/>
      <c r="AM143" s="870"/>
      <c r="AN143" s="111"/>
      <c r="AO143" s="111"/>
      <c r="AP143" s="111"/>
      <c r="AQ143" s="111"/>
      <c r="AR143" s="111"/>
      <c r="AS143" s="111"/>
      <c r="AT143" s="111"/>
      <c r="AU143" s="111"/>
      <c r="AV143" s="111"/>
      <c r="AW143" s="111"/>
      <c r="AX143" s="111"/>
      <c r="AY143" s="111"/>
      <c r="AZ143" s="111"/>
      <c r="BA143" s="111"/>
      <c r="BB143" s="111"/>
      <c r="BC143" s="111"/>
      <c r="BD143" s="111"/>
      <c r="BE143" s="111"/>
    </row>
    <row r="144" spans="1:57" x14ac:dyDescent="0.3">
      <c r="A144" s="239"/>
      <c r="B144" s="239"/>
      <c r="C144" s="239"/>
      <c r="D144" s="239"/>
      <c r="E144" s="239"/>
      <c r="G144" s="239"/>
      <c r="H144" s="865"/>
      <c r="I144" s="239"/>
      <c r="J144" s="239"/>
      <c r="K144" s="239"/>
      <c r="L144" s="239"/>
      <c r="M144" s="624"/>
      <c r="N144" s="239"/>
      <c r="O144" s="110"/>
      <c r="P144" s="111"/>
      <c r="R144" s="132"/>
      <c r="S144" s="132"/>
      <c r="T144" s="132"/>
      <c r="U144" s="132"/>
      <c r="V144" s="132"/>
      <c r="W144" s="132"/>
      <c r="X144" s="111"/>
      <c r="Y144" s="111"/>
      <c r="Z144" s="111"/>
      <c r="AA144" s="111"/>
      <c r="AB144" s="111"/>
      <c r="AC144" s="111"/>
      <c r="AD144" s="111"/>
      <c r="AE144" s="111"/>
      <c r="AG144" s="810"/>
      <c r="AH144" s="810"/>
      <c r="AI144" s="810"/>
      <c r="AJ144" s="111"/>
      <c r="AK144" s="111"/>
      <c r="AL144" s="874"/>
      <c r="AM144" s="870"/>
      <c r="AN144" s="111"/>
      <c r="AO144" s="111"/>
      <c r="AP144" s="111"/>
      <c r="AQ144" s="111"/>
      <c r="AR144" s="111"/>
      <c r="AS144" s="111"/>
      <c r="AT144" s="111"/>
      <c r="AU144" s="111"/>
      <c r="AV144" s="111"/>
      <c r="AW144" s="111"/>
      <c r="AX144" s="111"/>
      <c r="AY144" s="111"/>
      <c r="AZ144" s="111"/>
      <c r="BA144" s="111"/>
      <c r="BB144" s="111"/>
      <c r="BC144" s="111"/>
      <c r="BD144" s="111"/>
      <c r="BE144" s="111"/>
    </row>
    <row r="145" spans="15:57" x14ac:dyDescent="0.3">
      <c r="O145" s="110"/>
      <c r="P145" s="111"/>
      <c r="R145" s="132"/>
      <c r="S145" s="132"/>
      <c r="T145" s="132"/>
      <c r="U145" s="132"/>
      <c r="V145" s="132"/>
      <c r="W145" s="132"/>
      <c r="X145" s="111"/>
      <c r="Y145" s="111"/>
      <c r="Z145" s="111"/>
      <c r="AA145" s="111"/>
      <c r="AB145" s="111"/>
      <c r="AC145" s="111"/>
      <c r="AD145" s="111"/>
      <c r="AE145" s="111"/>
      <c r="AG145" s="810"/>
      <c r="AH145" s="810"/>
      <c r="AI145" s="810"/>
      <c r="AJ145" s="111"/>
      <c r="AK145" s="111"/>
      <c r="AL145" s="874"/>
      <c r="AM145" s="870"/>
      <c r="AN145" s="111"/>
      <c r="AO145" s="111"/>
      <c r="AP145" s="111"/>
      <c r="AQ145" s="111"/>
      <c r="AR145" s="111"/>
      <c r="AS145" s="111"/>
      <c r="AT145" s="111"/>
      <c r="AU145" s="111"/>
      <c r="AV145" s="111"/>
      <c r="AW145" s="111"/>
      <c r="AX145" s="111"/>
      <c r="AY145" s="111"/>
      <c r="AZ145" s="111"/>
      <c r="BA145" s="111"/>
      <c r="BB145" s="111"/>
      <c r="BC145" s="111"/>
      <c r="BD145" s="111"/>
      <c r="BE145" s="111"/>
    </row>
    <row r="146" spans="15:57" x14ac:dyDescent="0.3">
      <c r="O146" s="110"/>
      <c r="P146" s="111"/>
      <c r="R146" s="132"/>
      <c r="S146" s="132"/>
      <c r="T146" s="132"/>
      <c r="U146" s="132"/>
      <c r="V146" s="132"/>
      <c r="W146" s="132"/>
      <c r="X146" s="111"/>
      <c r="Y146" s="111"/>
      <c r="Z146" s="111"/>
      <c r="AA146" s="111"/>
      <c r="AB146" s="111"/>
      <c r="AC146" s="111"/>
      <c r="AD146" s="111"/>
      <c r="AE146" s="111"/>
      <c r="AG146" s="810"/>
      <c r="AH146" s="810"/>
      <c r="AI146" s="810"/>
      <c r="AJ146" s="111"/>
      <c r="AK146" s="111"/>
      <c r="AL146" s="874"/>
      <c r="AM146" s="870"/>
      <c r="AN146" s="111"/>
      <c r="AO146" s="111"/>
      <c r="AP146" s="111"/>
      <c r="AQ146" s="111"/>
      <c r="AR146" s="111"/>
      <c r="AS146" s="111"/>
      <c r="AT146" s="111"/>
      <c r="AU146" s="111"/>
      <c r="AV146" s="111"/>
      <c r="AW146" s="111"/>
      <c r="AX146" s="111"/>
      <c r="AY146" s="111"/>
      <c r="AZ146" s="111"/>
      <c r="BA146" s="111"/>
      <c r="BB146" s="111"/>
      <c r="BC146" s="111"/>
      <c r="BD146" s="111"/>
      <c r="BE146" s="111"/>
    </row>
    <row r="147" spans="15:57" x14ac:dyDescent="0.3">
      <c r="O147" s="110"/>
      <c r="P147" s="111"/>
      <c r="R147" s="132"/>
      <c r="S147" s="132"/>
      <c r="T147" s="132"/>
      <c r="U147" s="132"/>
      <c r="V147" s="132"/>
      <c r="W147" s="132"/>
      <c r="X147" s="111"/>
      <c r="Y147" s="111"/>
      <c r="Z147" s="111"/>
      <c r="AA147" s="111"/>
      <c r="AB147" s="111"/>
      <c r="AC147" s="111"/>
      <c r="AD147" s="111"/>
      <c r="AE147" s="111"/>
      <c r="AG147" s="810"/>
      <c r="AH147" s="810"/>
      <c r="AI147" s="810"/>
      <c r="AJ147" s="111"/>
      <c r="AK147" s="111"/>
      <c r="AL147" s="874"/>
      <c r="AM147" s="870"/>
      <c r="AN147" s="111"/>
      <c r="AO147" s="111"/>
      <c r="AP147" s="111"/>
      <c r="AQ147" s="111"/>
      <c r="AR147" s="111"/>
      <c r="AS147" s="111"/>
      <c r="AT147" s="111"/>
      <c r="AU147" s="111"/>
      <c r="AV147" s="111"/>
      <c r="AW147" s="111"/>
      <c r="AX147" s="111"/>
      <c r="AY147" s="111"/>
      <c r="AZ147" s="111"/>
      <c r="BA147" s="111"/>
      <c r="BB147" s="111"/>
      <c r="BC147" s="111"/>
      <c r="BD147" s="111"/>
      <c r="BE147" s="111"/>
    </row>
    <row r="148" spans="15:57" x14ac:dyDescent="0.3">
      <c r="O148" s="110"/>
      <c r="P148" s="111"/>
      <c r="R148" s="132"/>
      <c r="S148" s="132"/>
      <c r="T148" s="132"/>
      <c r="U148" s="132"/>
      <c r="V148" s="132"/>
      <c r="W148" s="132"/>
      <c r="X148" s="111"/>
      <c r="Y148" s="111"/>
      <c r="Z148" s="111"/>
      <c r="AA148" s="111"/>
      <c r="AB148" s="111"/>
      <c r="AC148" s="111"/>
      <c r="AD148" s="111"/>
      <c r="AE148" s="111"/>
      <c r="AG148" s="810"/>
      <c r="AH148" s="810"/>
      <c r="AI148" s="810"/>
      <c r="AJ148" s="111"/>
      <c r="AK148" s="111"/>
      <c r="AL148" s="874"/>
      <c r="AM148" s="870"/>
      <c r="AN148" s="111"/>
      <c r="AO148" s="111"/>
      <c r="AP148" s="111"/>
      <c r="AQ148" s="111"/>
      <c r="AR148" s="111"/>
      <c r="AS148" s="111"/>
      <c r="AT148" s="111"/>
      <c r="AU148" s="111"/>
      <c r="AV148" s="111"/>
      <c r="AW148" s="111"/>
      <c r="AX148" s="111"/>
      <c r="AY148" s="111"/>
      <c r="AZ148" s="111"/>
      <c r="BA148" s="111"/>
      <c r="BB148" s="111"/>
      <c r="BC148" s="111"/>
      <c r="BD148" s="111"/>
      <c r="BE148" s="111"/>
    </row>
    <row r="149" spans="15:57" x14ac:dyDescent="0.3">
      <c r="O149" s="110"/>
      <c r="P149" s="111"/>
      <c r="R149" s="132"/>
      <c r="S149" s="132"/>
      <c r="T149" s="132"/>
      <c r="U149" s="132"/>
      <c r="V149" s="132"/>
      <c r="W149" s="132"/>
      <c r="X149" s="111"/>
      <c r="Y149" s="111"/>
      <c r="Z149" s="111"/>
      <c r="AA149" s="111"/>
      <c r="AB149" s="111"/>
      <c r="AC149" s="111"/>
      <c r="AD149" s="111"/>
      <c r="AE149" s="111"/>
      <c r="AG149" s="810"/>
      <c r="AH149" s="810"/>
      <c r="AI149" s="810"/>
      <c r="AJ149" s="111"/>
      <c r="AK149" s="111"/>
      <c r="AL149" s="874"/>
      <c r="AM149" s="870"/>
      <c r="AN149" s="111"/>
      <c r="AO149" s="111"/>
      <c r="AP149" s="111"/>
      <c r="AQ149" s="111"/>
      <c r="AR149" s="111"/>
      <c r="AS149" s="111"/>
      <c r="AT149" s="111"/>
      <c r="AU149" s="111"/>
      <c r="AV149" s="111"/>
      <c r="AW149" s="111"/>
      <c r="AX149" s="111"/>
      <c r="AY149" s="111"/>
      <c r="AZ149" s="111"/>
      <c r="BA149" s="111"/>
      <c r="BB149" s="111"/>
      <c r="BC149" s="111"/>
      <c r="BD149" s="111"/>
      <c r="BE149" s="111"/>
    </row>
    <row r="150" spans="15:57" x14ac:dyDescent="0.3">
      <c r="O150" s="110"/>
      <c r="P150" s="111"/>
      <c r="R150" s="132"/>
      <c r="S150" s="132"/>
      <c r="T150" s="132"/>
      <c r="U150" s="132"/>
      <c r="V150" s="132"/>
      <c r="W150" s="132"/>
      <c r="X150" s="111"/>
      <c r="Y150" s="111"/>
      <c r="Z150" s="111"/>
      <c r="AA150" s="111"/>
      <c r="AB150" s="111"/>
      <c r="AC150" s="111"/>
      <c r="AD150" s="111"/>
      <c r="AE150" s="111"/>
      <c r="AG150" s="810"/>
      <c r="AH150" s="810"/>
      <c r="AI150" s="810"/>
      <c r="AJ150" s="111"/>
      <c r="AK150" s="111"/>
      <c r="AL150" s="874"/>
      <c r="AM150" s="870"/>
      <c r="AN150" s="111"/>
      <c r="AO150" s="111"/>
      <c r="AP150" s="111"/>
      <c r="AQ150" s="111"/>
      <c r="AR150" s="111"/>
      <c r="AS150" s="111"/>
      <c r="AT150" s="111"/>
      <c r="AU150" s="111"/>
      <c r="AV150" s="111"/>
      <c r="AW150" s="111"/>
      <c r="AX150" s="111"/>
      <c r="AY150" s="111"/>
      <c r="AZ150" s="111"/>
      <c r="BA150" s="111"/>
      <c r="BB150" s="111"/>
      <c r="BC150" s="111"/>
      <c r="BD150" s="111"/>
      <c r="BE150" s="111"/>
    </row>
    <row r="151" spans="15:57" x14ac:dyDescent="0.3">
      <c r="O151" s="110"/>
      <c r="P151" s="111"/>
      <c r="R151" s="132"/>
      <c r="S151" s="132"/>
      <c r="T151" s="132"/>
      <c r="U151" s="132"/>
      <c r="V151" s="132"/>
      <c r="W151" s="132"/>
      <c r="X151" s="111"/>
      <c r="Y151" s="111"/>
      <c r="Z151" s="111"/>
      <c r="AA151" s="111"/>
      <c r="AB151" s="111"/>
      <c r="AC151" s="111"/>
      <c r="AD151" s="111"/>
      <c r="AE151" s="111"/>
      <c r="AG151" s="810"/>
      <c r="AH151" s="810"/>
      <c r="AI151" s="810"/>
      <c r="AJ151" s="111"/>
      <c r="AK151" s="111"/>
      <c r="AL151" s="874"/>
      <c r="AM151" s="870"/>
      <c r="AN151" s="111"/>
      <c r="AO151" s="111"/>
      <c r="AP151" s="111"/>
      <c r="AQ151" s="111"/>
      <c r="AR151" s="111"/>
      <c r="AS151" s="111"/>
      <c r="AT151" s="111"/>
      <c r="AU151" s="111"/>
      <c r="AV151" s="111"/>
      <c r="AW151" s="111"/>
      <c r="AX151" s="111"/>
      <c r="AY151" s="111"/>
      <c r="AZ151" s="111"/>
      <c r="BA151" s="111"/>
      <c r="BB151" s="111"/>
      <c r="BC151" s="111"/>
      <c r="BD151" s="111"/>
      <c r="BE151" s="111"/>
    </row>
    <row r="152" spans="15:57" x14ac:dyDescent="0.3">
      <c r="O152" s="110"/>
      <c r="P152" s="111"/>
      <c r="R152" s="132"/>
      <c r="S152" s="132"/>
      <c r="T152" s="132"/>
      <c r="U152" s="132"/>
      <c r="V152" s="132"/>
      <c r="W152" s="132"/>
      <c r="X152" s="111"/>
      <c r="Y152" s="111"/>
      <c r="Z152" s="111"/>
      <c r="AA152" s="111"/>
      <c r="AB152" s="111"/>
      <c r="AC152" s="111"/>
      <c r="AD152" s="111"/>
      <c r="AE152" s="111"/>
      <c r="AG152" s="810"/>
      <c r="AH152" s="810"/>
      <c r="AI152" s="810"/>
      <c r="AJ152" s="111"/>
      <c r="AK152" s="111"/>
      <c r="AL152" s="874"/>
      <c r="AM152" s="870"/>
      <c r="AN152" s="111"/>
      <c r="AO152" s="111"/>
      <c r="AP152" s="111"/>
      <c r="AQ152" s="111"/>
      <c r="AR152" s="111"/>
      <c r="AS152" s="111"/>
      <c r="AT152" s="111"/>
      <c r="AU152" s="111"/>
      <c r="AV152" s="111"/>
      <c r="AW152" s="111"/>
      <c r="AX152" s="111"/>
      <c r="AY152" s="111"/>
      <c r="AZ152" s="111"/>
      <c r="BA152" s="111"/>
      <c r="BB152" s="111"/>
      <c r="BC152" s="111"/>
      <c r="BD152" s="111"/>
      <c r="BE152" s="111"/>
    </row>
    <row r="153" spans="15:57" x14ac:dyDescent="0.3">
      <c r="O153" s="110"/>
      <c r="P153" s="111"/>
      <c r="R153" s="132"/>
      <c r="S153" s="132"/>
      <c r="T153" s="132"/>
      <c r="U153" s="132"/>
      <c r="V153" s="132"/>
      <c r="W153" s="132"/>
      <c r="X153" s="111"/>
      <c r="Y153" s="111"/>
      <c r="Z153" s="111"/>
      <c r="AA153" s="111"/>
      <c r="AB153" s="111"/>
      <c r="AC153" s="111"/>
      <c r="AD153" s="111"/>
      <c r="AE153" s="111"/>
      <c r="AG153" s="810"/>
      <c r="AH153" s="810"/>
      <c r="AI153" s="810"/>
      <c r="AJ153" s="111"/>
      <c r="AK153" s="111"/>
      <c r="AL153" s="874"/>
      <c r="AM153" s="870"/>
      <c r="AN153" s="111"/>
      <c r="AO153" s="111"/>
      <c r="AP153" s="111"/>
      <c r="AQ153" s="111"/>
      <c r="AR153" s="111"/>
      <c r="AS153" s="111"/>
      <c r="AT153" s="111"/>
      <c r="AU153" s="111"/>
      <c r="AV153" s="111"/>
      <c r="AW153" s="111"/>
      <c r="AX153" s="111"/>
      <c r="AY153" s="111"/>
      <c r="AZ153" s="111"/>
      <c r="BA153" s="111"/>
      <c r="BB153" s="111"/>
      <c r="BC153" s="111"/>
      <c r="BD153" s="111"/>
      <c r="BE153" s="111"/>
    </row>
    <row r="154" spans="15:57" x14ac:dyDescent="0.3">
      <c r="O154" s="110"/>
      <c r="P154" s="111"/>
      <c r="R154" s="132"/>
      <c r="S154" s="132"/>
      <c r="T154" s="132"/>
      <c r="U154" s="132"/>
      <c r="V154" s="132"/>
      <c r="W154" s="132"/>
      <c r="X154" s="111"/>
      <c r="Y154" s="111"/>
      <c r="Z154" s="111"/>
      <c r="AA154" s="111"/>
      <c r="AB154" s="111"/>
      <c r="AC154" s="111"/>
      <c r="AD154" s="111"/>
      <c r="AE154" s="111"/>
      <c r="AG154" s="810"/>
      <c r="AH154" s="810"/>
      <c r="AI154" s="810"/>
      <c r="AJ154" s="111"/>
      <c r="AK154" s="111"/>
      <c r="AL154" s="874"/>
      <c r="AM154" s="870"/>
      <c r="AN154" s="111"/>
      <c r="AO154" s="111"/>
      <c r="AP154" s="111"/>
      <c r="AQ154" s="111"/>
      <c r="AR154" s="111"/>
      <c r="AS154" s="111"/>
      <c r="AT154" s="111"/>
      <c r="AU154" s="111"/>
      <c r="AV154" s="111"/>
      <c r="AW154" s="111"/>
      <c r="AX154" s="111"/>
      <c r="AY154" s="111"/>
      <c r="AZ154" s="111"/>
      <c r="BA154" s="111"/>
      <c r="BB154" s="111"/>
      <c r="BC154" s="111"/>
      <c r="BD154" s="111"/>
      <c r="BE154" s="111"/>
    </row>
    <row r="155" spans="15:57" x14ac:dyDescent="0.3">
      <c r="O155" s="110"/>
      <c r="P155" s="111"/>
      <c r="R155" s="132"/>
      <c r="S155" s="132"/>
      <c r="T155" s="132"/>
      <c r="U155" s="132"/>
      <c r="V155" s="132"/>
      <c r="W155" s="132"/>
      <c r="X155" s="111"/>
      <c r="Y155" s="111"/>
      <c r="Z155" s="111"/>
      <c r="AA155" s="111"/>
      <c r="AB155" s="111"/>
      <c r="AC155" s="111"/>
      <c r="AD155" s="111"/>
      <c r="AE155" s="111"/>
      <c r="AG155" s="810"/>
      <c r="AH155" s="810"/>
      <c r="AI155" s="810"/>
      <c r="AJ155" s="111"/>
      <c r="AK155" s="111"/>
      <c r="AL155" s="874"/>
      <c r="AM155" s="870"/>
      <c r="AN155" s="111"/>
      <c r="AO155" s="111"/>
      <c r="AP155" s="111"/>
      <c r="AQ155" s="111"/>
      <c r="AR155" s="111"/>
      <c r="AS155" s="111"/>
      <c r="AT155" s="111"/>
      <c r="AU155" s="111"/>
      <c r="AV155" s="111"/>
      <c r="AW155" s="111"/>
      <c r="AX155" s="111"/>
      <c r="AY155" s="111"/>
      <c r="AZ155" s="111"/>
      <c r="BA155" s="111"/>
      <c r="BB155" s="111"/>
      <c r="BC155" s="111"/>
      <c r="BD155" s="111"/>
      <c r="BE155" s="111"/>
    </row>
    <row r="156" spans="15:57" x14ac:dyDescent="0.3">
      <c r="O156" s="110"/>
      <c r="P156" s="111"/>
      <c r="R156" s="132"/>
      <c r="S156" s="132"/>
      <c r="T156" s="132"/>
      <c r="U156" s="132"/>
      <c r="V156" s="132"/>
      <c r="W156" s="132"/>
      <c r="X156" s="111"/>
      <c r="Y156" s="111"/>
      <c r="Z156" s="111"/>
      <c r="AA156" s="111"/>
      <c r="AB156" s="111"/>
      <c r="AC156" s="111"/>
      <c r="AD156" s="111"/>
      <c r="AE156" s="111"/>
      <c r="AG156" s="810"/>
      <c r="AH156" s="810"/>
      <c r="AI156" s="810"/>
      <c r="AJ156" s="111"/>
      <c r="AK156" s="111"/>
      <c r="AL156" s="874"/>
      <c r="AM156" s="870"/>
      <c r="AN156" s="111"/>
      <c r="AO156" s="111"/>
      <c r="AP156" s="111"/>
      <c r="AQ156" s="111"/>
      <c r="AR156" s="111"/>
      <c r="AS156" s="111"/>
      <c r="AT156" s="111"/>
      <c r="AU156" s="111"/>
      <c r="AV156" s="111"/>
      <c r="AW156" s="111"/>
      <c r="AX156" s="111"/>
      <c r="AY156" s="111"/>
      <c r="AZ156" s="111"/>
      <c r="BA156" s="111"/>
      <c r="BB156" s="111"/>
      <c r="BC156" s="111"/>
      <c r="BD156" s="111"/>
      <c r="BE156" s="111"/>
    </row>
    <row r="157" spans="15:57" x14ac:dyDescent="0.3">
      <c r="O157" s="110"/>
      <c r="P157" s="111"/>
      <c r="R157" s="132"/>
      <c r="S157" s="132"/>
      <c r="T157" s="132"/>
      <c r="U157" s="132"/>
      <c r="V157" s="132"/>
      <c r="W157" s="132"/>
      <c r="X157" s="111"/>
      <c r="Y157" s="111"/>
      <c r="Z157" s="111"/>
      <c r="AA157" s="111"/>
      <c r="AB157" s="111"/>
      <c r="AC157" s="111"/>
      <c r="AD157" s="111"/>
      <c r="AE157" s="111"/>
      <c r="AG157" s="810"/>
      <c r="AH157" s="810"/>
      <c r="AI157" s="810"/>
      <c r="AJ157" s="111"/>
      <c r="AK157" s="111"/>
      <c r="AL157" s="874"/>
      <c r="AM157" s="870"/>
      <c r="AN157" s="111"/>
      <c r="AO157" s="111"/>
      <c r="AP157" s="111"/>
      <c r="AQ157" s="111"/>
      <c r="AR157" s="111"/>
      <c r="AS157" s="111"/>
      <c r="AT157" s="111"/>
      <c r="AU157" s="111"/>
      <c r="AV157" s="111"/>
      <c r="AW157" s="111"/>
      <c r="AX157" s="111"/>
      <c r="AY157" s="111"/>
      <c r="AZ157" s="111"/>
      <c r="BA157" s="111"/>
      <c r="BB157" s="111"/>
      <c r="BC157" s="111"/>
      <c r="BD157" s="111"/>
      <c r="BE157" s="111"/>
    </row>
    <row r="158" spans="15:57" x14ac:dyDescent="0.3">
      <c r="O158" s="110"/>
      <c r="P158" s="111"/>
      <c r="R158" s="132"/>
      <c r="S158" s="132"/>
      <c r="T158" s="132"/>
      <c r="U158" s="132"/>
      <c r="V158" s="132"/>
      <c r="W158" s="132"/>
      <c r="X158" s="111"/>
      <c r="Y158" s="111"/>
      <c r="Z158" s="111"/>
      <c r="AA158" s="111"/>
      <c r="AB158" s="111"/>
      <c r="AC158" s="111"/>
      <c r="AD158" s="111"/>
      <c r="AE158" s="111"/>
      <c r="AG158" s="810"/>
      <c r="AH158" s="810"/>
      <c r="AI158" s="810"/>
      <c r="AJ158" s="111"/>
      <c r="AK158" s="111"/>
      <c r="AL158" s="874"/>
      <c r="AM158" s="870"/>
      <c r="AN158" s="111"/>
      <c r="AO158" s="111"/>
      <c r="AP158" s="111"/>
      <c r="AQ158" s="111"/>
      <c r="AR158" s="111"/>
      <c r="AS158" s="111"/>
      <c r="AT158" s="111"/>
      <c r="AU158" s="111"/>
      <c r="AV158" s="111"/>
      <c r="AW158" s="111"/>
      <c r="AX158" s="111"/>
      <c r="AY158" s="111"/>
      <c r="AZ158" s="111"/>
      <c r="BA158" s="111"/>
      <c r="BB158" s="111"/>
      <c r="BC158" s="111"/>
      <c r="BD158" s="111"/>
      <c r="BE158" s="111"/>
    </row>
    <row r="159" spans="15:57" x14ac:dyDescent="0.3">
      <c r="O159" s="110"/>
      <c r="P159" s="111"/>
      <c r="R159" s="132"/>
      <c r="S159" s="132"/>
      <c r="T159" s="132"/>
      <c r="U159" s="132"/>
      <c r="V159" s="132"/>
      <c r="W159" s="132"/>
      <c r="X159" s="111"/>
      <c r="Y159" s="111"/>
      <c r="Z159" s="111"/>
      <c r="AA159" s="111"/>
      <c r="AB159" s="111"/>
      <c r="AC159" s="111"/>
      <c r="AD159" s="111"/>
      <c r="AE159" s="111"/>
      <c r="AG159" s="810"/>
      <c r="AH159" s="810"/>
      <c r="AI159" s="810"/>
      <c r="AJ159" s="111"/>
      <c r="AK159" s="111"/>
      <c r="AL159" s="874"/>
      <c r="AM159" s="870"/>
      <c r="AN159" s="111"/>
      <c r="AO159" s="111"/>
      <c r="AP159" s="111"/>
      <c r="AQ159" s="111"/>
      <c r="AR159" s="111"/>
      <c r="AS159" s="111"/>
      <c r="AT159" s="111"/>
      <c r="AU159" s="111"/>
      <c r="AV159" s="111"/>
      <c r="AW159" s="111"/>
      <c r="AX159" s="111"/>
      <c r="AY159" s="111"/>
      <c r="AZ159" s="111"/>
      <c r="BA159" s="111"/>
      <c r="BB159" s="111"/>
      <c r="BC159" s="111"/>
      <c r="BD159" s="111"/>
      <c r="BE159" s="111"/>
    </row>
    <row r="160" spans="15:57" x14ac:dyDescent="0.3">
      <c r="O160" s="110"/>
      <c r="P160" s="111"/>
      <c r="R160" s="132"/>
      <c r="S160" s="132"/>
      <c r="T160" s="132"/>
      <c r="U160" s="132"/>
      <c r="V160" s="132"/>
      <c r="W160" s="132"/>
      <c r="X160" s="111"/>
      <c r="Y160" s="111"/>
      <c r="Z160" s="111"/>
      <c r="AA160" s="111"/>
      <c r="AB160" s="111"/>
      <c r="AC160" s="111"/>
      <c r="AD160" s="111"/>
      <c r="AE160" s="111"/>
      <c r="AG160" s="810"/>
      <c r="AH160" s="810"/>
      <c r="AI160" s="810"/>
      <c r="AJ160" s="111"/>
      <c r="AK160" s="111"/>
      <c r="AL160" s="874"/>
      <c r="AM160" s="870"/>
      <c r="AN160" s="111"/>
      <c r="AO160" s="111"/>
      <c r="AP160" s="111"/>
      <c r="AQ160" s="111"/>
      <c r="AR160" s="111"/>
      <c r="AS160" s="111"/>
      <c r="AT160" s="111"/>
      <c r="AU160" s="111"/>
      <c r="AV160" s="111"/>
      <c r="AW160" s="111"/>
      <c r="AX160" s="111"/>
      <c r="AY160" s="111"/>
      <c r="AZ160" s="111"/>
      <c r="BA160" s="111"/>
      <c r="BB160" s="111"/>
      <c r="BC160" s="111"/>
      <c r="BD160" s="111"/>
      <c r="BE160" s="111"/>
    </row>
    <row r="161" spans="15:57" x14ac:dyDescent="0.3">
      <c r="O161" s="110"/>
      <c r="P161" s="111"/>
      <c r="R161" s="132"/>
      <c r="S161" s="132"/>
      <c r="T161" s="132"/>
      <c r="U161" s="132"/>
      <c r="V161" s="132"/>
      <c r="W161" s="132"/>
      <c r="X161" s="111"/>
      <c r="Y161" s="111"/>
      <c r="Z161" s="111"/>
      <c r="AA161" s="111"/>
      <c r="AB161" s="111"/>
      <c r="AC161" s="111"/>
      <c r="AD161" s="111"/>
      <c r="AE161" s="111"/>
      <c r="AG161" s="810"/>
      <c r="AH161" s="810"/>
      <c r="AI161" s="810"/>
      <c r="AJ161" s="111"/>
      <c r="AK161" s="111"/>
      <c r="AL161" s="874"/>
      <c r="AM161" s="870"/>
      <c r="AN161" s="111"/>
      <c r="AO161" s="111"/>
      <c r="AP161" s="111"/>
      <c r="AQ161" s="111"/>
      <c r="AR161" s="111"/>
      <c r="AS161" s="111"/>
      <c r="AT161" s="111"/>
      <c r="AU161" s="111"/>
      <c r="AV161" s="111"/>
      <c r="AW161" s="111"/>
      <c r="AX161" s="111"/>
      <c r="AY161" s="111"/>
      <c r="AZ161" s="111"/>
      <c r="BA161" s="111"/>
      <c r="BB161" s="111"/>
      <c r="BC161" s="111"/>
      <c r="BD161" s="111"/>
      <c r="BE161" s="111"/>
    </row>
    <row r="162" spans="15:57" x14ac:dyDescent="0.3">
      <c r="O162" s="110"/>
      <c r="P162" s="111"/>
      <c r="R162" s="132"/>
      <c r="S162" s="132"/>
      <c r="T162" s="132"/>
      <c r="U162" s="132"/>
      <c r="V162" s="132"/>
      <c r="W162" s="132"/>
      <c r="X162" s="111"/>
      <c r="Y162" s="111"/>
      <c r="Z162" s="111"/>
      <c r="AA162" s="111"/>
      <c r="AB162" s="111"/>
      <c r="AC162" s="111"/>
      <c r="AD162" s="111"/>
      <c r="AE162" s="111"/>
      <c r="AG162" s="810"/>
      <c r="AH162" s="810"/>
      <c r="AI162" s="810"/>
      <c r="AJ162" s="111"/>
      <c r="AK162" s="111"/>
      <c r="AL162" s="874"/>
      <c r="AM162" s="870"/>
      <c r="AN162" s="111"/>
      <c r="AO162" s="111"/>
      <c r="AP162" s="111"/>
      <c r="AQ162" s="111"/>
      <c r="AR162" s="111"/>
      <c r="AS162" s="111"/>
      <c r="AT162" s="111"/>
      <c r="AU162" s="111"/>
      <c r="AV162" s="111"/>
      <c r="AW162" s="111"/>
      <c r="AX162" s="111"/>
      <c r="AY162" s="111"/>
      <c r="AZ162" s="111"/>
      <c r="BA162" s="111"/>
      <c r="BB162" s="111"/>
      <c r="BC162" s="111"/>
      <c r="BD162" s="111"/>
      <c r="BE162" s="111"/>
    </row>
    <row r="163" spans="15:57" x14ac:dyDescent="0.3">
      <c r="O163" s="110"/>
      <c r="P163" s="111"/>
      <c r="R163" s="132"/>
      <c r="S163" s="132"/>
      <c r="T163" s="132"/>
      <c r="U163" s="132"/>
      <c r="V163" s="132"/>
      <c r="W163" s="132"/>
      <c r="X163" s="111"/>
      <c r="Y163" s="111"/>
      <c r="Z163" s="111"/>
      <c r="AA163" s="111"/>
      <c r="AB163" s="111"/>
      <c r="AC163" s="111"/>
      <c r="AD163" s="111"/>
      <c r="AE163" s="111"/>
      <c r="AG163" s="810"/>
      <c r="AH163" s="810"/>
      <c r="AI163" s="810"/>
      <c r="AJ163" s="111"/>
      <c r="AK163" s="111"/>
      <c r="AL163" s="874"/>
      <c r="AM163" s="870"/>
      <c r="AN163" s="111"/>
      <c r="AO163" s="111"/>
      <c r="AP163" s="111"/>
      <c r="AQ163" s="111"/>
      <c r="AR163" s="111"/>
      <c r="AS163" s="111"/>
      <c r="AT163" s="111"/>
      <c r="AU163" s="111"/>
      <c r="AV163" s="111"/>
      <c r="AW163" s="111"/>
      <c r="AX163" s="111"/>
      <c r="AY163" s="111"/>
      <c r="AZ163" s="111"/>
      <c r="BA163" s="111"/>
      <c r="BB163" s="111"/>
      <c r="BC163" s="111"/>
      <c r="BD163" s="111"/>
      <c r="BE163" s="111"/>
    </row>
    <row r="164" spans="15:57" x14ac:dyDescent="0.3">
      <c r="O164" s="110"/>
      <c r="P164" s="111"/>
      <c r="R164" s="132"/>
      <c r="S164" s="132"/>
      <c r="T164" s="132"/>
      <c r="U164" s="132"/>
      <c r="V164" s="132"/>
      <c r="W164" s="132"/>
      <c r="X164" s="111"/>
      <c r="Y164" s="111"/>
      <c r="Z164" s="111"/>
      <c r="AA164" s="111"/>
      <c r="AB164" s="111"/>
      <c r="AC164" s="111"/>
      <c r="AD164" s="111"/>
      <c r="AE164" s="111"/>
      <c r="AG164" s="810"/>
      <c r="AH164" s="810"/>
      <c r="AI164" s="810"/>
      <c r="AJ164" s="111"/>
      <c r="AK164" s="111"/>
      <c r="AL164" s="874"/>
      <c r="AM164" s="870"/>
      <c r="AN164" s="111"/>
      <c r="AO164" s="111"/>
      <c r="AP164" s="111"/>
      <c r="AQ164" s="111"/>
      <c r="AR164" s="111"/>
      <c r="AS164" s="111"/>
      <c r="AT164" s="111"/>
      <c r="AU164" s="111"/>
      <c r="AV164" s="111"/>
      <c r="AW164" s="111"/>
      <c r="AX164" s="111"/>
      <c r="AY164" s="111"/>
      <c r="AZ164" s="111"/>
      <c r="BA164" s="111"/>
      <c r="BB164" s="111"/>
      <c r="BC164" s="111"/>
      <c r="BD164" s="111"/>
      <c r="BE164" s="111"/>
    </row>
    <row r="165" spans="15:57" x14ac:dyDescent="0.3">
      <c r="O165" s="110"/>
      <c r="P165" s="111"/>
      <c r="R165" s="132"/>
      <c r="S165" s="132"/>
      <c r="T165" s="132"/>
      <c r="U165" s="132"/>
      <c r="V165" s="132"/>
      <c r="W165" s="132"/>
      <c r="X165" s="111"/>
      <c r="Y165" s="111"/>
      <c r="Z165" s="111"/>
      <c r="AA165" s="111"/>
      <c r="AB165" s="111"/>
      <c r="AC165" s="111"/>
      <c r="AD165" s="111"/>
      <c r="AE165" s="111"/>
      <c r="AG165" s="810"/>
      <c r="AH165" s="810"/>
      <c r="AI165" s="810"/>
      <c r="AJ165" s="111"/>
      <c r="AK165" s="111"/>
      <c r="AL165" s="874"/>
      <c r="AM165" s="870"/>
      <c r="AN165" s="111"/>
      <c r="AO165" s="111"/>
      <c r="AP165" s="111"/>
      <c r="AQ165" s="111"/>
      <c r="AR165" s="111"/>
      <c r="AS165" s="111"/>
      <c r="AT165" s="111"/>
      <c r="AU165" s="111"/>
      <c r="AV165" s="111"/>
      <c r="AW165" s="111"/>
      <c r="AX165" s="111"/>
      <c r="AY165" s="111"/>
      <c r="AZ165" s="111"/>
      <c r="BA165" s="111"/>
      <c r="BB165" s="111"/>
      <c r="BC165" s="111"/>
      <c r="BD165" s="111"/>
      <c r="BE165" s="111"/>
    </row>
    <row r="166" spans="15:57" x14ac:dyDescent="0.3">
      <c r="O166" s="110"/>
      <c r="P166" s="111"/>
      <c r="R166" s="132"/>
      <c r="S166" s="132"/>
      <c r="T166" s="132"/>
      <c r="U166" s="132"/>
      <c r="V166" s="132"/>
      <c r="W166" s="132"/>
      <c r="X166" s="111"/>
      <c r="Y166" s="111"/>
      <c r="Z166" s="111"/>
      <c r="AA166" s="111"/>
      <c r="AB166" s="111"/>
      <c r="AC166" s="111"/>
      <c r="AD166" s="111"/>
      <c r="AE166" s="111"/>
      <c r="AG166" s="810"/>
      <c r="AH166" s="810"/>
      <c r="AI166" s="810"/>
      <c r="AJ166" s="111"/>
      <c r="AK166" s="111"/>
      <c r="AL166" s="874"/>
      <c r="AM166" s="870"/>
      <c r="AN166" s="111"/>
      <c r="AO166" s="111"/>
      <c r="AP166" s="111"/>
      <c r="AQ166" s="111"/>
      <c r="AR166" s="111"/>
      <c r="AS166" s="111"/>
      <c r="AT166" s="111"/>
      <c r="AU166" s="111"/>
      <c r="AV166" s="111"/>
      <c r="AW166" s="111"/>
      <c r="AX166" s="111"/>
      <c r="AY166" s="111"/>
      <c r="AZ166" s="111"/>
      <c r="BA166" s="111"/>
      <c r="BB166" s="111"/>
      <c r="BC166" s="111"/>
      <c r="BD166" s="111"/>
      <c r="BE166" s="111"/>
    </row>
    <row r="167" spans="15:57" x14ac:dyDescent="0.3">
      <c r="O167" s="110"/>
      <c r="P167" s="111"/>
      <c r="R167" s="132"/>
      <c r="S167" s="132"/>
      <c r="T167" s="132"/>
      <c r="U167" s="132"/>
      <c r="V167" s="132"/>
      <c r="W167" s="132"/>
      <c r="X167" s="111"/>
      <c r="Y167" s="111"/>
      <c r="Z167" s="111"/>
      <c r="AA167" s="111"/>
      <c r="AB167" s="111"/>
      <c r="AC167" s="111"/>
      <c r="AD167" s="111"/>
      <c r="AE167" s="111"/>
      <c r="AG167" s="810"/>
      <c r="AH167" s="810"/>
      <c r="AI167" s="810"/>
      <c r="AJ167" s="111"/>
      <c r="AK167" s="111"/>
      <c r="AL167" s="874"/>
      <c r="AM167" s="870"/>
      <c r="AN167" s="111"/>
      <c r="AO167" s="111"/>
      <c r="AP167" s="111"/>
      <c r="AQ167" s="111"/>
      <c r="AR167" s="111"/>
      <c r="AS167" s="111"/>
      <c r="AT167" s="111"/>
      <c r="AU167" s="111"/>
      <c r="AV167" s="111"/>
      <c r="AW167" s="111"/>
      <c r="AX167" s="111"/>
      <c r="AY167" s="111"/>
      <c r="AZ167" s="111"/>
      <c r="BA167" s="111"/>
      <c r="BB167" s="111"/>
      <c r="BC167" s="111"/>
      <c r="BD167" s="111"/>
      <c r="BE167" s="111"/>
    </row>
    <row r="168" spans="15:57" x14ac:dyDescent="0.3">
      <c r="O168" s="110"/>
      <c r="P168" s="111"/>
      <c r="R168" s="132"/>
      <c r="S168" s="132"/>
      <c r="T168" s="132"/>
      <c r="U168" s="132"/>
      <c r="V168" s="132"/>
      <c r="W168" s="132"/>
      <c r="X168" s="111"/>
      <c r="Y168" s="111"/>
      <c r="Z168" s="111"/>
      <c r="AA168" s="111"/>
      <c r="AB168" s="111"/>
      <c r="AC168" s="111"/>
      <c r="AD168" s="111"/>
      <c r="AE168" s="111"/>
      <c r="AG168" s="810"/>
      <c r="AH168" s="810"/>
      <c r="AI168" s="810"/>
      <c r="AJ168" s="111"/>
      <c r="AK168" s="111"/>
      <c r="AL168" s="874"/>
      <c r="AM168" s="870"/>
      <c r="AN168" s="111"/>
      <c r="AO168" s="111"/>
      <c r="AP168" s="111"/>
      <c r="AQ168" s="111"/>
      <c r="AR168" s="111"/>
      <c r="AS168" s="111"/>
      <c r="AT168" s="111"/>
      <c r="AU168" s="111"/>
      <c r="AV168" s="111"/>
      <c r="AW168" s="111"/>
      <c r="AX168" s="111"/>
      <c r="AY168" s="111"/>
      <c r="AZ168" s="111"/>
      <c r="BA168" s="111"/>
      <c r="BB168" s="111"/>
      <c r="BC168" s="111"/>
      <c r="BD168" s="111"/>
      <c r="BE168" s="111"/>
    </row>
    <row r="169" spans="15:57" x14ac:dyDescent="0.3">
      <c r="O169" s="110"/>
      <c r="P169" s="111"/>
      <c r="R169" s="132"/>
      <c r="S169" s="132"/>
      <c r="T169" s="132"/>
      <c r="U169" s="132"/>
      <c r="V169" s="132"/>
      <c r="W169" s="132"/>
      <c r="X169" s="111"/>
      <c r="Y169" s="111"/>
      <c r="Z169" s="111"/>
      <c r="AA169" s="111"/>
      <c r="AB169" s="111"/>
      <c r="AC169" s="111"/>
      <c r="AD169" s="111"/>
      <c r="AE169" s="111"/>
      <c r="AG169" s="810"/>
      <c r="AH169" s="810"/>
      <c r="AI169" s="810"/>
      <c r="AJ169" s="111"/>
      <c r="AK169" s="111"/>
      <c r="AL169" s="874"/>
      <c r="AM169" s="870"/>
      <c r="AN169" s="111"/>
      <c r="AO169" s="111"/>
      <c r="AP169" s="111"/>
      <c r="AQ169" s="111"/>
      <c r="AR169" s="111"/>
      <c r="AS169" s="111"/>
      <c r="AT169" s="111"/>
      <c r="AU169" s="111"/>
      <c r="AV169" s="111"/>
      <c r="AW169" s="111"/>
      <c r="AX169" s="111"/>
      <c r="AY169" s="111"/>
      <c r="AZ169" s="111"/>
      <c r="BA169" s="111"/>
      <c r="BB169" s="111"/>
      <c r="BC169" s="111"/>
      <c r="BD169" s="111"/>
      <c r="BE169" s="111"/>
    </row>
    <row r="170" spans="15:57" x14ac:dyDescent="0.3">
      <c r="O170" s="110"/>
      <c r="P170" s="111"/>
      <c r="R170" s="132"/>
      <c r="S170" s="132"/>
      <c r="T170" s="132"/>
      <c r="U170" s="132"/>
      <c r="V170" s="132"/>
      <c r="W170" s="132"/>
      <c r="X170" s="111"/>
      <c r="Y170" s="111"/>
      <c r="Z170" s="111"/>
      <c r="AA170" s="111"/>
      <c r="AB170" s="111"/>
      <c r="AC170" s="111"/>
      <c r="AD170" s="111"/>
      <c r="AE170" s="111"/>
      <c r="AG170" s="810"/>
      <c r="AH170" s="810"/>
      <c r="AI170" s="810"/>
      <c r="AJ170" s="111"/>
      <c r="AK170" s="111"/>
      <c r="AL170" s="874"/>
      <c r="AM170" s="870"/>
      <c r="AN170" s="111"/>
      <c r="AO170" s="111"/>
      <c r="AP170" s="111"/>
      <c r="AQ170" s="111"/>
      <c r="AR170" s="111"/>
      <c r="AS170" s="111"/>
      <c r="AT170" s="111"/>
      <c r="AU170" s="111"/>
      <c r="AV170" s="111"/>
      <c r="AW170" s="111"/>
      <c r="AX170" s="111"/>
      <c r="AY170" s="111"/>
      <c r="AZ170" s="111"/>
      <c r="BA170" s="111"/>
      <c r="BB170" s="111"/>
      <c r="BC170" s="111"/>
      <c r="BD170" s="111"/>
      <c r="BE170" s="111"/>
    </row>
    <row r="171" spans="15:57" x14ac:dyDescent="0.3">
      <c r="O171" s="110"/>
      <c r="P171" s="111"/>
      <c r="R171" s="132"/>
      <c r="S171" s="132"/>
      <c r="T171" s="132"/>
      <c r="U171" s="132"/>
      <c r="V171" s="132"/>
      <c r="W171" s="132"/>
      <c r="X171" s="111"/>
      <c r="Y171" s="111"/>
      <c r="Z171" s="111"/>
      <c r="AA171" s="111"/>
      <c r="AB171" s="111"/>
      <c r="AC171" s="111"/>
      <c r="AD171" s="111"/>
      <c r="AE171" s="111"/>
      <c r="AG171" s="810"/>
      <c r="AH171" s="810"/>
      <c r="AI171" s="810"/>
      <c r="AJ171" s="111"/>
      <c r="AK171" s="111"/>
      <c r="AL171" s="874"/>
      <c r="AM171" s="870"/>
      <c r="AN171" s="111"/>
      <c r="AO171" s="111"/>
      <c r="AP171" s="111"/>
      <c r="AQ171" s="111"/>
      <c r="AR171" s="111"/>
      <c r="AS171" s="111"/>
      <c r="AT171" s="111"/>
      <c r="AU171" s="111"/>
      <c r="AV171" s="111"/>
      <c r="AW171" s="111"/>
      <c r="AX171" s="111"/>
      <c r="AY171" s="111"/>
      <c r="AZ171" s="111"/>
      <c r="BA171" s="111"/>
      <c r="BB171" s="111"/>
      <c r="BC171" s="111"/>
      <c r="BD171" s="111"/>
      <c r="BE171" s="111"/>
    </row>
    <row r="172" spans="15:57" x14ac:dyDescent="0.3">
      <c r="O172" s="110"/>
      <c r="P172" s="111"/>
      <c r="R172" s="132"/>
      <c r="S172" s="132"/>
      <c r="T172" s="132"/>
      <c r="U172" s="132"/>
      <c r="V172" s="132"/>
      <c r="W172" s="132"/>
      <c r="X172" s="111"/>
      <c r="Y172" s="111"/>
      <c r="Z172" s="111"/>
      <c r="AA172" s="111"/>
      <c r="AB172" s="111"/>
      <c r="AC172" s="111"/>
      <c r="AD172" s="111"/>
      <c r="AE172" s="111"/>
      <c r="AG172" s="810"/>
      <c r="AH172" s="810"/>
      <c r="AI172" s="810"/>
      <c r="AJ172" s="111"/>
      <c r="AK172" s="111"/>
      <c r="AL172" s="874"/>
      <c r="AM172" s="870"/>
      <c r="AN172" s="111"/>
      <c r="AO172" s="111"/>
      <c r="AP172" s="111"/>
      <c r="AQ172" s="111"/>
      <c r="AR172" s="111"/>
      <c r="AS172" s="111"/>
      <c r="AT172" s="111"/>
      <c r="AU172" s="111"/>
      <c r="AV172" s="111"/>
      <c r="AW172" s="111"/>
      <c r="AX172" s="111"/>
      <c r="AY172" s="111"/>
      <c r="AZ172" s="111"/>
      <c r="BA172" s="111"/>
      <c r="BB172" s="111"/>
      <c r="BC172" s="111"/>
      <c r="BD172" s="111"/>
      <c r="BE172" s="111"/>
    </row>
    <row r="173" spans="15:57" x14ac:dyDescent="0.3">
      <c r="O173" s="110"/>
      <c r="P173" s="111"/>
      <c r="R173" s="132"/>
      <c r="S173" s="132"/>
      <c r="T173" s="132"/>
      <c r="U173" s="132"/>
      <c r="V173" s="132"/>
      <c r="W173" s="132"/>
      <c r="X173" s="111"/>
      <c r="Y173" s="111"/>
      <c r="Z173" s="111"/>
      <c r="AA173" s="111"/>
      <c r="AB173" s="111"/>
      <c r="AC173" s="111"/>
      <c r="AD173" s="111"/>
      <c r="AE173" s="111"/>
      <c r="AG173" s="810"/>
      <c r="AH173" s="810"/>
      <c r="AI173" s="810"/>
      <c r="AJ173" s="111"/>
      <c r="AK173" s="111"/>
      <c r="AL173" s="874"/>
      <c r="AM173" s="870"/>
      <c r="AN173" s="111"/>
      <c r="AO173" s="111"/>
      <c r="AP173" s="111"/>
      <c r="AQ173" s="111"/>
      <c r="AR173" s="111"/>
      <c r="AS173" s="111"/>
      <c r="AT173" s="111"/>
      <c r="AU173" s="111"/>
      <c r="AV173" s="111"/>
      <c r="AW173" s="111"/>
      <c r="AX173" s="111"/>
      <c r="AY173" s="111"/>
      <c r="AZ173" s="111"/>
      <c r="BA173" s="111"/>
      <c r="BB173" s="111"/>
      <c r="BC173" s="111"/>
      <c r="BD173" s="111"/>
      <c r="BE173" s="111"/>
    </row>
    <row r="174" spans="15:57" x14ac:dyDescent="0.3">
      <c r="O174" s="110"/>
      <c r="P174" s="111"/>
      <c r="R174" s="132"/>
      <c r="S174" s="132"/>
      <c r="T174" s="132"/>
      <c r="U174" s="132"/>
      <c r="V174" s="132"/>
      <c r="W174" s="132"/>
      <c r="X174" s="111"/>
      <c r="Y174" s="111"/>
      <c r="Z174" s="111"/>
      <c r="AA174" s="111"/>
      <c r="AB174" s="111"/>
      <c r="AC174" s="111"/>
      <c r="AD174" s="111"/>
      <c r="AE174" s="111"/>
      <c r="AG174" s="810"/>
      <c r="AH174" s="810"/>
      <c r="AI174" s="810"/>
      <c r="AJ174" s="111"/>
      <c r="AK174" s="111"/>
      <c r="AL174" s="874"/>
      <c r="AM174" s="870"/>
      <c r="AN174" s="111"/>
      <c r="AO174" s="111"/>
      <c r="AP174" s="111"/>
      <c r="AQ174" s="111"/>
      <c r="AR174" s="111"/>
      <c r="AS174" s="111"/>
      <c r="AT174" s="111"/>
      <c r="AU174" s="111"/>
      <c r="AV174" s="111"/>
      <c r="AW174" s="111"/>
      <c r="AX174" s="111"/>
      <c r="AY174" s="111"/>
      <c r="AZ174" s="111"/>
      <c r="BA174" s="111"/>
      <c r="BB174" s="111"/>
      <c r="BC174" s="111"/>
      <c r="BD174" s="111"/>
      <c r="BE174" s="111"/>
    </row>
    <row r="175" spans="15:57" x14ac:dyDescent="0.3">
      <c r="O175" s="110"/>
      <c r="P175" s="111"/>
      <c r="R175" s="132"/>
      <c r="S175" s="132"/>
      <c r="T175" s="132"/>
      <c r="U175" s="132"/>
      <c r="V175" s="132"/>
      <c r="W175" s="132"/>
      <c r="X175" s="111"/>
      <c r="Y175" s="111"/>
      <c r="Z175" s="111"/>
      <c r="AA175" s="111"/>
      <c r="AB175" s="111"/>
      <c r="AC175" s="111"/>
      <c r="AD175" s="111"/>
      <c r="AE175" s="111"/>
      <c r="AG175" s="810"/>
      <c r="AH175" s="810"/>
      <c r="AI175" s="810"/>
      <c r="AJ175" s="111"/>
      <c r="AK175" s="111"/>
      <c r="AL175" s="874"/>
      <c r="AM175" s="870"/>
      <c r="AN175" s="111"/>
      <c r="AO175" s="111"/>
      <c r="AP175" s="111"/>
      <c r="AQ175" s="111"/>
      <c r="AR175" s="111"/>
      <c r="AS175" s="111"/>
      <c r="AT175" s="111"/>
      <c r="AU175" s="111"/>
      <c r="AV175" s="111"/>
      <c r="AW175" s="111"/>
      <c r="AX175" s="111"/>
      <c r="AY175" s="111"/>
      <c r="AZ175" s="111"/>
      <c r="BA175" s="111"/>
      <c r="BB175" s="111"/>
      <c r="BC175" s="111"/>
      <c r="BD175" s="111"/>
      <c r="BE175" s="111"/>
    </row>
    <row r="176" spans="15:57" x14ac:dyDescent="0.3">
      <c r="O176" s="110"/>
      <c r="P176" s="111"/>
      <c r="R176" s="132"/>
      <c r="S176" s="132"/>
      <c r="T176" s="132"/>
      <c r="U176" s="132"/>
      <c r="V176" s="132"/>
      <c r="W176" s="132"/>
      <c r="X176" s="111"/>
      <c r="Y176" s="111"/>
      <c r="Z176" s="111"/>
      <c r="AA176" s="111"/>
      <c r="AB176" s="111"/>
      <c r="AC176" s="111"/>
      <c r="AD176" s="111"/>
      <c r="AE176" s="111"/>
      <c r="AG176" s="810"/>
      <c r="AH176" s="810"/>
      <c r="AI176" s="810"/>
      <c r="AJ176" s="111"/>
      <c r="AK176" s="111"/>
      <c r="AL176" s="874"/>
      <c r="AM176" s="870"/>
      <c r="AN176" s="111"/>
      <c r="AO176" s="111"/>
      <c r="AP176" s="111"/>
      <c r="AQ176" s="111"/>
      <c r="AR176" s="111"/>
      <c r="AS176" s="111"/>
      <c r="AT176" s="111"/>
      <c r="AU176" s="111"/>
      <c r="AV176" s="111"/>
      <c r="AW176" s="111"/>
      <c r="AX176" s="111"/>
      <c r="AY176" s="111"/>
      <c r="AZ176" s="111"/>
      <c r="BA176" s="111"/>
      <c r="BB176" s="111"/>
      <c r="BC176" s="111"/>
      <c r="BD176" s="111"/>
      <c r="BE176" s="111"/>
    </row>
    <row r="177" spans="15:57" x14ac:dyDescent="0.3">
      <c r="O177" s="110"/>
      <c r="P177" s="111"/>
      <c r="R177" s="132"/>
      <c r="S177" s="132"/>
      <c r="T177" s="132"/>
      <c r="U177" s="132"/>
      <c r="V177" s="132"/>
      <c r="W177" s="132"/>
      <c r="X177" s="111"/>
      <c r="Y177" s="111"/>
      <c r="Z177" s="111"/>
      <c r="AA177" s="111"/>
      <c r="AB177" s="111"/>
      <c r="AC177" s="111"/>
      <c r="AD177" s="111"/>
      <c r="AE177" s="111"/>
      <c r="AG177" s="810"/>
      <c r="AH177" s="810"/>
      <c r="AI177" s="810"/>
      <c r="AJ177" s="111"/>
      <c r="AK177" s="111"/>
      <c r="AL177" s="874"/>
      <c r="AM177" s="870"/>
      <c r="AN177" s="111"/>
      <c r="AO177" s="111"/>
      <c r="AP177" s="111"/>
      <c r="AQ177" s="111"/>
      <c r="AR177" s="111"/>
      <c r="AS177" s="111"/>
      <c r="AT177" s="111"/>
      <c r="AU177" s="111"/>
      <c r="AV177" s="111"/>
      <c r="AW177" s="111"/>
      <c r="AX177" s="111"/>
      <c r="AY177" s="111"/>
      <c r="AZ177" s="111"/>
      <c r="BA177" s="111"/>
      <c r="BB177" s="111"/>
      <c r="BC177" s="111"/>
      <c r="BD177" s="111"/>
      <c r="BE177" s="111"/>
    </row>
    <row r="178" spans="15:57" x14ac:dyDescent="0.3">
      <c r="O178" s="110"/>
      <c r="P178" s="111"/>
      <c r="R178" s="132"/>
      <c r="S178" s="132"/>
      <c r="T178" s="132"/>
      <c r="U178" s="132"/>
      <c r="V178" s="132"/>
      <c r="W178" s="132"/>
      <c r="X178" s="111"/>
      <c r="Y178" s="111"/>
      <c r="Z178" s="111"/>
      <c r="AA178" s="111"/>
      <c r="AB178" s="111"/>
      <c r="AC178" s="111"/>
      <c r="AD178" s="111"/>
      <c r="AE178" s="111"/>
      <c r="AG178" s="810"/>
      <c r="AH178" s="810"/>
      <c r="AI178" s="810"/>
      <c r="AJ178" s="111"/>
      <c r="AK178" s="111"/>
      <c r="AL178" s="874"/>
      <c r="AM178" s="870"/>
      <c r="AN178" s="111"/>
      <c r="AO178" s="111"/>
      <c r="AP178" s="111"/>
      <c r="AQ178" s="111"/>
      <c r="AR178" s="111"/>
      <c r="AS178" s="111"/>
      <c r="AT178" s="111"/>
      <c r="AU178" s="111"/>
      <c r="AV178" s="111"/>
      <c r="AW178" s="111"/>
      <c r="AX178" s="111"/>
      <c r="AY178" s="111"/>
      <c r="AZ178" s="111"/>
      <c r="BA178" s="111"/>
      <c r="BB178" s="111"/>
      <c r="BC178" s="111"/>
      <c r="BD178" s="111"/>
      <c r="BE178" s="111"/>
    </row>
    <row r="179" spans="15:57" x14ac:dyDescent="0.3">
      <c r="O179" s="110"/>
      <c r="P179" s="111"/>
      <c r="R179" s="132"/>
      <c r="S179" s="132"/>
      <c r="T179" s="132"/>
      <c r="U179" s="132"/>
      <c r="V179" s="132"/>
      <c r="W179" s="132"/>
      <c r="X179" s="111"/>
      <c r="Y179" s="111"/>
      <c r="Z179" s="111"/>
      <c r="AA179" s="111"/>
      <c r="AB179" s="111"/>
      <c r="AC179" s="111"/>
      <c r="AD179" s="111"/>
      <c r="AE179" s="111"/>
      <c r="AG179" s="810"/>
      <c r="AH179" s="810"/>
      <c r="AI179" s="810"/>
      <c r="AJ179" s="111"/>
      <c r="AK179" s="111"/>
      <c r="AL179" s="874"/>
      <c r="AM179" s="870"/>
      <c r="AN179" s="111"/>
      <c r="AO179" s="111"/>
      <c r="AP179" s="111"/>
      <c r="AQ179" s="111"/>
      <c r="AR179" s="111"/>
      <c r="AS179" s="111"/>
      <c r="AT179" s="111"/>
      <c r="AU179" s="111"/>
      <c r="AV179" s="111"/>
      <c r="AW179" s="111"/>
      <c r="AX179" s="111"/>
      <c r="AY179" s="111"/>
      <c r="AZ179" s="111"/>
      <c r="BA179" s="111"/>
      <c r="BB179" s="111"/>
      <c r="BC179" s="111"/>
      <c r="BD179" s="111"/>
      <c r="BE179" s="111"/>
    </row>
    <row r="180" spans="15:57" x14ac:dyDescent="0.3">
      <c r="O180" s="110"/>
      <c r="P180" s="111"/>
      <c r="R180" s="132"/>
      <c r="S180" s="132"/>
      <c r="T180" s="132"/>
      <c r="U180" s="132"/>
      <c r="V180" s="132"/>
      <c r="W180" s="132"/>
      <c r="X180" s="111"/>
      <c r="Y180" s="111"/>
      <c r="Z180" s="111"/>
      <c r="AA180" s="111"/>
      <c r="AB180" s="111"/>
      <c r="AC180" s="111"/>
      <c r="AD180" s="111"/>
      <c r="AE180" s="111"/>
      <c r="AG180" s="810"/>
      <c r="AH180" s="810"/>
      <c r="AI180" s="810"/>
      <c r="AJ180" s="111"/>
      <c r="AK180" s="111"/>
      <c r="AL180" s="874"/>
      <c r="AM180" s="870"/>
      <c r="AN180" s="111"/>
      <c r="AO180" s="111"/>
      <c r="AP180" s="111"/>
      <c r="AQ180" s="111"/>
      <c r="AR180" s="111"/>
      <c r="AS180" s="111"/>
      <c r="AT180" s="111"/>
      <c r="AU180" s="111"/>
      <c r="AV180" s="111"/>
      <c r="AW180" s="111"/>
      <c r="AX180" s="111"/>
      <c r="AY180" s="111"/>
      <c r="AZ180" s="111"/>
      <c r="BA180" s="111"/>
      <c r="BB180" s="111"/>
      <c r="BC180" s="111"/>
      <c r="BD180" s="111"/>
      <c r="BE180" s="111"/>
    </row>
    <row r="181" spans="15:57" x14ac:dyDescent="0.3">
      <c r="O181" s="110"/>
      <c r="P181" s="111"/>
      <c r="R181" s="132"/>
      <c r="S181" s="132"/>
      <c r="T181" s="132"/>
      <c r="U181" s="132"/>
      <c r="V181" s="132"/>
      <c r="W181" s="132"/>
      <c r="X181" s="111"/>
      <c r="Y181" s="111"/>
      <c r="Z181" s="111"/>
      <c r="AA181" s="111"/>
      <c r="AB181" s="111"/>
      <c r="AC181" s="111"/>
      <c r="AD181" s="111"/>
      <c r="AE181" s="111"/>
      <c r="AG181" s="810"/>
      <c r="AH181" s="810"/>
      <c r="AI181" s="810"/>
      <c r="AJ181" s="111"/>
      <c r="AK181" s="111"/>
      <c r="AL181" s="874"/>
      <c r="AM181" s="870"/>
      <c r="AN181" s="111"/>
      <c r="AO181" s="111"/>
      <c r="AP181" s="111"/>
      <c r="AQ181" s="111"/>
      <c r="AR181" s="111"/>
      <c r="AS181" s="111"/>
      <c r="AT181" s="111"/>
      <c r="AU181" s="111"/>
      <c r="AV181" s="111"/>
      <c r="AW181" s="111"/>
      <c r="AX181" s="111"/>
      <c r="AY181" s="111"/>
      <c r="AZ181" s="111"/>
      <c r="BA181" s="111"/>
      <c r="BB181" s="111"/>
      <c r="BC181" s="111"/>
      <c r="BD181" s="111"/>
      <c r="BE181" s="111"/>
    </row>
    <row r="182" spans="15:57" x14ac:dyDescent="0.3">
      <c r="O182" s="110"/>
      <c r="P182" s="111"/>
      <c r="R182" s="132"/>
      <c r="S182" s="132"/>
      <c r="T182" s="132"/>
      <c r="U182" s="132"/>
      <c r="V182" s="132"/>
      <c r="W182" s="132"/>
      <c r="X182" s="111"/>
      <c r="Y182" s="111"/>
      <c r="Z182" s="111"/>
      <c r="AA182" s="111"/>
      <c r="AB182" s="111"/>
      <c r="AC182" s="111"/>
      <c r="AD182" s="111"/>
      <c r="AE182" s="111"/>
      <c r="AG182" s="810"/>
      <c r="AH182" s="810"/>
      <c r="AI182" s="810"/>
      <c r="AJ182" s="111"/>
      <c r="AK182" s="111"/>
      <c r="AL182" s="874"/>
      <c r="AM182" s="870"/>
      <c r="AN182" s="111"/>
      <c r="AO182" s="111"/>
      <c r="AP182" s="111"/>
      <c r="AQ182" s="111"/>
      <c r="AR182" s="111"/>
      <c r="AS182" s="111"/>
      <c r="AT182" s="111"/>
      <c r="AU182" s="111"/>
      <c r="AV182" s="111"/>
      <c r="AW182" s="111"/>
      <c r="AX182" s="111"/>
      <c r="AY182" s="111"/>
      <c r="AZ182" s="111"/>
      <c r="BA182" s="111"/>
      <c r="BB182" s="111"/>
      <c r="BC182" s="111"/>
      <c r="BD182" s="111"/>
      <c r="BE182" s="111"/>
    </row>
    <row r="183" spans="15:57" x14ac:dyDescent="0.3">
      <c r="O183" s="110"/>
      <c r="P183" s="111"/>
      <c r="R183" s="132"/>
      <c r="S183" s="132"/>
      <c r="T183" s="132"/>
      <c r="U183" s="132"/>
      <c r="V183" s="132"/>
      <c r="W183" s="132"/>
      <c r="X183" s="111"/>
      <c r="Y183" s="111"/>
      <c r="Z183" s="111"/>
      <c r="AA183" s="111"/>
      <c r="AB183" s="111"/>
      <c r="AC183" s="111"/>
      <c r="AD183" s="111"/>
      <c r="AE183" s="111"/>
      <c r="AG183" s="810"/>
      <c r="AH183" s="810"/>
      <c r="AI183" s="810"/>
      <c r="AJ183" s="111"/>
      <c r="AK183" s="111"/>
      <c r="AL183" s="874"/>
      <c r="AM183" s="870"/>
      <c r="AN183" s="111"/>
      <c r="AO183" s="111"/>
      <c r="AP183" s="111"/>
      <c r="AQ183" s="111"/>
      <c r="AR183" s="111"/>
      <c r="AS183" s="111"/>
      <c r="AT183" s="111"/>
      <c r="AU183" s="111"/>
      <c r="AV183" s="111"/>
      <c r="AW183" s="111"/>
      <c r="AX183" s="111"/>
      <c r="AY183" s="111"/>
      <c r="AZ183" s="111"/>
      <c r="BA183" s="111"/>
      <c r="BB183" s="111"/>
      <c r="BC183" s="111"/>
      <c r="BD183" s="111"/>
      <c r="BE183" s="111"/>
    </row>
    <row r="184" spans="15:57" x14ac:dyDescent="0.3">
      <c r="O184" s="110"/>
      <c r="P184" s="111"/>
      <c r="R184" s="132"/>
      <c r="S184" s="132"/>
      <c r="T184" s="132"/>
      <c r="U184" s="132"/>
      <c r="V184" s="132"/>
      <c r="W184" s="132"/>
      <c r="X184" s="111"/>
      <c r="Y184" s="111"/>
      <c r="Z184" s="111"/>
      <c r="AA184" s="111"/>
      <c r="AB184" s="111"/>
      <c r="AC184" s="111"/>
      <c r="AD184" s="111"/>
      <c r="AE184" s="111"/>
      <c r="AG184" s="810"/>
      <c r="AH184" s="810"/>
      <c r="AI184" s="810"/>
      <c r="AJ184" s="111"/>
      <c r="AK184" s="111"/>
      <c r="AL184" s="874"/>
      <c r="AM184" s="870"/>
      <c r="AN184" s="111"/>
      <c r="AO184" s="111"/>
      <c r="AP184" s="111"/>
      <c r="AQ184" s="111"/>
      <c r="AR184" s="111"/>
      <c r="AS184" s="111"/>
      <c r="AT184" s="111"/>
      <c r="AU184" s="111"/>
      <c r="AV184" s="111"/>
      <c r="AW184" s="111"/>
      <c r="AX184" s="111"/>
      <c r="AY184" s="111"/>
      <c r="AZ184" s="111"/>
      <c r="BA184" s="111"/>
      <c r="BB184" s="111"/>
      <c r="BC184" s="111"/>
      <c r="BD184" s="111"/>
      <c r="BE184" s="111"/>
    </row>
    <row r="185" spans="15:57" x14ac:dyDescent="0.3">
      <c r="O185" s="110"/>
      <c r="P185" s="111"/>
      <c r="R185" s="132"/>
      <c r="S185" s="132"/>
      <c r="T185" s="132"/>
      <c r="U185" s="132"/>
      <c r="V185" s="132"/>
      <c r="W185" s="132"/>
      <c r="X185" s="111"/>
      <c r="Y185" s="111"/>
      <c r="Z185" s="111"/>
      <c r="AA185" s="111"/>
      <c r="AB185" s="111"/>
      <c r="AC185" s="111"/>
      <c r="AD185" s="111"/>
      <c r="AE185" s="111"/>
      <c r="AG185" s="810"/>
      <c r="AH185" s="810"/>
      <c r="AI185" s="810"/>
      <c r="AJ185" s="111"/>
      <c r="AK185" s="111"/>
      <c r="AL185" s="874"/>
      <c r="AM185" s="870"/>
      <c r="AN185" s="111"/>
      <c r="AO185" s="111"/>
      <c r="AP185" s="111"/>
      <c r="AQ185" s="111"/>
      <c r="AR185" s="111"/>
      <c r="AS185" s="111"/>
      <c r="AT185" s="111"/>
      <c r="AU185" s="111"/>
      <c r="AV185" s="111"/>
      <c r="AW185" s="111"/>
      <c r="AX185" s="111"/>
      <c r="AY185" s="111"/>
      <c r="AZ185" s="111"/>
      <c r="BA185" s="111"/>
      <c r="BB185" s="111"/>
      <c r="BC185" s="111"/>
      <c r="BD185" s="111"/>
      <c r="BE185" s="111"/>
    </row>
    <row r="186" spans="15:57" x14ac:dyDescent="0.3">
      <c r="O186" s="110"/>
      <c r="P186" s="111"/>
      <c r="R186" s="132"/>
      <c r="S186" s="132"/>
      <c r="T186" s="132"/>
      <c r="U186" s="132"/>
      <c r="V186" s="132"/>
      <c r="W186" s="132"/>
      <c r="X186" s="111"/>
      <c r="Y186" s="111"/>
      <c r="Z186" s="111"/>
      <c r="AA186" s="111"/>
      <c r="AB186" s="111"/>
      <c r="AC186" s="111"/>
      <c r="AD186" s="111"/>
      <c r="AE186" s="111"/>
      <c r="AG186" s="810"/>
      <c r="AH186" s="810"/>
      <c r="AI186" s="810"/>
      <c r="AJ186" s="111"/>
      <c r="AK186" s="111"/>
      <c r="AL186" s="874"/>
      <c r="AM186" s="870"/>
      <c r="AN186" s="111"/>
      <c r="AO186" s="111"/>
      <c r="AP186" s="111"/>
      <c r="AQ186" s="111"/>
      <c r="AR186" s="111"/>
      <c r="AS186" s="111"/>
      <c r="AT186" s="111"/>
      <c r="AU186" s="111"/>
      <c r="AV186" s="111"/>
      <c r="AW186" s="111"/>
      <c r="AX186" s="111"/>
      <c r="AY186" s="111"/>
      <c r="AZ186" s="111"/>
      <c r="BA186" s="111"/>
      <c r="BB186" s="111"/>
      <c r="BC186" s="111"/>
      <c r="BD186" s="111"/>
      <c r="BE186" s="111"/>
    </row>
    <row r="187" spans="15:57" x14ac:dyDescent="0.3">
      <c r="O187" s="110"/>
      <c r="P187" s="111"/>
      <c r="R187" s="132"/>
      <c r="S187" s="132"/>
      <c r="T187" s="132"/>
      <c r="U187" s="132"/>
      <c r="V187" s="132"/>
      <c r="W187" s="132"/>
      <c r="X187" s="111"/>
      <c r="Y187" s="111"/>
      <c r="Z187" s="111"/>
      <c r="AA187" s="111"/>
      <c r="AB187" s="111"/>
      <c r="AC187" s="111"/>
      <c r="AD187" s="111"/>
      <c r="AE187" s="111"/>
      <c r="AG187" s="810"/>
      <c r="AH187" s="810"/>
      <c r="AI187" s="810"/>
      <c r="AJ187" s="111"/>
      <c r="AK187" s="111"/>
      <c r="AL187" s="874"/>
      <c r="AM187" s="870"/>
      <c r="AN187" s="111"/>
      <c r="AO187" s="111"/>
      <c r="AP187" s="111"/>
      <c r="AQ187" s="111"/>
      <c r="AR187" s="111"/>
      <c r="AS187" s="111"/>
      <c r="AT187" s="111"/>
      <c r="AU187" s="111"/>
      <c r="AV187" s="111"/>
      <c r="AW187" s="111"/>
      <c r="AX187" s="111"/>
      <c r="AY187" s="111"/>
      <c r="AZ187" s="111"/>
      <c r="BA187" s="111"/>
      <c r="BB187" s="111"/>
      <c r="BC187" s="111"/>
      <c r="BD187" s="111"/>
      <c r="BE187" s="111"/>
    </row>
    <row r="188" spans="15:57" x14ac:dyDescent="0.3">
      <c r="O188" s="110"/>
      <c r="P188" s="111"/>
      <c r="R188" s="132"/>
      <c r="S188" s="132"/>
      <c r="T188" s="132"/>
      <c r="U188" s="132"/>
      <c r="V188" s="132"/>
      <c r="W188" s="132"/>
      <c r="X188" s="111"/>
      <c r="Y188" s="111"/>
      <c r="Z188" s="111"/>
      <c r="AA188" s="111"/>
      <c r="AB188" s="111"/>
      <c r="AC188" s="111"/>
      <c r="AD188" s="111"/>
      <c r="AE188" s="111"/>
      <c r="AG188" s="810"/>
      <c r="AH188" s="810"/>
      <c r="AI188" s="810"/>
      <c r="AJ188" s="111"/>
      <c r="AK188" s="111"/>
      <c r="AL188" s="874"/>
      <c r="AM188" s="870"/>
      <c r="AN188" s="111"/>
      <c r="AO188" s="111"/>
      <c r="AP188" s="111"/>
      <c r="AQ188" s="111"/>
      <c r="AR188" s="111"/>
      <c r="AS188" s="111"/>
      <c r="AT188" s="111"/>
      <c r="AU188" s="111"/>
      <c r="AV188" s="111"/>
      <c r="AW188" s="111"/>
      <c r="AX188" s="111"/>
      <c r="AY188" s="111"/>
      <c r="AZ188" s="111"/>
      <c r="BA188" s="111"/>
      <c r="BB188" s="111"/>
      <c r="BC188" s="111"/>
      <c r="BD188" s="111"/>
      <c r="BE188" s="111"/>
    </row>
    <row r="189" spans="15:57" x14ac:dyDescent="0.3">
      <c r="O189" s="110"/>
      <c r="P189" s="111"/>
      <c r="R189" s="132"/>
      <c r="S189" s="132"/>
      <c r="T189" s="132"/>
      <c r="U189" s="132"/>
      <c r="V189" s="132"/>
      <c r="W189" s="132"/>
      <c r="X189" s="111"/>
      <c r="Y189" s="111"/>
      <c r="Z189" s="111"/>
      <c r="AA189" s="111"/>
      <c r="AB189" s="111"/>
      <c r="AC189" s="111"/>
      <c r="AD189" s="111"/>
      <c r="AE189" s="111"/>
      <c r="AG189" s="810"/>
      <c r="AH189" s="810"/>
      <c r="AI189" s="810"/>
      <c r="AJ189" s="111"/>
      <c r="AK189" s="111"/>
      <c r="AL189" s="874"/>
      <c r="AM189" s="870"/>
      <c r="AN189" s="111"/>
      <c r="AO189" s="111"/>
      <c r="AP189" s="111"/>
      <c r="AQ189" s="111"/>
      <c r="AR189" s="111"/>
      <c r="AS189" s="111"/>
      <c r="AT189" s="111"/>
      <c r="AU189" s="111"/>
      <c r="AV189" s="111"/>
      <c r="AW189" s="111"/>
      <c r="AX189" s="111"/>
      <c r="AY189" s="111"/>
      <c r="AZ189" s="111"/>
      <c r="BA189" s="111"/>
      <c r="BB189" s="111"/>
      <c r="BC189" s="111"/>
      <c r="BD189" s="111"/>
      <c r="BE189" s="111"/>
    </row>
    <row r="190" spans="15:57" x14ac:dyDescent="0.3">
      <c r="O190" s="110"/>
      <c r="P190" s="111"/>
      <c r="R190" s="132"/>
      <c r="S190" s="132"/>
      <c r="T190" s="132"/>
      <c r="U190" s="132"/>
      <c r="V190" s="132"/>
      <c r="W190" s="132"/>
      <c r="X190" s="111"/>
      <c r="Y190" s="111"/>
      <c r="Z190" s="111"/>
      <c r="AA190" s="111"/>
      <c r="AB190" s="111"/>
      <c r="AC190" s="111"/>
      <c r="AD190" s="111"/>
      <c r="AE190" s="111"/>
      <c r="AG190" s="810"/>
      <c r="AH190" s="810"/>
      <c r="AI190" s="810"/>
      <c r="AJ190" s="111"/>
      <c r="AK190" s="111"/>
      <c r="AL190" s="874"/>
      <c r="AM190" s="870"/>
      <c r="AN190" s="111"/>
      <c r="AO190" s="111"/>
      <c r="AP190" s="111"/>
      <c r="AQ190" s="111"/>
      <c r="AR190" s="111"/>
      <c r="AS190" s="111"/>
      <c r="AT190" s="111"/>
      <c r="AU190" s="111"/>
      <c r="AV190" s="111"/>
      <c r="AW190" s="111"/>
      <c r="AX190" s="111"/>
      <c r="AY190" s="111"/>
      <c r="AZ190" s="111"/>
      <c r="BA190" s="111"/>
      <c r="BB190" s="111"/>
      <c r="BC190" s="111"/>
      <c r="BD190" s="111"/>
      <c r="BE190" s="111"/>
    </row>
    <row r="191" spans="15:57" x14ac:dyDescent="0.3">
      <c r="O191" s="110"/>
      <c r="P191" s="111"/>
      <c r="R191" s="132"/>
      <c r="S191" s="132"/>
      <c r="T191" s="132"/>
      <c r="U191" s="132"/>
      <c r="V191" s="132"/>
      <c r="W191" s="132"/>
      <c r="X191" s="111"/>
      <c r="Y191" s="111"/>
      <c r="Z191" s="111"/>
      <c r="AA191" s="111"/>
      <c r="AB191" s="111"/>
      <c r="AC191" s="111"/>
      <c r="AD191" s="111"/>
      <c r="AE191" s="111"/>
      <c r="AG191" s="810"/>
      <c r="AH191" s="810"/>
      <c r="AI191" s="810"/>
      <c r="AJ191" s="111"/>
      <c r="AK191" s="111"/>
      <c r="AL191" s="874"/>
      <c r="AM191" s="870"/>
      <c r="AN191" s="111"/>
      <c r="AO191" s="111"/>
      <c r="AP191" s="111"/>
      <c r="AQ191" s="111"/>
      <c r="AR191" s="111"/>
      <c r="AS191" s="111"/>
      <c r="AT191" s="111"/>
      <c r="AU191" s="111"/>
      <c r="AV191" s="111"/>
      <c r="AW191" s="111"/>
      <c r="AX191" s="111"/>
      <c r="AY191" s="111"/>
      <c r="AZ191" s="111"/>
      <c r="BA191" s="111"/>
      <c r="BB191" s="111"/>
      <c r="BC191" s="111"/>
      <c r="BD191" s="111"/>
      <c r="BE191" s="111"/>
    </row>
    <row r="192" spans="15:57" x14ac:dyDescent="0.3">
      <c r="O192" s="110"/>
      <c r="P192" s="111"/>
      <c r="R192" s="132"/>
      <c r="S192" s="132"/>
      <c r="T192" s="132"/>
      <c r="U192" s="132"/>
      <c r="V192" s="132"/>
      <c r="W192" s="132"/>
      <c r="X192" s="111"/>
      <c r="Y192" s="111"/>
      <c r="Z192" s="111"/>
      <c r="AA192" s="111"/>
      <c r="AB192" s="111"/>
      <c r="AC192" s="111"/>
      <c r="AD192" s="111"/>
      <c r="AE192" s="111"/>
      <c r="AG192" s="810"/>
      <c r="AH192" s="810"/>
      <c r="AI192" s="810"/>
      <c r="AJ192" s="111"/>
      <c r="AK192" s="111"/>
      <c r="AL192" s="874"/>
      <c r="AM192" s="870"/>
      <c r="AN192" s="111"/>
      <c r="AO192" s="111"/>
      <c r="AP192" s="111"/>
      <c r="AQ192" s="111"/>
      <c r="AR192" s="111"/>
      <c r="AS192" s="111"/>
      <c r="AT192" s="111"/>
      <c r="AU192" s="111"/>
      <c r="AV192" s="111"/>
      <c r="AW192" s="111"/>
      <c r="AX192" s="111"/>
      <c r="AY192" s="111"/>
      <c r="AZ192" s="111"/>
      <c r="BA192" s="111"/>
      <c r="BB192" s="111"/>
      <c r="BC192" s="111"/>
      <c r="BD192" s="111"/>
      <c r="BE192" s="111"/>
    </row>
    <row r="193" spans="15:57" x14ac:dyDescent="0.3">
      <c r="O193" s="110"/>
      <c r="P193" s="111"/>
      <c r="R193" s="132"/>
      <c r="S193" s="132"/>
      <c r="T193" s="132"/>
      <c r="U193" s="132"/>
      <c r="V193" s="132"/>
      <c r="W193" s="132"/>
      <c r="X193" s="111"/>
      <c r="Y193" s="111"/>
      <c r="Z193" s="111"/>
      <c r="AA193" s="111"/>
      <c r="AB193" s="111"/>
      <c r="AC193" s="111"/>
      <c r="AD193" s="111"/>
      <c r="AE193" s="111"/>
      <c r="AG193" s="810"/>
      <c r="AH193" s="810"/>
      <c r="AI193" s="810"/>
      <c r="AJ193" s="111"/>
      <c r="AK193" s="111"/>
      <c r="AL193" s="874"/>
      <c r="AM193" s="870"/>
      <c r="AN193" s="111"/>
      <c r="AO193" s="111"/>
      <c r="AP193" s="111"/>
      <c r="AQ193" s="111"/>
      <c r="AR193" s="111"/>
      <c r="AS193" s="111"/>
      <c r="AT193" s="111"/>
      <c r="AU193" s="111"/>
      <c r="AV193" s="111"/>
      <c r="AW193" s="111"/>
      <c r="AX193" s="111"/>
      <c r="AY193" s="111"/>
      <c r="AZ193" s="111"/>
      <c r="BA193" s="111"/>
      <c r="BB193" s="111"/>
      <c r="BC193" s="111"/>
      <c r="BD193" s="111"/>
      <c r="BE193" s="111"/>
    </row>
    <row r="194" spans="15:57" x14ac:dyDescent="0.3">
      <c r="O194" s="110"/>
      <c r="P194" s="111"/>
      <c r="R194" s="132"/>
      <c r="S194" s="132"/>
      <c r="T194" s="132"/>
      <c r="U194" s="132"/>
      <c r="V194" s="132"/>
      <c r="W194" s="132"/>
      <c r="X194" s="111"/>
      <c r="Y194" s="111"/>
      <c r="Z194" s="111"/>
      <c r="AA194" s="111"/>
      <c r="AB194" s="111"/>
      <c r="AC194" s="111"/>
      <c r="AD194" s="111"/>
      <c r="AE194" s="111"/>
      <c r="AG194" s="810"/>
      <c r="AH194" s="810"/>
      <c r="AI194" s="810"/>
      <c r="AJ194" s="111"/>
      <c r="AK194" s="111"/>
      <c r="AL194" s="874"/>
      <c r="AM194" s="870"/>
      <c r="AN194" s="111"/>
      <c r="AO194" s="111"/>
      <c r="AP194" s="111"/>
      <c r="AQ194" s="111"/>
      <c r="AR194" s="111"/>
      <c r="AS194" s="111"/>
      <c r="AT194" s="111"/>
      <c r="AU194" s="111"/>
      <c r="AV194" s="111"/>
      <c r="AW194" s="111"/>
      <c r="AX194" s="111"/>
      <c r="AY194" s="111"/>
      <c r="AZ194" s="111"/>
      <c r="BA194" s="111"/>
      <c r="BB194" s="111"/>
      <c r="BC194" s="111"/>
      <c r="BD194" s="111"/>
      <c r="BE194" s="111"/>
    </row>
    <row r="195" spans="15:57" x14ac:dyDescent="0.3">
      <c r="O195" s="110"/>
      <c r="P195" s="111"/>
      <c r="R195" s="132"/>
      <c r="S195" s="132"/>
      <c r="T195" s="132"/>
      <c r="U195" s="132"/>
      <c r="V195" s="132"/>
      <c r="W195" s="132"/>
      <c r="X195" s="111"/>
      <c r="Y195" s="111"/>
      <c r="Z195" s="111"/>
      <c r="AA195" s="111"/>
      <c r="AB195" s="111"/>
      <c r="AC195" s="111"/>
      <c r="AD195" s="111"/>
      <c r="AE195" s="111"/>
      <c r="AG195" s="810"/>
      <c r="AH195" s="810"/>
      <c r="AI195" s="810"/>
      <c r="AJ195" s="111"/>
      <c r="AK195" s="111"/>
      <c r="AL195" s="874"/>
      <c r="AM195" s="870"/>
      <c r="AN195" s="111"/>
      <c r="AO195" s="111"/>
      <c r="AP195" s="111"/>
      <c r="AQ195" s="111"/>
      <c r="AR195" s="111"/>
      <c r="AS195" s="111"/>
      <c r="AT195" s="111"/>
      <c r="AU195" s="111"/>
      <c r="AV195" s="111"/>
      <c r="AW195" s="111"/>
      <c r="AX195" s="111"/>
      <c r="AY195" s="111"/>
      <c r="AZ195" s="111"/>
      <c r="BA195" s="111"/>
      <c r="BB195" s="111"/>
      <c r="BC195" s="111"/>
      <c r="BD195" s="111"/>
      <c r="BE195" s="111"/>
    </row>
    <row r="196" spans="15:57" x14ac:dyDescent="0.3">
      <c r="O196" s="110"/>
      <c r="P196" s="111"/>
      <c r="R196" s="132"/>
      <c r="S196" s="132"/>
      <c r="T196" s="132"/>
      <c r="U196" s="132"/>
      <c r="V196" s="132"/>
      <c r="W196" s="132"/>
      <c r="X196" s="111"/>
      <c r="Y196" s="111"/>
      <c r="Z196" s="111"/>
      <c r="AA196" s="111"/>
      <c r="AB196" s="111"/>
      <c r="AC196" s="111"/>
      <c r="AD196" s="111"/>
      <c r="AE196" s="111"/>
      <c r="AG196" s="810"/>
      <c r="AH196" s="810"/>
      <c r="AI196" s="810"/>
      <c r="AJ196" s="111"/>
      <c r="AK196" s="111"/>
      <c r="AL196" s="874"/>
      <c r="AM196" s="870"/>
      <c r="AN196" s="111"/>
      <c r="AO196" s="111"/>
      <c r="AP196" s="111"/>
      <c r="AQ196" s="111"/>
      <c r="AR196" s="111"/>
      <c r="AS196" s="111"/>
      <c r="AT196" s="111"/>
      <c r="AU196" s="111"/>
      <c r="AV196" s="111"/>
      <c r="AW196" s="111"/>
      <c r="AX196" s="111"/>
      <c r="AY196" s="111"/>
      <c r="AZ196" s="111"/>
      <c r="BA196" s="111"/>
      <c r="BB196" s="111"/>
      <c r="BC196" s="111"/>
      <c r="BD196" s="111"/>
      <c r="BE196" s="111"/>
    </row>
    <row r="197" spans="15:57" x14ac:dyDescent="0.3">
      <c r="O197" s="110"/>
      <c r="P197" s="111"/>
      <c r="R197" s="132"/>
      <c r="S197" s="132"/>
      <c r="T197" s="132"/>
      <c r="U197" s="132"/>
      <c r="V197" s="132"/>
      <c r="W197" s="132"/>
      <c r="X197" s="111"/>
      <c r="Y197" s="111"/>
      <c r="Z197" s="111"/>
      <c r="AA197" s="111"/>
      <c r="AB197" s="111"/>
      <c r="AC197" s="111"/>
      <c r="AD197" s="111"/>
      <c r="AE197" s="111"/>
      <c r="AG197" s="810"/>
      <c r="AH197" s="810"/>
      <c r="AI197" s="810"/>
      <c r="AJ197" s="111"/>
      <c r="AK197" s="111"/>
      <c r="AL197" s="874"/>
      <c r="AM197" s="870"/>
      <c r="AN197" s="111"/>
      <c r="AO197" s="111"/>
      <c r="AP197" s="111"/>
      <c r="AQ197" s="111"/>
      <c r="AR197" s="111"/>
      <c r="AS197" s="111"/>
      <c r="AT197" s="111"/>
      <c r="AU197" s="111"/>
      <c r="AV197" s="111"/>
      <c r="AW197" s="111"/>
      <c r="AX197" s="111"/>
      <c r="AY197" s="111"/>
      <c r="AZ197" s="111"/>
      <c r="BA197" s="111"/>
      <c r="BB197" s="111"/>
      <c r="BC197" s="111"/>
      <c r="BD197" s="111"/>
      <c r="BE197" s="111"/>
    </row>
    <row r="198" spans="15:57" x14ac:dyDescent="0.3">
      <c r="O198" s="110"/>
      <c r="P198" s="111"/>
      <c r="R198" s="132"/>
      <c r="S198" s="132"/>
      <c r="T198" s="132"/>
      <c r="U198" s="132"/>
      <c r="V198" s="132"/>
      <c r="W198" s="132"/>
      <c r="X198" s="111"/>
      <c r="Y198" s="111"/>
      <c r="Z198" s="111"/>
      <c r="AA198" s="111"/>
      <c r="AB198" s="111"/>
      <c r="AC198" s="111"/>
      <c r="AD198" s="111"/>
      <c r="AE198" s="111"/>
      <c r="AG198" s="810"/>
      <c r="AH198" s="810"/>
      <c r="AI198" s="810"/>
      <c r="AJ198" s="111"/>
      <c r="AK198" s="111"/>
      <c r="AL198" s="874"/>
      <c r="AM198" s="870"/>
      <c r="AN198" s="111"/>
      <c r="AO198" s="111"/>
      <c r="AP198" s="111"/>
      <c r="AQ198" s="111"/>
      <c r="AR198" s="111"/>
      <c r="AS198" s="111"/>
      <c r="AT198" s="111"/>
      <c r="AU198" s="111"/>
      <c r="AV198" s="111"/>
      <c r="AW198" s="111"/>
      <c r="AX198" s="111"/>
      <c r="AY198" s="111"/>
      <c r="AZ198" s="111"/>
      <c r="BA198" s="111"/>
      <c r="BB198" s="111"/>
      <c r="BC198" s="111"/>
      <c r="BD198" s="111"/>
      <c r="BE198" s="111"/>
    </row>
    <row r="199" spans="15:57" x14ac:dyDescent="0.3">
      <c r="O199" s="110"/>
      <c r="P199" s="111"/>
      <c r="R199" s="132"/>
      <c r="S199" s="132"/>
      <c r="T199" s="132"/>
      <c r="U199" s="132"/>
      <c r="V199" s="132"/>
      <c r="W199" s="132"/>
      <c r="X199" s="111"/>
      <c r="Y199" s="111"/>
      <c r="Z199" s="111"/>
      <c r="AA199" s="111"/>
      <c r="AB199" s="111"/>
      <c r="AC199" s="111"/>
      <c r="AD199" s="111"/>
      <c r="AE199" s="111"/>
      <c r="AG199" s="810"/>
      <c r="AH199" s="810"/>
      <c r="AI199" s="810"/>
      <c r="AJ199" s="111"/>
      <c r="AK199" s="111"/>
      <c r="AL199" s="874"/>
      <c r="AM199" s="870"/>
      <c r="AN199" s="111"/>
      <c r="AO199" s="111"/>
      <c r="AP199" s="111"/>
      <c r="AQ199" s="111"/>
      <c r="AR199" s="111"/>
      <c r="AS199" s="111"/>
      <c r="AT199" s="111"/>
      <c r="AU199" s="111"/>
      <c r="AV199" s="111"/>
      <c r="AW199" s="111"/>
      <c r="AX199" s="111"/>
      <c r="AY199" s="111"/>
      <c r="AZ199" s="111"/>
      <c r="BA199" s="111"/>
      <c r="BB199" s="111"/>
      <c r="BC199" s="111"/>
      <c r="BD199" s="111"/>
      <c r="BE199" s="111"/>
    </row>
    <row r="200" spans="15:57" x14ac:dyDescent="0.3">
      <c r="O200" s="110"/>
      <c r="P200" s="111"/>
      <c r="R200" s="132"/>
      <c r="S200" s="132"/>
      <c r="T200" s="132"/>
      <c r="U200" s="132"/>
      <c r="V200" s="132"/>
      <c r="W200" s="132"/>
      <c r="X200" s="111"/>
      <c r="Y200" s="111"/>
      <c r="Z200" s="111"/>
      <c r="AA200" s="111"/>
      <c r="AB200" s="111"/>
      <c r="AC200" s="111"/>
      <c r="AD200" s="111"/>
      <c r="AE200" s="111"/>
      <c r="AG200" s="810"/>
      <c r="AH200" s="810"/>
      <c r="AI200" s="810"/>
      <c r="AJ200" s="111"/>
      <c r="AK200" s="111"/>
      <c r="AL200" s="874"/>
      <c r="AM200" s="870"/>
      <c r="AN200" s="111"/>
      <c r="AO200" s="111"/>
      <c r="AP200" s="111"/>
      <c r="AQ200" s="111"/>
      <c r="AR200" s="111"/>
      <c r="AS200" s="111"/>
      <c r="AT200" s="111"/>
      <c r="AU200" s="111"/>
      <c r="AV200" s="111"/>
      <c r="AW200" s="111"/>
      <c r="AX200" s="111"/>
      <c r="AY200" s="111"/>
      <c r="AZ200" s="111"/>
      <c r="BA200" s="111"/>
      <c r="BB200" s="111"/>
      <c r="BC200" s="111"/>
      <c r="BD200" s="111"/>
      <c r="BE200" s="111"/>
    </row>
    <row r="201" spans="15:57" x14ac:dyDescent="0.3">
      <c r="O201" s="110"/>
      <c r="P201" s="111"/>
      <c r="R201" s="132"/>
      <c r="S201" s="132"/>
      <c r="T201" s="132"/>
      <c r="U201" s="132"/>
      <c r="V201" s="132"/>
      <c r="W201" s="132"/>
      <c r="X201" s="111"/>
      <c r="Y201" s="111"/>
      <c r="Z201" s="111"/>
      <c r="AA201" s="111"/>
      <c r="AB201" s="111"/>
      <c r="AC201" s="111"/>
      <c r="AD201" s="111"/>
      <c r="AE201" s="111"/>
      <c r="AG201" s="810"/>
      <c r="AH201" s="810"/>
      <c r="AI201" s="810"/>
      <c r="AJ201" s="111"/>
      <c r="AK201" s="111"/>
      <c r="AL201" s="874"/>
      <c r="AM201" s="870"/>
      <c r="AN201" s="111"/>
      <c r="AO201" s="111"/>
      <c r="AP201" s="111"/>
      <c r="AQ201" s="111"/>
      <c r="AR201" s="111"/>
      <c r="AS201" s="111"/>
      <c r="AT201" s="111"/>
      <c r="AU201" s="111"/>
      <c r="AV201" s="111"/>
      <c r="AW201" s="111"/>
      <c r="AX201" s="111"/>
      <c r="AY201" s="111"/>
      <c r="AZ201" s="111"/>
      <c r="BA201" s="111"/>
      <c r="BB201" s="111"/>
      <c r="BC201" s="111"/>
      <c r="BD201" s="111"/>
      <c r="BE201" s="111"/>
    </row>
    <row r="202" spans="15:57" x14ac:dyDescent="0.3">
      <c r="O202" s="110"/>
      <c r="P202" s="111"/>
      <c r="R202" s="132"/>
      <c r="S202" s="132"/>
      <c r="T202" s="132"/>
      <c r="U202" s="132"/>
      <c r="V202" s="132"/>
      <c r="W202" s="132"/>
      <c r="X202" s="111"/>
      <c r="Y202" s="111"/>
      <c r="Z202" s="111"/>
      <c r="AA202" s="111"/>
      <c r="AB202" s="111"/>
      <c r="AC202" s="111"/>
      <c r="AD202" s="111"/>
      <c r="AE202" s="111"/>
      <c r="AG202" s="810"/>
      <c r="AH202" s="810"/>
      <c r="AI202" s="810"/>
      <c r="AJ202" s="111"/>
      <c r="AK202" s="111"/>
      <c r="AL202" s="874"/>
      <c r="AM202" s="870"/>
      <c r="AN202" s="111"/>
      <c r="AO202" s="111"/>
      <c r="AP202" s="111"/>
      <c r="AQ202" s="111"/>
      <c r="AR202" s="111"/>
      <c r="AS202" s="111"/>
      <c r="AT202" s="111"/>
      <c r="AU202" s="111"/>
      <c r="AV202" s="111"/>
      <c r="AW202" s="111"/>
      <c r="AX202" s="111"/>
      <c r="AY202" s="111"/>
      <c r="AZ202" s="111"/>
      <c r="BA202" s="111"/>
      <c r="BB202" s="111"/>
      <c r="BC202" s="111"/>
      <c r="BD202" s="111"/>
      <c r="BE202" s="111"/>
    </row>
    <row r="203" spans="15:57" x14ac:dyDescent="0.3">
      <c r="O203" s="110"/>
      <c r="P203" s="111"/>
      <c r="R203" s="132"/>
      <c r="S203" s="132"/>
      <c r="T203" s="132"/>
      <c r="U203" s="132"/>
      <c r="V203" s="132"/>
      <c r="W203" s="132"/>
      <c r="X203" s="111"/>
      <c r="Y203" s="111"/>
      <c r="Z203" s="111"/>
      <c r="AA203" s="111"/>
      <c r="AB203" s="111"/>
      <c r="AC203" s="111"/>
      <c r="AD203" s="111"/>
      <c r="AE203" s="111"/>
      <c r="AG203" s="810"/>
      <c r="AH203" s="810"/>
      <c r="AI203" s="810"/>
      <c r="AJ203" s="111"/>
      <c r="AK203" s="111"/>
      <c r="AL203" s="874"/>
      <c r="AM203" s="870"/>
      <c r="AN203" s="111"/>
      <c r="AO203" s="111"/>
      <c r="AP203" s="111"/>
      <c r="AQ203" s="111"/>
      <c r="AR203" s="111"/>
      <c r="AS203" s="111"/>
      <c r="AT203" s="111"/>
      <c r="AU203" s="111"/>
      <c r="AV203" s="111"/>
      <c r="AW203" s="111"/>
      <c r="AX203" s="111"/>
      <c r="AY203" s="111"/>
      <c r="AZ203" s="111"/>
      <c r="BA203" s="111"/>
      <c r="BB203" s="111"/>
      <c r="BC203" s="111"/>
      <c r="BD203" s="111"/>
      <c r="BE203" s="111"/>
    </row>
    <row r="204" spans="15:57" x14ac:dyDescent="0.3">
      <c r="O204" s="110"/>
      <c r="P204" s="111"/>
      <c r="R204" s="132"/>
      <c r="S204" s="132"/>
      <c r="T204" s="132"/>
      <c r="U204" s="132"/>
      <c r="V204" s="132"/>
      <c r="W204" s="132"/>
      <c r="X204" s="111"/>
      <c r="Y204" s="111"/>
      <c r="Z204" s="111"/>
      <c r="AA204" s="111"/>
      <c r="AB204" s="111"/>
      <c r="AC204" s="111"/>
      <c r="AD204" s="111"/>
      <c r="AE204" s="111"/>
      <c r="AG204" s="810"/>
      <c r="AH204" s="810"/>
      <c r="AI204" s="810"/>
      <c r="AJ204" s="111"/>
      <c r="AK204" s="111"/>
      <c r="AL204" s="874"/>
      <c r="AM204" s="870"/>
      <c r="AN204" s="111"/>
      <c r="AO204" s="111"/>
      <c r="AP204" s="111"/>
      <c r="AQ204" s="111"/>
      <c r="AR204" s="111"/>
      <c r="AS204" s="111"/>
      <c r="AT204" s="111"/>
      <c r="AU204" s="111"/>
      <c r="AV204" s="111"/>
      <c r="AW204" s="111"/>
      <c r="AX204" s="111"/>
      <c r="AY204" s="111"/>
      <c r="AZ204" s="111"/>
      <c r="BA204" s="111"/>
      <c r="BB204" s="111"/>
      <c r="BC204" s="111"/>
      <c r="BD204" s="111"/>
      <c r="BE204" s="111"/>
    </row>
    <row r="205" spans="15:57" x14ac:dyDescent="0.3">
      <c r="O205" s="110"/>
      <c r="P205" s="111"/>
      <c r="R205" s="132"/>
      <c r="S205" s="132"/>
      <c r="T205" s="132"/>
      <c r="U205" s="132"/>
      <c r="V205" s="132"/>
      <c r="W205" s="132"/>
      <c r="X205" s="111"/>
      <c r="Y205" s="111"/>
      <c r="Z205" s="111"/>
      <c r="AA205" s="111"/>
      <c r="AB205" s="111"/>
      <c r="AC205" s="111"/>
      <c r="AD205" s="111"/>
      <c r="AE205" s="111"/>
      <c r="AG205" s="810"/>
      <c r="AH205" s="810"/>
      <c r="AI205" s="810"/>
      <c r="AJ205" s="111"/>
      <c r="AK205" s="111"/>
      <c r="AL205" s="874"/>
      <c r="AM205" s="870"/>
      <c r="AN205" s="111"/>
      <c r="AO205" s="111"/>
      <c r="AP205" s="111"/>
      <c r="AQ205" s="111"/>
      <c r="AR205" s="111"/>
      <c r="AS205" s="111"/>
      <c r="AT205" s="111"/>
      <c r="AU205" s="111"/>
      <c r="AV205" s="111"/>
      <c r="AW205" s="111"/>
      <c r="AX205" s="111"/>
      <c r="AY205" s="111"/>
      <c r="AZ205" s="111"/>
      <c r="BA205" s="111"/>
      <c r="BB205" s="111"/>
      <c r="BC205" s="111"/>
      <c r="BD205" s="111"/>
      <c r="BE205" s="111"/>
    </row>
    <row r="206" spans="15:57" x14ac:dyDescent="0.3">
      <c r="O206" s="110"/>
      <c r="P206" s="111"/>
      <c r="R206" s="132"/>
      <c r="S206" s="132"/>
      <c r="T206" s="132"/>
      <c r="U206" s="132"/>
      <c r="V206" s="132"/>
      <c r="W206" s="132"/>
      <c r="X206" s="111"/>
      <c r="Y206" s="111"/>
      <c r="Z206" s="111"/>
      <c r="AA206" s="111"/>
      <c r="AB206" s="111"/>
      <c r="AC206" s="111"/>
      <c r="AD206" s="111"/>
      <c r="AE206" s="111"/>
      <c r="AG206" s="810"/>
      <c r="AH206" s="810"/>
      <c r="AI206" s="810"/>
      <c r="AJ206" s="111"/>
      <c r="AK206" s="111"/>
      <c r="AL206" s="874"/>
      <c r="AM206" s="870"/>
      <c r="AN206" s="111"/>
      <c r="AO206" s="111"/>
      <c r="AP206" s="111"/>
      <c r="AQ206" s="111"/>
      <c r="AR206" s="111"/>
      <c r="AS206" s="111"/>
      <c r="AT206" s="111"/>
      <c r="AU206" s="111"/>
      <c r="AV206" s="111"/>
      <c r="AW206" s="111"/>
      <c r="AX206" s="111"/>
      <c r="AY206" s="111"/>
      <c r="AZ206" s="111"/>
      <c r="BA206" s="111"/>
      <c r="BB206" s="111"/>
      <c r="BC206" s="111"/>
      <c r="BD206" s="111"/>
      <c r="BE206" s="111"/>
    </row>
    <row r="207" spans="15:57" x14ac:dyDescent="0.3">
      <c r="O207" s="110"/>
      <c r="P207" s="111"/>
      <c r="R207" s="132"/>
      <c r="S207" s="132"/>
      <c r="T207" s="132"/>
      <c r="U207" s="132"/>
      <c r="V207" s="132"/>
      <c r="W207" s="132"/>
      <c r="X207" s="111"/>
      <c r="Y207" s="111"/>
      <c r="Z207" s="111"/>
      <c r="AA207" s="111"/>
      <c r="AB207" s="111"/>
      <c r="AC207" s="111"/>
      <c r="AD207" s="111"/>
      <c r="AE207" s="111"/>
      <c r="AG207" s="810"/>
      <c r="AH207" s="810"/>
      <c r="AI207" s="810"/>
      <c r="AJ207" s="111"/>
      <c r="AK207" s="111"/>
      <c r="AL207" s="874"/>
      <c r="AM207" s="870"/>
      <c r="AN207" s="111"/>
      <c r="AO207" s="111"/>
      <c r="AP207" s="111"/>
      <c r="AQ207" s="111"/>
      <c r="AR207" s="111"/>
      <c r="AS207" s="111"/>
      <c r="AT207" s="111"/>
      <c r="AU207" s="111"/>
      <c r="AV207" s="111"/>
      <c r="AW207" s="111"/>
      <c r="AX207" s="111"/>
      <c r="AY207" s="111"/>
      <c r="AZ207" s="111"/>
      <c r="BA207" s="111"/>
      <c r="BB207" s="111"/>
      <c r="BC207" s="111"/>
      <c r="BD207" s="111"/>
      <c r="BE207" s="111"/>
    </row>
    <row r="208" spans="15:57" x14ac:dyDescent="0.3">
      <c r="O208" s="110"/>
      <c r="P208" s="111"/>
      <c r="R208" s="132"/>
      <c r="S208" s="132"/>
      <c r="T208" s="132"/>
      <c r="U208" s="132"/>
      <c r="V208" s="132"/>
      <c r="W208" s="132"/>
      <c r="X208" s="111"/>
      <c r="Y208" s="111"/>
      <c r="Z208" s="111"/>
      <c r="AA208" s="111"/>
      <c r="AB208" s="111"/>
      <c r="AC208" s="111"/>
      <c r="AD208" s="111"/>
      <c r="AE208" s="111"/>
      <c r="AG208" s="810"/>
      <c r="AH208" s="810"/>
      <c r="AI208" s="810"/>
      <c r="AJ208" s="111"/>
      <c r="AK208" s="111"/>
      <c r="AL208" s="874"/>
      <c r="AM208" s="870"/>
      <c r="AN208" s="111"/>
      <c r="AO208" s="111"/>
      <c r="AP208" s="111"/>
      <c r="AQ208" s="111"/>
      <c r="AR208" s="111"/>
      <c r="AS208" s="111"/>
      <c r="AT208" s="111"/>
      <c r="AU208" s="111"/>
      <c r="AV208" s="111"/>
      <c r="AW208" s="111"/>
      <c r="AX208" s="111"/>
      <c r="AY208" s="111"/>
      <c r="AZ208" s="111"/>
      <c r="BA208" s="111"/>
      <c r="BB208" s="111"/>
      <c r="BC208" s="111"/>
      <c r="BD208" s="111"/>
      <c r="BE208" s="111"/>
    </row>
    <row r="209" spans="15:57" x14ac:dyDescent="0.3">
      <c r="O209" s="110"/>
      <c r="P209" s="111"/>
      <c r="R209" s="132"/>
      <c r="S209" s="132"/>
      <c r="T209" s="132"/>
      <c r="U209" s="132"/>
      <c r="V209" s="132"/>
      <c r="W209" s="132"/>
      <c r="X209" s="111"/>
      <c r="Y209" s="111"/>
      <c r="Z209" s="111"/>
      <c r="AA209" s="111"/>
      <c r="AB209" s="111"/>
      <c r="AC209" s="111"/>
      <c r="AD209" s="111"/>
      <c r="AE209" s="111"/>
      <c r="AG209" s="810"/>
      <c r="AH209" s="810"/>
      <c r="AI209" s="810"/>
      <c r="AJ209" s="111"/>
      <c r="AK209" s="111"/>
      <c r="AL209" s="874"/>
      <c r="AM209" s="870"/>
      <c r="AN209" s="111"/>
      <c r="AO209" s="111"/>
      <c r="AP209" s="111"/>
      <c r="AQ209" s="111"/>
      <c r="AR209" s="111"/>
      <c r="AS209" s="111"/>
      <c r="AT209" s="111"/>
      <c r="AU209" s="111"/>
      <c r="AV209" s="111"/>
      <c r="AW209" s="111"/>
      <c r="AX209" s="111"/>
      <c r="AY209" s="111"/>
      <c r="AZ209" s="111"/>
      <c r="BA209" s="111"/>
      <c r="BB209" s="111"/>
      <c r="BC209" s="111"/>
      <c r="BD209" s="111"/>
      <c r="BE209" s="111"/>
    </row>
    <row r="210" spans="15:57" x14ac:dyDescent="0.3">
      <c r="O210" s="110"/>
      <c r="P210" s="111"/>
      <c r="R210" s="132"/>
      <c r="S210" s="132"/>
      <c r="T210" s="132"/>
      <c r="U210" s="132"/>
      <c r="V210" s="132"/>
      <c r="W210" s="132"/>
      <c r="X210" s="111"/>
      <c r="Y210" s="111"/>
      <c r="Z210" s="111"/>
      <c r="AA210" s="111"/>
      <c r="AB210" s="111"/>
      <c r="AC210" s="111"/>
      <c r="AD210" s="111"/>
      <c r="AE210" s="111"/>
      <c r="AG210" s="810"/>
      <c r="AH210" s="810"/>
      <c r="AI210" s="810"/>
      <c r="AJ210" s="111"/>
      <c r="AK210" s="111"/>
      <c r="AL210" s="874"/>
      <c r="AM210" s="870"/>
      <c r="AN210" s="111"/>
      <c r="AO210" s="111"/>
      <c r="AP210" s="111"/>
      <c r="AQ210" s="111"/>
      <c r="AR210" s="111"/>
      <c r="AS210" s="111"/>
      <c r="AT210" s="111"/>
      <c r="AU210" s="111"/>
      <c r="AV210" s="111"/>
      <c r="AW210" s="111"/>
      <c r="AX210" s="111"/>
      <c r="AY210" s="111"/>
      <c r="AZ210" s="111"/>
      <c r="BA210" s="111"/>
      <c r="BB210" s="111"/>
      <c r="BC210" s="111"/>
      <c r="BD210" s="111"/>
      <c r="BE210" s="111"/>
    </row>
    <row r="211" spans="15:57" x14ac:dyDescent="0.3">
      <c r="O211" s="110"/>
      <c r="P211" s="111"/>
      <c r="R211" s="132"/>
      <c r="S211" s="132"/>
      <c r="T211" s="132"/>
      <c r="U211" s="132"/>
      <c r="V211" s="132"/>
      <c r="W211" s="132"/>
      <c r="X211" s="111"/>
      <c r="Y211" s="111"/>
      <c r="Z211" s="111"/>
      <c r="AA211" s="111"/>
      <c r="AB211" s="111"/>
      <c r="AC211" s="111"/>
      <c r="AD211" s="111"/>
      <c r="AE211" s="111"/>
      <c r="AG211" s="810"/>
      <c r="AH211" s="810"/>
      <c r="AI211" s="810"/>
      <c r="AJ211" s="111"/>
      <c r="AK211" s="111"/>
      <c r="AL211" s="874"/>
      <c r="AM211" s="870"/>
      <c r="AN211" s="111"/>
      <c r="AO211" s="111"/>
      <c r="AP211" s="111"/>
      <c r="AQ211" s="111"/>
      <c r="AR211" s="111"/>
      <c r="AS211" s="111"/>
      <c r="AT211" s="111"/>
      <c r="AU211" s="111"/>
      <c r="AV211" s="111"/>
      <c r="AW211" s="111"/>
      <c r="AX211" s="111"/>
      <c r="AY211" s="111"/>
      <c r="AZ211" s="111"/>
      <c r="BA211" s="111"/>
      <c r="BB211" s="111"/>
      <c r="BC211" s="111"/>
      <c r="BD211" s="111"/>
      <c r="BE211" s="111"/>
    </row>
    <row r="212" spans="15:57" x14ac:dyDescent="0.3">
      <c r="O212" s="110"/>
      <c r="P212" s="111"/>
      <c r="R212" s="132"/>
      <c r="S212" s="132"/>
      <c r="T212" s="132"/>
      <c r="U212" s="132"/>
      <c r="V212" s="132"/>
      <c r="W212" s="132"/>
      <c r="X212" s="111"/>
      <c r="Y212" s="111"/>
      <c r="Z212" s="111"/>
      <c r="AA212" s="111"/>
      <c r="AB212" s="111"/>
      <c r="AC212" s="111"/>
      <c r="AD212" s="111"/>
      <c r="AE212" s="111"/>
      <c r="AG212" s="810"/>
      <c r="AH212" s="810"/>
      <c r="AI212" s="810"/>
      <c r="AJ212" s="111"/>
      <c r="AK212" s="111"/>
      <c r="AL212" s="874"/>
      <c r="AM212" s="870"/>
      <c r="AN212" s="111"/>
      <c r="AO212" s="111"/>
      <c r="AP212" s="111"/>
      <c r="AQ212" s="111"/>
      <c r="AR212" s="111"/>
      <c r="AS212" s="111"/>
      <c r="AT212" s="111"/>
      <c r="AU212" s="111"/>
      <c r="AV212" s="111"/>
      <c r="AW212" s="111"/>
      <c r="AX212" s="111"/>
      <c r="AY212" s="111"/>
      <c r="AZ212" s="111"/>
      <c r="BA212" s="111"/>
      <c r="BB212" s="111"/>
      <c r="BC212" s="111"/>
      <c r="BD212" s="111"/>
      <c r="BE212" s="111"/>
    </row>
    <row r="213" spans="15:57" x14ac:dyDescent="0.3">
      <c r="O213" s="110"/>
      <c r="P213" s="111"/>
      <c r="R213" s="132"/>
      <c r="S213" s="132"/>
      <c r="T213" s="132"/>
      <c r="U213" s="132"/>
      <c r="V213" s="132"/>
      <c r="W213" s="132"/>
      <c r="X213" s="111"/>
      <c r="Y213" s="111"/>
      <c r="Z213" s="111"/>
      <c r="AA213" s="111"/>
      <c r="AB213" s="111"/>
      <c r="AC213" s="111"/>
      <c r="AD213" s="111"/>
      <c r="AE213" s="111"/>
      <c r="AG213" s="810"/>
      <c r="AH213" s="810"/>
      <c r="AI213" s="810"/>
      <c r="AJ213" s="111"/>
      <c r="AK213" s="111"/>
      <c r="AL213" s="874"/>
      <c r="AM213" s="870"/>
      <c r="AN213" s="111"/>
      <c r="AO213" s="111"/>
      <c r="AP213" s="111"/>
      <c r="AQ213" s="111"/>
      <c r="AR213" s="111"/>
      <c r="AS213" s="111"/>
      <c r="AT213" s="111"/>
      <c r="AU213" s="111"/>
      <c r="AV213" s="111"/>
      <c r="AW213" s="111"/>
      <c r="AX213" s="111"/>
      <c r="AY213" s="111"/>
      <c r="AZ213" s="111"/>
      <c r="BA213" s="111"/>
      <c r="BB213" s="111"/>
      <c r="BC213" s="111"/>
      <c r="BD213" s="111"/>
      <c r="BE213" s="111"/>
    </row>
    <row r="214" spans="15:57" x14ac:dyDescent="0.3">
      <c r="O214" s="110"/>
      <c r="P214" s="111"/>
      <c r="R214" s="132"/>
      <c r="S214" s="132"/>
      <c r="T214" s="132"/>
      <c r="U214" s="132"/>
      <c r="V214" s="132"/>
      <c r="W214" s="132"/>
      <c r="X214" s="111"/>
      <c r="Y214" s="111"/>
      <c r="Z214" s="111"/>
      <c r="AA214" s="111"/>
      <c r="AB214" s="111"/>
      <c r="AC214" s="111"/>
      <c r="AD214" s="111"/>
      <c r="AE214" s="111"/>
      <c r="AG214" s="810"/>
      <c r="AH214" s="810"/>
      <c r="AI214" s="810"/>
      <c r="AJ214" s="111"/>
      <c r="AK214" s="111"/>
      <c r="AL214" s="874"/>
      <c r="AM214" s="870"/>
      <c r="AN214" s="111"/>
      <c r="AO214" s="111"/>
      <c r="AP214" s="111"/>
      <c r="AQ214" s="111"/>
      <c r="AR214" s="111"/>
      <c r="AS214" s="111"/>
      <c r="AT214" s="111"/>
      <c r="AU214" s="111"/>
      <c r="AV214" s="111"/>
      <c r="AW214" s="111"/>
      <c r="AX214" s="111"/>
      <c r="AY214" s="111"/>
      <c r="AZ214" s="111"/>
      <c r="BA214" s="111"/>
      <c r="BB214" s="111"/>
      <c r="BC214" s="111"/>
      <c r="BD214" s="111"/>
      <c r="BE214" s="111"/>
    </row>
    <row r="215" spans="15:57" x14ac:dyDescent="0.3">
      <c r="O215" s="110"/>
      <c r="P215" s="111"/>
      <c r="R215" s="132"/>
      <c r="S215" s="132"/>
      <c r="T215" s="132"/>
      <c r="U215" s="132"/>
      <c r="V215" s="132"/>
      <c r="W215" s="132"/>
      <c r="X215" s="111"/>
      <c r="Y215" s="111"/>
      <c r="Z215" s="111"/>
      <c r="AA215" s="111"/>
      <c r="AB215" s="111"/>
      <c r="AC215" s="111"/>
      <c r="AD215" s="111"/>
      <c r="AE215" s="111"/>
      <c r="AG215" s="810"/>
      <c r="AH215" s="810"/>
      <c r="AI215" s="810"/>
      <c r="AJ215" s="111"/>
      <c r="AK215" s="111"/>
      <c r="AL215" s="874"/>
      <c r="AM215" s="870"/>
      <c r="AN215" s="111"/>
      <c r="AO215" s="111"/>
      <c r="AP215" s="111"/>
      <c r="AQ215" s="111"/>
      <c r="AR215" s="111"/>
      <c r="AS215" s="111"/>
      <c r="AT215" s="111"/>
      <c r="AU215" s="111"/>
      <c r="AV215" s="111"/>
      <c r="AW215" s="111"/>
      <c r="AX215" s="111"/>
      <c r="AY215" s="111"/>
      <c r="AZ215" s="111"/>
      <c r="BA215" s="111"/>
      <c r="BB215" s="111"/>
      <c r="BC215" s="111"/>
      <c r="BD215" s="111"/>
      <c r="BE215" s="111"/>
    </row>
    <row r="216" spans="15:57" x14ac:dyDescent="0.3">
      <c r="O216" s="110"/>
      <c r="P216" s="111"/>
      <c r="R216" s="132"/>
      <c r="S216" s="132"/>
      <c r="T216" s="132"/>
      <c r="U216" s="132"/>
      <c r="V216" s="132"/>
      <c r="W216" s="132"/>
      <c r="X216" s="111"/>
      <c r="Y216" s="111"/>
      <c r="Z216" s="111"/>
      <c r="AA216" s="111"/>
      <c r="AB216" s="111"/>
      <c r="AC216" s="111"/>
      <c r="AD216" s="111"/>
      <c r="AE216" s="111"/>
      <c r="AG216" s="810"/>
      <c r="AH216" s="810"/>
      <c r="AI216" s="810"/>
      <c r="AJ216" s="111"/>
      <c r="AK216" s="111"/>
      <c r="AL216" s="874"/>
      <c r="AM216" s="870"/>
      <c r="AN216" s="111"/>
      <c r="AO216" s="111"/>
      <c r="AP216" s="111"/>
      <c r="AQ216" s="111"/>
      <c r="AR216" s="111"/>
      <c r="AS216" s="111"/>
      <c r="AT216" s="111"/>
      <c r="AU216" s="111"/>
      <c r="AV216" s="111"/>
      <c r="AW216" s="111"/>
      <c r="AX216" s="111"/>
      <c r="AY216" s="111"/>
      <c r="AZ216" s="111"/>
      <c r="BA216" s="111"/>
      <c r="BB216" s="111"/>
      <c r="BC216" s="111"/>
      <c r="BD216" s="111"/>
      <c r="BE216" s="111"/>
    </row>
    <row r="217" spans="15:57" x14ac:dyDescent="0.3">
      <c r="O217" s="110"/>
      <c r="P217" s="111"/>
      <c r="R217" s="132"/>
      <c r="S217" s="132"/>
      <c r="T217" s="132"/>
      <c r="U217" s="132"/>
      <c r="V217" s="132"/>
      <c r="W217" s="132"/>
      <c r="X217" s="111"/>
      <c r="Y217" s="111"/>
      <c r="Z217" s="111"/>
      <c r="AA217" s="111"/>
      <c r="AB217" s="111"/>
      <c r="AC217" s="111"/>
      <c r="AD217" s="111"/>
      <c r="AE217" s="111"/>
      <c r="AG217" s="810"/>
      <c r="AH217" s="810"/>
      <c r="AI217" s="810"/>
      <c r="AJ217" s="111"/>
      <c r="AK217" s="111"/>
      <c r="AL217" s="874"/>
      <c r="AM217" s="870"/>
      <c r="AN217" s="111"/>
      <c r="AO217" s="111"/>
      <c r="AP217" s="111"/>
      <c r="AQ217" s="111"/>
      <c r="AR217" s="111"/>
      <c r="AS217" s="111"/>
      <c r="AT217" s="111"/>
      <c r="AU217" s="111"/>
      <c r="AV217" s="111"/>
      <c r="AW217" s="111"/>
      <c r="AX217" s="111"/>
      <c r="AY217" s="111"/>
      <c r="AZ217" s="111"/>
      <c r="BA217" s="111"/>
      <c r="BB217" s="111"/>
      <c r="BC217" s="111"/>
      <c r="BD217" s="111"/>
      <c r="BE217" s="111"/>
    </row>
    <row r="218" spans="15:57" x14ac:dyDescent="0.3">
      <c r="O218" s="110"/>
      <c r="P218" s="111"/>
      <c r="R218" s="132"/>
      <c r="S218" s="132"/>
      <c r="T218" s="132"/>
      <c r="U218" s="132"/>
      <c r="V218" s="132"/>
      <c r="W218" s="132"/>
      <c r="X218" s="111"/>
      <c r="Y218" s="111"/>
      <c r="Z218" s="111"/>
      <c r="AA218" s="111"/>
      <c r="AB218" s="111"/>
      <c r="AC218" s="111"/>
      <c r="AD218" s="111"/>
      <c r="AE218" s="111"/>
      <c r="AG218" s="810"/>
      <c r="AH218" s="810"/>
      <c r="AI218" s="810"/>
      <c r="AJ218" s="111"/>
      <c r="AK218" s="111"/>
      <c r="AL218" s="874"/>
      <c r="AM218" s="870"/>
      <c r="AN218" s="111"/>
      <c r="AO218" s="111"/>
      <c r="AP218" s="111"/>
      <c r="AQ218" s="111"/>
      <c r="AR218" s="111"/>
      <c r="AS218" s="111"/>
      <c r="AT218" s="111"/>
      <c r="AU218" s="111"/>
      <c r="AV218" s="111"/>
      <c r="AW218" s="111"/>
      <c r="AX218" s="111"/>
      <c r="AY218" s="111"/>
      <c r="AZ218" s="111"/>
      <c r="BA218" s="111"/>
      <c r="BB218" s="111"/>
      <c r="BC218" s="111"/>
      <c r="BD218" s="111"/>
      <c r="BE218" s="111"/>
    </row>
    <row r="219" spans="15:57" x14ac:dyDescent="0.3">
      <c r="O219" s="110"/>
      <c r="P219" s="111"/>
      <c r="R219" s="132"/>
      <c r="S219" s="132"/>
      <c r="T219" s="132"/>
      <c r="U219" s="132"/>
      <c r="V219" s="132"/>
      <c r="W219" s="132"/>
      <c r="X219" s="111"/>
      <c r="Y219" s="111"/>
      <c r="Z219" s="111"/>
      <c r="AA219" s="111"/>
      <c r="AB219" s="111"/>
      <c r="AC219" s="111"/>
      <c r="AD219" s="111"/>
      <c r="AE219" s="111"/>
      <c r="AG219" s="810"/>
      <c r="AH219" s="810"/>
      <c r="AI219" s="810"/>
      <c r="AJ219" s="111"/>
      <c r="AK219" s="111"/>
      <c r="AL219" s="874"/>
      <c r="AM219" s="870"/>
      <c r="AN219" s="111"/>
      <c r="AO219" s="111"/>
      <c r="AP219" s="111"/>
      <c r="AQ219" s="111"/>
      <c r="AR219" s="111"/>
      <c r="AS219" s="111"/>
      <c r="AT219" s="111"/>
      <c r="AU219" s="111"/>
      <c r="AV219" s="111"/>
      <c r="AW219" s="111"/>
      <c r="AX219" s="111"/>
      <c r="AY219" s="111"/>
      <c r="AZ219" s="111"/>
      <c r="BA219" s="111"/>
      <c r="BB219" s="111"/>
      <c r="BC219" s="111"/>
      <c r="BD219" s="111"/>
      <c r="BE219" s="111"/>
    </row>
    <row r="220" spans="15:57" x14ac:dyDescent="0.3">
      <c r="O220" s="110"/>
      <c r="P220" s="111"/>
      <c r="R220" s="132"/>
      <c r="S220" s="132"/>
      <c r="T220" s="132"/>
      <c r="U220" s="132"/>
      <c r="V220" s="132"/>
      <c r="W220" s="132"/>
      <c r="X220" s="111"/>
      <c r="Y220" s="111"/>
      <c r="Z220" s="111"/>
      <c r="AA220" s="111"/>
      <c r="AB220" s="111"/>
      <c r="AC220" s="111"/>
      <c r="AD220" s="111"/>
      <c r="AE220" s="111"/>
      <c r="AG220" s="810"/>
      <c r="AH220" s="810"/>
      <c r="AI220" s="810"/>
      <c r="AJ220" s="111"/>
      <c r="AK220" s="111"/>
      <c r="AL220" s="874"/>
      <c r="AM220" s="870"/>
      <c r="AN220" s="111"/>
      <c r="AO220" s="111"/>
      <c r="AP220" s="111"/>
      <c r="AQ220" s="111"/>
      <c r="AR220" s="111"/>
      <c r="AS220" s="111"/>
      <c r="AT220" s="111"/>
      <c r="AU220" s="111"/>
      <c r="AV220" s="111"/>
      <c r="AW220" s="111"/>
      <c r="AX220" s="111"/>
      <c r="AY220" s="111"/>
      <c r="AZ220" s="111"/>
      <c r="BA220" s="111"/>
      <c r="BB220" s="111"/>
      <c r="BC220" s="111"/>
      <c r="BD220" s="111"/>
      <c r="BE220" s="111"/>
    </row>
    <row r="221" spans="15:57" x14ac:dyDescent="0.3">
      <c r="O221" s="110"/>
      <c r="P221" s="111"/>
      <c r="R221" s="132"/>
      <c r="S221" s="132"/>
      <c r="T221" s="132"/>
      <c r="U221" s="132"/>
      <c r="V221" s="132"/>
      <c r="W221" s="132"/>
      <c r="X221" s="111"/>
      <c r="Y221" s="111"/>
      <c r="Z221" s="111"/>
      <c r="AA221" s="111"/>
      <c r="AB221" s="111"/>
      <c r="AC221" s="111"/>
      <c r="AD221" s="111"/>
      <c r="AE221" s="111"/>
      <c r="AG221" s="810"/>
      <c r="AH221" s="810"/>
      <c r="AI221" s="810"/>
      <c r="AJ221" s="111"/>
      <c r="AK221" s="111"/>
      <c r="AL221" s="874"/>
      <c r="AM221" s="870"/>
      <c r="AN221" s="111"/>
      <c r="AO221" s="111"/>
      <c r="AP221" s="111"/>
      <c r="AQ221" s="111"/>
      <c r="AR221" s="111"/>
      <c r="AS221" s="111"/>
      <c r="AT221" s="111"/>
      <c r="AU221" s="111"/>
      <c r="AV221" s="111"/>
      <c r="AW221" s="111"/>
      <c r="AX221" s="111"/>
      <c r="AY221" s="111"/>
      <c r="AZ221" s="111"/>
      <c r="BA221" s="111"/>
      <c r="BB221" s="111"/>
      <c r="BC221" s="111"/>
      <c r="BD221" s="111"/>
      <c r="BE221" s="111"/>
    </row>
    <row r="222" spans="15:57" x14ac:dyDescent="0.3">
      <c r="O222" s="110"/>
      <c r="P222" s="111"/>
      <c r="R222" s="132"/>
      <c r="S222" s="132"/>
      <c r="T222" s="132"/>
      <c r="U222" s="132"/>
      <c r="V222" s="132"/>
      <c r="W222" s="132"/>
      <c r="X222" s="111"/>
      <c r="Y222" s="111"/>
      <c r="Z222" s="111"/>
      <c r="AA222" s="111"/>
      <c r="AB222" s="111"/>
      <c r="AC222" s="111"/>
      <c r="AD222" s="111"/>
      <c r="AE222" s="111"/>
      <c r="AG222" s="810"/>
      <c r="AH222" s="810"/>
      <c r="AI222" s="810"/>
      <c r="AJ222" s="111"/>
      <c r="AK222" s="111"/>
      <c r="AL222" s="874"/>
      <c r="AM222" s="870"/>
      <c r="AN222" s="111"/>
      <c r="AO222" s="111"/>
      <c r="AP222" s="111"/>
      <c r="AQ222" s="111"/>
      <c r="AR222" s="111"/>
      <c r="AS222" s="111"/>
      <c r="AT222" s="111"/>
      <c r="AU222" s="111"/>
      <c r="AV222" s="111"/>
      <c r="AW222" s="111"/>
      <c r="AX222" s="111"/>
      <c r="AY222" s="111"/>
      <c r="AZ222" s="111"/>
      <c r="BA222" s="111"/>
      <c r="BB222" s="111"/>
      <c r="BC222" s="111"/>
      <c r="BD222" s="111"/>
      <c r="BE222" s="111"/>
    </row>
    <row r="223" spans="15:57" x14ac:dyDescent="0.3">
      <c r="O223" s="110"/>
      <c r="P223" s="111"/>
      <c r="R223" s="132"/>
      <c r="S223" s="132"/>
      <c r="T223" s="132"/>
      <c r="U223" s="132"/>
      <c r="V223" s="132"/>
      <c r="W223" s="132"/>
      <c r="X223" s="111"/>
      <c r="Y223" s="111"/>
      <c r="Z223" s="111"/>
      <c r="AA223" s="111"/>
      <c r="AB223" s="111"/>
      <c r="AC223" s="111"/>
      <c r="AD223" s="111"/>
      <c r="AE223" s="111"/>
      <c r="AG223" s="810"/>
      <c r="AH223" s="810"/>
      <c r="AI223" s="810"/>
      <c r="AJ223" s="111"/>
      <c r="AK223" s="111"/>
      <c r="AL223" s="874"/>
      <c r="AM223" s="870"/>
      <c r="AN223" s="111"/>
      <c r="AO223" s="111"/>
      <c r="AP223" s="111"/>
      <c r="AQ223" s="111"/>
      <c r="AR223" s="111"/>
      <c r="AS223" s="111"/>
      <c r="AT223" s="111"/>
      <c r="AU223" s="111"/>
      <c r="AV223" s="111"/>
      <c r="AW223" s="111"/>
      <c r="AX223" s="111"/>
      <c r="AY223" s="111"/>
      <c r="AZ223" s="111"/>
      <c r="BA223" s="111"/>
      <c r="BB223" s="111"/>
      <c r="BC223" s="111"/>
      <c r="BD223" s="111"/>
      <c r="BE223" s="111"/>
    </row>
    <row r="224" spans="15:57" x14ac:dyDescent="0.3">
      <c r="O224" s="110"/>
      <c r="P224" s="111"/>
      <c r="R224" s="132"/>
      <c r="S224" s="132"/>
      <c r="T224" s="132"/>
      <c r="U224" s="132"/>
      <c r="V224" s="132"/>
      <c r="W224" s="132"/>
      <c r="X224" s="111"/>
      <c r="Y224" s="111"/>
      <c r="Z224" s="111"/>
      <c r="AA224" s="111"/>
      <c r="AB224" s="111"/>
      <c r="AC224" s="111"/>
      <c r="AD224" s="111"/>
      <c r="AE224" s="111"/>
      <c r="AG224" s="810"/>
      <c r="AH224" s="810"/>
      <c r="AI224" s="810"/>
      <c r="AJ224" s="111"/>
      <c r="AK224" s="111"/>
      <c r="AL224" s="874"/>
      <c r="AM224" s="870"/>
      <c r="AN224" s="111"/>
      <c r="AO224" s="111"/>
      <c r="AP224" s="111"/>
      <c r="AQ224" s="111"/>
      <c r="AR224" s="111"/>
      <c r="AS224" s="111"/>
      <c r="AT224" s="111"/>
      <c r="AU224" s="111"/>
      <c r="AV224" s="111"/>
      <c r="AW224" s="111"/>
      <c r="AX224" s="111"/>
      <c r="AY224" s="111"/>
      <c r="AZ224" s="111"/>
      <c r="BA224" s="111"/>
      <c r="BB224" s="111"/>
      <c r="BC224" s="111"/>
      <c r="BD224" s="111"/>
      <c r="BE224" s="111"/>
    </row>
  </sheetData>
  <phoneticPr fontId="5" type="noConversion"/>
  <conditionalFormatting sqref="R129:W129 R3:S128">
    <cfRule type="iconSet" priority="1">
      <iconSet>
        <cfvo type="percent" val="0"/>
        <cfvo type="percent" val="33"/>
        <cfvo type="percent" val="67"/>
      </iconSet>
    </cfRule>
  </conditionalFormatting>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A42D1-E358-874C-969C-D03773A67E37}">
  <sheetPr>
    <tabColor theme="5" tint="-0.499984740745262"/>
  </sheetPr>
  <dimension ref="A1:L134"/>
  <sheetViews>
    <sheetView workbookViewId="0"/>
  </sheetViews>
  <sheetFormatPr defaultColWidth="11" defaultRowHeight="15.75" x14ac:dyDescent="0.25"/>
  <cols>
    <col min="1" max="1" width="11" style="820"/>
    <col min="2" max="2" width="78.42578125" style="819" customWidth="1"/>
    <col min="3" max="3" width="27.140625" style="819" customWidth="1"/>
    <col min="4" max="4" width="19" style="819" hidden="1" customWidth="1"/>
    <col min="5" max="6" width="18.140625" style="819" customWidth="1"/>
    <col min="7" max="7" width="26.85546875" style="825" customWidth="1"/>
    <col min="8" max="9" width="31.85546875" style="819" customWidth="1"/>
    <col min="10" max="10" width="31.85546875" style="819" hidden="1" customWidth="1"/>
    <col min="11" max="11" width="30" style="822" hidden="1" customWidth="1"/>
    <col min="12" max="12" width="11" style="821"/>
    <col min="13" max="13" width="43.85546875" style="821" customWidth="1"/>
    <col min="14" max="16384" width="11" style="821"/>
  </cols>
  <sheetData>
    <row r="1" spans="1:12" s="828" customFormat="1" ht="191.1" customHeight="1" x14ac:dyDescent="0.25">
      <c r="A1" s="829" t="s">
        <v>122</v>
      </c>
      <c r="B1" s="829" t="s">
        <v>493</v>
      </c>
      <c r="C1" s="829" t="str">
        <f>ITE_LUC_Rates!Y1</f>
        <v>Ring 3 Out Final Roads Assessment</v>
      </c>
      <c r="D1" s="829" t="str">
        <f>ITE_LUC_Rates!Z1</f>
        <v>Ring 3 Out Final MDMF Assessment</v>
      </c>
      <c r="E1" s="829" t="str">
        <f>ITE_LUC_Rates!AA1</f>
        <v>VMT: RIF</v>
      </c>
      <c r="F1" s="829" t="str">
        <f>ITE_LUC_Rates!AB1</f>
        <v>VMT: MDMF Ring 3 Out Roads</v>
      </c>
      <c r="G1" s="830" t="str">
        <f>ITE_LUC_Rates!AC1</f>
        <v>VMT % difference from RIF to MDMF. Lower values mean lower MDMF VMT</v>
      </c>
      <c r="H1" s="829" t="str">
        <f>ITE_LUC_Rates!AD1</f>
        <v>TripGen Rate Change. Lower values mean lower MDMF Rates.</v>
      </c>
      <c r="I1" s="830" t="str">
        <f>ITE_LUC_Rates!AE1</f>
        <v>Effect of MDMF Trip Length, PMT/VMT conversion, &amp; Passby on % VMT Change</v>
      </c>
      <c r="J1" s="829" t="str">
        <f>ITE_LUC_Rates!AF1</f>
        <v>Ring 3 Out Roads Difference from Printed RIF Rate (UIA). Lower values mean lower MDMF road fees</v>
      </c>
      <c r="K1" s="829" t="str">
        <f>ITE_LUC_Rates!AG1</f>
        <v>MDMF Total Fee Difference from Printed RIF Rate (UIA). Lower values mean lower MDMF fees</v>
      </c>
      <c r="L1" s="829" t="s">
        <v>494</v>
      </c>
    </row>
    <row r="2" spans="1:12" ht="25.5" x14ac:dyDescent="0.25">
      <c r="A2" s="831">
        <f>ITE_LUC_Rates!A119</f>
        <v>911</v>
      </c>
      <c r="B2" s="831" t="str">
        <f>ITE_LUC_Rates!B119</f>
        <v>Bank (Walk-in)</v>
      </c>
      <c r="C2" s="832">
        <f>ITE_LUC_Rates!Y119</f>
        <v>27795.643502276369</v>
      </c>
      <c r="D2" s="832">
        <f>ITE_LUC_Rates!Z119</f>
        <v>28442.002427521769</v>
      </c>
      <c r="E2" s="833">
        <f>ITE_LUC_Rates!AA119</f>
        <v>95.843999999999994</v>
      </c>
      <c r="F2" s="833">
        <f>ITE_LUC_Rates!AB119</f>
        <v>212.4151740747113</v>
      </c>
      <c r="G2" s="834">
        <f>ITE_LUC_Rates!AC119</f>
        <v>1.2162594849412725</v>
      </c>
      <c r="H2" s="834">
        <f>ITE_LUC_Rates!AD119</f>
        <v>0</v>
      </c>
      <c r="I2" s="834">
        <f>ITE_LUC_Rates!AE119</f>
        <v>1.2162594849412725</v>
      </c>
      <c r="J2" s="834">
        <f>ITE_LUC_Rates!AF119</f>
        <v>0.73567645805788384</v>
      </c>
      <c r="K2" s="834">
        <f>ITE_LUC_Rates!AG119</f>
        <v>0.77603781792034443</v>
      </c>
      <c r="L2" s="836">
        <f>ITE_LUC_Rates!AJ119</f>
        <v>117</v>
      </c>
    </row>
    <row r="3" spans="1:12" ht="25.5" x14ac:dyDescent="0.25">
      <c r="A3" s="831">
        <f>ITE_LUC_Rates!A30</f>
        <v>320</v>
      </c>
      <c r="B3" s="831" t="str">
        <f>ITE_LUC_Rates!B30</f>
        <v>Motel</v>
      </c>
      <c r="C3" s="832">
        <f>ITE_LUC_Rates!Y30</f>
        <v>1740.2529413406271</v>
      </c>
      <c r="D3" s="832">
        <f>ITE_LUC_Rates!Z30</f>
        <v>1780.6420982734526</v>
      </c>
      <c r="E3" s="833">
        <f>ITE_LUC_Rates!AA30</f>
        <v>54.370301999999995</v>
      </c>
      <c r="F3" s="833">
        <f>ITE_LUC_Rates!AB30</f>
        <v>13.299067223920327</v>
      </c>
      <c r="G3" s="834">
        <f>ITE_LUC_Rates!AC30</f>
        <v>-0.7553983197680173</v>
      </c>
      <c r="H3" s="834">
        <f>ITE_LUC_Rates!AD30</f>
        <v>-0.63227222832052687</v>
      </c>
      <c r="I3" s="834">
        <f>ITE_LUC_Rates!AE30</f>
        <v>-0.12312609144749043</v>
      </c>
      <c r="J3" s="834">
        <f>ITE_LUC_Rates!AF30</f>
        <v>-0.80843674506255536</v>
      </c>
      <c r="K3" s="834">
        <f>ITE_LUC_Rates!AG30</f>
        <v>-0.80399079460188783</v>
      </c>
      <c r="L3" s="836">
        <f>ITE_LUC_Rates!AJ30</f>
        <v>28</v>
      </c>
    </row>
    <row r="4" spans="1:12" ht="25.5" x14ac:dyDescent="0.25">
      <c r="A4" s="831">
        <f>ITE_LUC_Rates!A82</f>
        <v>816</v>
      </c>
      <c r="B4" s="831" t="str">
        <f>ITE_LUC_Rates!B82</f>
        <v>Hardware/Paint Store/Pool Suply</v>
      </c>
      <c r="C4" s="832">
        <f>ITE_LUC_Rates!Y82</f>
        <v>8127.8238610543167</v>
      </c>
      <c r="D4" s="832">
        <f>ITE_LUC_Rates!Z82</f>
        <v>8316.8279938416981</v>
      </c>
      <c r="E4" s="833">
        <f>ITE_LUC_Rates!AA82</f>
        <v>222.419085</v>
      </c>
      <c r="F4" s="833">
        <f>ITE_LUC_Rates!AB82</f>
        <v>62.113083302174765</v>
      </c>
      <c r="G4" s="834">
        <f>ITE_LUC_Rates!AC82</f>
        <v>-0.72073851800004141</v>
      </c>
      <c r="H4" s="834">
        <f>ITE_LUC_Rates!AD82</f>
        <v>-0.82179762136868784</v>
      </c>
      <c r="I4" s="834">
        <f>ITE_LUC_Rates!AE82</f>
        <v>0.10105910336864643</v>
      </c>
      <c r="J4" s="834">
        <f>ITE_LUC_Rates!AF82</f>
        <v>-0.45324248353204954</v>
      </c>
      <c r="K4" s="834">
        <f>ITE_LUC_Rates!AG82</f>
        <v>-0.44052820330014475</v>
      </c>
      <c r="L4" s="836">
        <f>ITE_LUC_Rates!AJ82</f>
        <v>80</v>
      </c>
    </row>
    <row r="5" spans="1:12" ht="25.5" x14ac:dyDescent="0.25">
      <c r="A5" s="831">
        <f>ITE_LUC_Rates!A49</f>
        <v>550</v>
      </c>
      <c r="B5" s="831" t="str">
        <f>ITE_LUC_Rates!B49</f>
        <v>University (20SF/st)</v>
      </c>
      <c r="C5" s="832">
        <f>ITE_LUC_Rates!Y49</f>
        <v>662.43532071761524</v>
      </c>
      <c r="D5" s="832">
        <f>ITE_LUC_Rates!Z49</f>
        <v>677.83956857784426</v>
      </c>
      <c r="E5" s="833">
        <f>ITE_LUC_Rates!AA49</f>
        <v>14.157667999999999</v>
      </c>
      <c r="F5" s="833">
        <f>ITE_LUC_Rates!AB49</f>
        <v>5.0623513699888143</v>
      </c>
      <c r="G5" s="834">
        <f>ITE_LUC_Rates!AC49</f>
        <v>-0.64243042215788537</v>
      </c>
      <c r="H5" s="834">
        <f>ITE_LUC_Rates!AD49</f>
        <v>-0.34453781512605042</v>
      </c>
      <c r="I5" s="834">
        <f>ITE_LUC_Rates!AE49</f>
        <v>-0.29789260703183496</v>
      </c>
      <c r="J5" s="834">
        <f>ITE_LUC_Rates!AF49</f>
        <v>-0.71988770704217564</v>
      </c>
      <c r="K5" s="834">
        <f>ITE_LUC_Rates!AG49</f>
        <v>-0.71337398554443743</v>
      </c>
      <c r="L5" s="836">
        <f>ITE_LUC_Rates!AJ49</f>
        <v>47</v>
      </c>
    </row>
    <row r="6" spans="1:12" ht="25.5" x14ac:dyDescent="0.25">
      <c r="A6" s="831">
        <f>ITE_LUC_Rates!A23</f>
        <v>254</v>
      </c>
      <c r="B6" s="831" t="str">
        <f>ITE_LUC_Rates!B23</f>
        <v>Assisted Living Facility</v>
      </c>
      <c r="C6" s="832">
        <f>ITE_LUC_Rates!Y23</f>
        <v>895.95491668910961</v>
      </c>
      <c r="D6" s="832">
        <f>ITE_LUC_Rates!Z23</f>
        <v>916.74894201454072</v>
      </c>
      <c r="E6" s="833">
        <f>ITE_LUC_Rates!AA23</f>
        <v>16.16216</v>
      </c>
      <c r="F6" s="833">
        <f>ITE_LUC_Rates!AB23</f>
        <v>6.8469154015457345</v>
      </c>
      <c r="G6" s="834">
        <f>ITE_LUC_Rates!AC23</f>
        <v>-0.57636136496942647</v>
      </c>
      <c r="H6" s="834">
        <f>ITE_LUC_Rates!AD23</f>
        <v>-2.2556390977443663E-2</v>
      </c>
      <c r="I6" s="834">
        <f>ITE_LUC_Rates!AE23</f>
        <v>-0.55380497399198281</v>
      </c>
      <c r="J6" s="834">
        <f>ITE_LUC_Rates!AF23</f>
        <v>-0.66832331342095452</v>
      </c>
      <c r="K6" s="834">
        <f>ITE_LUC_Rates!AG23</f>
        <v>-0.66062550040368095</v>
      </c>
      <c r="L6" s="836">
        <f>ITE_LUC_Rates!AJ23</f>
        <v>21</v>
      </c>
    </row>
    <row r="7" spans="1:12" ht="25.5" x14ac:dyDescent="0.25">
      <c r="A7" s="831">
        <f>ITE_LUC_Rates!A22</f>
        <v>253</v>
      </c>
      <c r="B7" s="831" t="str">
        <f>ITE_LUC_Rates!B22</f>
        <v>Congregate Care Facility</v>
      </c>
      <c r="C7" s="832">
        <f>ITE_LUC_Rates!Y22</f>
        <v>696.08805065846207</v>
      </c>
      <c r="D7" s="832">
        <f>ITE_LUC_Rates!Z22</f>
        <v>712.2434087959125</v>
      </c>
      <c r="E7" s="833">
        <f>ITE_LUC_Rates!AA22</f>
        <v>12.273520000000001</v>
      </c>
      <c r="F7" s="833">
        <f>ITE_LUC_Rates!AB22</f>
        <v>5.3195265812009165</v>
      </c>
      <c r="G7" s="834">
        <f>ITE_LUC_Rates!AC22</f>
        <v>-0.56658508877641323</v>
      </c>
      <c r="H7" s="834">
        <f>ITE_LUC_Rates!AD22</f>
        <v>0</v>
      </c>
      <c r="I7" s="834">
        <f>ITE_LUC_Rates!AE22</f>
        <v>-0.56658508877641323</v>
      </c>
      <c r="J7" s="834">
        <f>ITE_LUC_Rates!AF22</f>
        <v>-0.66049453706361905</v>
      </c>
      <c r="K7" s="834">
        <f>ITE_LUC_Rates!AG22</f>
        <v>-0.65261502765648327</v>
      </c>
      <c r="L7" s="836">
        <f>ITE_LUC_Rates!AJ22</f>
        <v>20</v>
      </c>
    </row>
    <row r="8" spans="1:12" ht="25.5" x14ac:dyDescent="0.25">
      <c r="A8" s="831">
        <f>ITE_LUC_Rates!A8</f>
        <v>150</v>
      </c>
      <c r="B8" s="831" t="str">
        <f>ITE_LUC_Rates!B8</f>
        <v>Warehousing</v>
      </c>
      <c r="C8" s="832">
        <f>ITE_LUC_Rates!Y8</f>
        <v>1800.3131368889647</v>
      </c>
      <c r="D8" s="832">
        <f>ITE_LUC_Rates!Z8</f>
        <v>1842.1775558281925</v>
      </c>
      <c r="E8" s="833">
        <f>ITE_LUC_Rates!AA8</f>
        <v>29.942527999999999</v>
      </c>
      <c r="F8" s="833">
        <f>ITE_LUC_Rates!AB8</f>
        <v>13.758049110463681</v>
      </c>
      <c r="G8" s="834">
        <f>ITE_LUC_Rates!AC8</f>
        <v>-0.54051811822756979</v>
      </c>
      <c r="H8" s="834">
        <f>ITE_LUC_Rates!AD8</f>
        <v>-0.64919354838709675</v>
      </c>
      <c r="I8" s="834">
        <f>ITE_LUC_Rates!AE8</f>
        <v>0.10867543015952696</v>
      </c>
      <c r="J8" s="834">
        <f>ITE_LUC_Rates!AF8</f>
        <v>-0.64010292527657986</v>
      </c>
      <c r="K8" s="834">
        <f>ITE_LUC_Rates!AG8</f>
        <v>-0.63173389124438906</v>
      </c>
      <c r="L8" s="836">
        <f>ITE_LUC_Rates!AJ8</f>
        <v>6</v>
      </c>
    </row>
    <row r="9" spans="1:12" ht="25.5" x14ac:dyDescent="0.25">
      <c r="A9" s="831">
        <f>ITE_LUC_Rates!A24</f>
        <v>255</v>
      </c>
      <c r="B9" s="831" t="str">
        <f>ITE_LUC_Rates!B24</f>
        <v>Continuing Care Retirement Community</v>
      </c>
      <c r="C9" s="832">
        <f>ITE_LUC_Rates!Y24</f>
        <v>827.03530771302405</v>
      </c>
      <c r="D9" s="832">
        <f>ITE_LUC_Rates!Z24</f>
        <v>846.22979262880665</v>
      </c>
      <c r="E9" s="833">
        <f>ITE_LUC_Rates!AA24</f>
        <v>13.607495999999999</v>
      </c>
      <c r="F9" s="833">
        <f>ITE_LUC_Rates!AB24</f>
        <v>6.3202296014268304</v>
      </c>
      <c r="G9" s="834">
        <f>ITE_LUC_Rates!AC24</f>
        <v>-0.5355332383396012</v>
      </c>
      <c r="H9" s="834">
        <f>ITE_LUC_Rates!AD24</f>
        <v>5.2631578947368363E-2</v>
      </c>
      <c r="I9" s="834">
        <f>ITE_LUC_Rates!AE24</f>
        <v>-0.58816481728696957</v>
      </c>
      <c r="J9" s="834">
        <f>ITE_LUC_Rates!AF24</f>
        <v>-0.66066448342249606</v>
      </c>
      <c r="K9" s="834">
        <f>ITE_LUC_Rates!AG24</f>
        <v>-0.65278891826392083</v>
      </c>
      <c r="L9" s="836">
        <f>ITE_LUC_Rates!AJ24</f>
        <v>22</v>
      </c>
    </row>
    <row r="10" spans="1:12" ht="25.5" x14ac:dyDescent="0.25">
      <c r="A10" s="831">
        <f>ITE_LUC_Rates!A48</f>
        <v>540</v>
      </c>
      <c r="B10" s="831" t="str">
        <f>ITE_LUC_Rates!B48</f>
        <v>Jr./Community Co</v>
      </c>
      <c r="C10" s="832">
        <f>ITE_LUC_Rates!Y48</f>
        <v>488.33373001619077</v>
      </c>
      <c r="D10" s="832">
        <f>ITE_LUC_Rates!Z48</f>
        <v>499.6894255541801</v>
      </c>
      <c r="E10" s="833">
        <f>ITE_LUC_Rates!AA48</f>
        <v>7.1383199999999993</v>
      </c>
      <c r="F10" s="833">
        <f>ITE_LUC_Rates!AB48</f>
        <v>3.7318615868507288</v>
      </c>
      <c r="G10" s="834">
        <f>ITE_LUC_Rates!AC48</f>
        <v>-0.47720729991780575</v>
      </c>
      <c r="H10" s="834">
        <f>ITE_LUC_Rates!AD48</f>
        <v>-4.1666666666666741E-2</v>
      </c>
      <c r="I10" s="834">
        <f>ITE_LUC_Rates!AE48</f>
        <v>-0.43554063325113901</v>
      </c>
      <c r="J10" s="834">
        <f>ITE_LUC_Rates!AF48</f>
        <v>-0.59050887265966301</v>
      </c>
      <c r="K10" s="834">
        <f>ITE_LUC_Rates!AG48</f>
        <v>-0.58098658025641103</v>
      </c>
      <c r="L10" s="836">
        <f>ITE_LUC_Rates!AJ48</f>
        <v>46</v>
      </c>
    </row>
    <row r="11" spans="1:12" ht="25.5" x14ac:dyDescent="0.25">
      <c r="A11" s="831">
        <f>ITE_LUC_Rates!A37</f>
        <v>480</v>
      </c>
      <c r="B11" s="831" t="str">
        <f>ITE_LUC_Rates!B37</f>
        <v>Amusement Park</v>
      </c>
      <c r="C11" s="832">
        <f>ITE_LUC_Rates!Y37</f>
        <v>35273.065314104715</v>
      </c>
      <c r="D11" s="832">
        <f>ITE_LUC_Rates!Z37</f>
        <v>36093.30394555314</v>
      </c>
      <c r="E11" s="833">
        <f>ITE_LUC_Rates!AA37</f>
        <v>467.74223999999998</v>
      </c>
      <c r="F11" s="833">
        <f>ITE_LUC_Rates!AB37</f>
        <v>269.55786464273086</v>
      </c>
      <c r="G11" s="834">
        <f>ITE_LUC_Rates!AC37</f>
        <v>-0.423704250779808</v>
      </c>
      <c r="H11" s="834">
        <f>ITE_LUC_Rates!AD37</f>
        <v>-0.29501055966209089</v>
      </c>
      <c r="I11" s="834">
        <f>ITE_LUC_Rates!AE37</f>
        <v>-0.12869369111771711</v>
      </c>
      <c r="J11" s="834">
        <f>ITE_LUC_Rates!AF37</f>
        <v>-0.54867304755225721</v>
      </c>
      <c r="K11" s="834">
        <f>ITE_LUC_Rates!AG37</f>
        <v>-0.53817790633005402</v>
      </c>
      <c r="L11" s="836">
        <f>ITE_LUC_Rates!AJ37</f>
        <v>35</v>
      </c>
    </row>
    <row r="12" spans="1:12" ht="25.5" x14ac:dyDescent="0.25">
      <c r="A12" s="831">
        <f>ITE_LUC_Rates!A122</f>
        <v>931</v>
      </c>
      <c r="B12" s="831" t="str">
        <f>ITE_LUC_Rates!B122</f>
        <v>Quality Restaurant / Seats</v>
      </c>
      <c r="C12" s="832">
        <f>ITE_LUC_Rates!Y122</f>
        <v>978.67652852846447</v>
      </c>
      <c r="D12" s="832">
        <f>ITE_LUC_Rates!Z122</f>
        <v>1001.4346384132293</v>
      </c>
      <c r="E12" s="833">
        <f>ITE_LUC_Rates!AA122</f>
        <v>12.948936</v>
      </c>
      <c r="F12" s="833">
        <f>ITE_LUC_Rates!AB122</f>
        <v>7.4790765377740875</v>
      </c>
      <c r="G12" s="834">
        <f>ITE_LUC_Rates!AC122</f>
        <v>-0.42241767680571685</v>
      </c>
      <c r="H12" s="834">
        <f>ITE_LUC_Rates!AD122</f>
        <v>-9.0909090909090828E-2</v>
      </c>
      <c r="I12" s="834">
        <f>ITE_LUC_Rates!AE122</f>
        <v>-0.33150858589662602</v>
      </c>
      <c r="J12" s="834">
        <f>ITE_LUC_Rates!AF122</f>
        <v>-0.547548312047762</v>
      </c>
      <c r="K12" s="834">
        <f>ITE_LUC_Rates!AG122</f>
        <v>-0.53702701626533744</v>
      </c>
      <c r="L12" s="836">
        <f>ITE_LUC_Rates!AJ122</f>
        <v>120</v>
      </c>
    </row>
    <row r="13" spans="1:12" ht="25.5" x14ac:dyDescent="0.25">
      <c r="A13" s="831">
        <f>ITE_LUC_Rates!A54</f>
        <v>620</v>
      </c>
      <c r="B13" s="831" t="str">
        <f>ITE_LUC_Rates!B54</f>
        <v>Nursing Home</v>
      </c>
      <c r="C13" s="832">
        <f>ITE_LUC_Rates!Y54</f>
        <v>1102.432505490053</v>
      </c>
      <c r="D13" s="832">
        <f>ITE_LUC_Rates!Z54</f>
        <v>1128.068432549838</v>
      </c>
      <c r="E13" s="833">
        <f>ITE_LUC_Rates!AA54</f>
        <v>14.400120000000001</v>
      </c>
      <c r="F13" s="833">
        <f>ITE_LUC_Rates!AB54</f>
        <v>8.4248235713669199</v>
      </c>
      <c r="G13" s="834">
        <f>ITE_LUC_Rates!AC54</f>
        <v>-0.41494768297993911</v>
      </c>
      <c r="H13" s="834">
        <f>ITE_LUC_Rates!AD54</f>
        <v>0.29113924050632911</v>
      </c>
      <c r="I13" s="834">
        <f>ITE_LUC_Rates!AE54</f>
        <v>-0.70608692348626823</v>
      </c>
      <c r="J13" s="834">
        <f>ITE_LUC_Rates!AF54</f>
        <v>-0.54165765634897978</v>
      </c>
      <c r="K13" s="834">
        <f>ITE_LUC_Rates!AG54</f>
        <v>-0.53099937946424181</v>
      </c>
      <c r="L13" s="836">
        <f>ITE_LUC_Rates!AJ54</f>
        <v>52</v>
      </c>
    </row>
    <row r="14" spans="1:12" ht="25.5" x14ac:dyDescent="0.25">
      <c r="A14" s="831">
        <f>ITE_LUC_Rates!A121</f>
        <v>931</v>
      </c>
      <c r="B14" s="831" t="str">
        <f>ITE_LUC_Rates!B121</f>
        <v>Fine Dining Restaurant</v>
      </c>
      <c r="C14" s="832">
        <f>ITE_LUC_Rates!Y121</f>
        <v>31558.553904548633</v>
      </c>
      <c r="D14" s="832">
        <f>ITE_LUC_Rates!Z121</f>
        <v>32292.415417140433</v>
      </c>
      <c r="E14" s="833">
        <f>ITE_LUC_Rates!AA121</f>
        <v>407.25761999999997</v>
      </c>
      <c r="F14" s="833">
        <f>ITE_LUC_Rates!AB121</f>
        <v>241.17145266422284</v>
      </c>
      <c r="G14" s="834">
        <f>ITE_LUC_Rates!AC121</f>
        <v>-0.40781598472185032</v>
      </c>
      <c r="H14" s="834">
        <f>ITE_LUC_Rates!AD121</f>
        <v>-6.792662590327958E-2</v>
      </c>
      <c r="I14" s="834">
        <f>ITE_LUC_Rates!AE121</f>
        <v>-0.33988935881857074</v>
      </c>
      <c r="J14" s="834">
        <f>ITE_LUC_Rates!AF121</f>
        <v>-0.53622416999208444</v>
      </c>
      <c r="K14" s="834">
        <f>ITE_LUC_Rates!AG121</f>
        <v>-0.52543954300497542</v>
      </c>
      <c r="L14" s="836">
        <f>ITE_LUC_Rates!AJ121</f>
        <v>119</v>
      </c>
    </row>
    <row r="15" spans="1:12" ht="25.5" x14ac:dyDescent="0.25">
      <c r="A15" s="831">
        <f>ITE_LUC_Rates!A29</f>
        <v>311</v>
      </c>
      <c r="B15" s="831" t="str">
        <f>ITE_LUC_Rates!B29</f>
        <v>All Suites Hotel</v>
      </c>
      <c r="C15" s="832">
        <f>ITE_LUC_Rates!Y29</f>
        <v>2887.8689065292283</v>
      </c>
      <c r="D15" s="832">
        <f>ITE_LUC_Rates!Z29</f>
        <v>2954.892836037649</v>
      </c>
      <c r="E15" s="833">
        <f>ITE_LUC_Rates!AA29</f>
        <v>37.241568000000001</v>
      </c>
      <c r="F15" s="833">
        <f>ITE_LUC_Rates!AB29</f>
        <v>22.069184202737191</v>
      </c>
      <c r="G15" s="834">
        <f>ITE_LUC_Rates!AC29</f>
        <v>-0.40740453778054697</v>
      </c>
      <c r="H15" s="834">
        <f>ITE_LUC_Rates!AD29</f>
        <v>-0.28525641025641024</v>
      </c>
      <c r="I15" s="834">
        <f>ITE_LUC_Rates!AE29</f>
        <v>-0.12214812752413673</v>
      </c>
      <c r="J15" s="834">
        <f>ITE_LUC_Rates!AF29</f>
        <v>-0.53584059796197314</v>
      </c>
      <c r="K15" s="834">
        <f>ITE_LUC_Rates!AG29</f>
        <v>-0.5250680220418783</v>
      </c>
      <c r="L15" s="836">
        <f>ITE_LUC_Rates!AJ29</f>
        <v>27</v>
      </c>
    </row>
    <row r="16" spans="1:12" ht="25.5" x14ac:dyDescent="0.25">
      <c r="A16" s="831">
        <f>ITE_LUC_Rates!A90</f>
        <v>820</v>
      </c>
      <c r="B16" s="831" t="str">
        <f>ITE_LUC_Rates!B90</f>
        <v>Shopping Center General, 300,001 - 400,000gsf</v>
      </c>
      <c r="C16" s="832">
        <f>ITE_LUC_Rates!Y90</f>
        <v>12233.636255777226</v>
      </c>
      <c r="D16" s="832">
        <f>ITE_LUC_Rates!Z90</f>
        <v>12518.116806892358</v>
      </c>
      <c r="E16" s="833">
        <f>ITE_LUC_Rates!AA90</f>
        <v>154.68006400000002</v>
      </c>
      <c r="F16" s="833">
        <f>ITE_LUC_Rates!AB90</f>
        <v>93.48982960674401</v>
      </c>
      <c r="G16" s="834">
        <f>ITE_LUC_Rates!AC90</f>
        <v>-0.39559224900020729</v>
      </c>
      <c r="H16" s="834">
        <f>ITE_LUC_Rates!AD90</f>
        <v>-3.6742923447811382E-2</v>
      </c>
      <c r="I16" s="834">
        <f>ITE_LUC_Rates!AE90</f>
        <v>-0.3588493255523959</v>
      </c>
      <c r="J16" s="834">
        <f>ITE_LUC_Rates!AF90</f>
        <v>-0.52669577651138699</v>
      </c>
      <c r="K16" s="834">
        <f>ITE_LUC_Rates!AG90</f>
        <v>-0.51568957659436931</v>
      </c>
      <c r="L16" s="836">
        <f>ITE_LUC_Rates!AJ90</f>
        <v>88</v>
      </c>
    </row>
    <row r="17" spans="1:12" ht="25.5" x14ac:dyDescent="0.25">
      <c r="A17" s="831">
        <f>ITE_LUC_Rates!A91</f>
        <v>820</v>
      </c>
      <c r="B17" s="831" t="str">
        <f>ITE_LUC_Rates!B91</f>
        <v>Shopping Center General, 400,001 - 500,000gsf</v>
      </c>
      <c r="C17" s="832">
        <f>ITE_LUC_Rates!Y91</f>
        <v>12031.584448848886</v>
      </c>
      <c r="D17" s="832">
        <f>ITE_LUC_Rates!Z91</f>
        <v>12311.366494287782</v>
      </c>
      <c r="E17" s="833">
        <f>ITE_LUC_Rates!AA91</f>
        <v>147.5311992</v>
      </c>
      <c r="F17" s="833">
        <f>ITE_LUC_Rates!AB91</f>
        <v>91.945743399951255</v>
      </c>
      <c r="G17" s="834">
        <f>ITE_LUC_Rates!AC91</f>
        <v>-0.37677085322606629</v>
      </c>
      <c r="H17" s="834">
        <f>ITE_LUC_Rates!AD91</f>
        <v>-3.8984460747440552E-2</v>
      </c>
      <c r="I17" s="834">
        <f>ITE_LUC_Rates!AE91</f>
        <v>-0.33778639247862574</v>
      </c>
      <c r="J17" s="834">
        <f>ITE_LUC_Rates!AF91</f>
        <v>-0.51196464343839576</v>
      </c>
      <c r="K17" s="834">
        <f>ITE_LUC_Rates!AG91</f>
        <v>-0.50061588626632014</v>
      </c>
      <c r="L17" s="836">
        <f>ITE_LUC_Rates!AJ91</f>
        <v>89</v>
      </c>
    </row>
    <row r="18" spans="1:12" ht="25.5" x14ac:dyDescent="0.25">
      <c r="A18" s="831">
        <f>ITE_LUC_Rates!A6</f>
        <v>130</v>
      </c>
      <c r="B18" s="831" t="str">
        <f>ITE_LUC_Rates!B6</f>
        <v>Industrial Park</v>
      </c>
      <c r="C18" s="832">
        <f>ITE_LUC_Rates!Y6</f>
        <v>3486.8133743194317</v>
      </c>
      <c r="D18" s="832">
        <f>ITE_LUC_Rates!Z6</f>
        <v>3567.8956110005797</v>
      </c>
      <c r="E18" s="833">
        <f>ITE_LUC_Rates!AA6</f>
        <v>42.016128000000002</v>
      </c>
      <c r="F18" s="833">
        <f>ITE_LUC_Rates!AB6</f>
        <v>26.646336495553221</v>
      </c>
      <c r="G18" s="834">
        <f>ITE_LUC_Rates!AC6</f>
        <v>-0.36580694690493087</v>
      </c>
      <c r="H18" s="834">
        <f>ITE_LUC_Rates!AD6</f>
        <v>-0.51580459770114939</v>
      </c>
      <c r="I18" s="834">
        <f>ITE_LUC_Rates!AE6</f>
        <v>0.14999765079621852</v>
      </c>
      <c r="J18" s="834">
        <f>ITE_LUC_Rates!AF6</f>
        <v>-0.50335246138997092</v>
      </c>
      <c r="K18" s="834">
        <f>ITE_LUC_Rates!AG6</f>
        <v>-0.49180343683670003</v>
      </c>
      <c r="L18" s="836">
        <f>ITE_LUC_Rates!AJ6</f>
        <v>4</v>
      </c>
    </row>
    <row r="19" spans="1:12" ht="25.5" x14ac:dyDescent="0.25">
      <c r="A19" s="831">
        <f>ITE_LUC_Rates!A92</f>
        <v>820</v>
      </c>
      <c r="B19" s="831" t="str">
        <f>ITE_LUC_Rates!B92</f>
        <v>Shopping Center General, 500,001 - 600,000gsf</v>
      </c>
      <c r="C19" s="832">
        <f>ITE_LUC_Rates!Y92</f>
        <v>12002.082468735323</v>
      </c>
      <c r="D19" s="832">
        <f>ITE_LUC_Rates!Z92</f>
        <v>12281.178476156885</v>
      </c>
      <c r="E19" s="833">
        <f>ITE_LUC_Rates!AA92</f>
        <v>140.5078038</v>
      </c>
      <c r="F19" s="833">
        <f>ITE_LUC_Rates!AB92</f>
        <v>91.720288348304123</v>
      </c>
      <c r="G19" s="834">
        <f>ITE_LUC_Rates!AC92</f>
        <v>-0.34722281704111213</v>
      </c>
      <c r="H19" s="834">
        <f>ITE_LUC_Rates!AD92</f>
        <v>-3.9368888136579128E-2</v>
      </c>
      <c r="I19" s="834">
        <f>ITE_LUC_Rates!AE92</f>
        <v>-0.307853928904533</v>
      </c>
      <c r="J19" s="834">
        <f>ITE_LUC_Rates!AF92</f>
        <v>-0.48881628396714838</v>
      </c>
      <c r="K19" s="834">
        <f>ITE_LUC_Rates!AG92</f>
        <v>-0.47692923565071399</v>
      </c>
      <c r="L19" s="836">
        <f>ITE_LUC_Rates!AJ92</f>
        <v>90</v>
      </c>
    </row>
    <row r="20" spans="1:12" ht="25.5" x14ac:dyDescent="0.25">
      <c r="A20" s="831">
        <f>ITE_LUC_Rates!A93</f>
        <v>820</v>
      </c>
      <c r="B20" s="831" t="str">
        <f>ITE_LUC_Rates!B93</f>
        <v>Shopping Center General, 600,001 - 800,000gsf</v>
      </c>
      <c r="C20" s="832">
        <f>ITE_LUC_Rates!Y93</f>
        <v>11796.293284498945</v>
      </c>
      <c r="D20" s="832">
        <f>ITE_LUC_Rates!Z93</f>
        <v>12070.603877402607</v>
      </c>
      <c r="E20" s="833">
        <f>ITE_LUC_Rates!AA93</f>
        <v>130.85822399999998</v>
      </c>
      <c r="F20" s="833">
        <f>ITE_LUC_Rates!AB93</f>
        <v>90.147640987623902</v>
      </c>
      <c r="G20" s="834">
        <f>ITE_LUC_Rates!AC93</f>
        <v>-0.31110450507394993</v>
      </c>
      <c r="H20" s="834">
        <f>ITE_LUC_Rates!AD93</f>
        <v>-1.6634318684092486E-2</v>
      </c>
      <c r="I20" s="834">
        <f>ITE_LUC_Rates!AE93</f>
        <v>-0.29447018638985745</v>
      </c>
      <c r="J20" s="834">
        <f>ITE_LUC_Rates!AF93</f>
        <v>-0.46047697458876136</v>
      </c>
      <c r="K20" s="834">
        <f>ITE_LUC_Rates!AG93</f>
        <v>-0.44793092495974685</v>
      </c>
      <c r="L20" s="836">
        <f>ITE_LUC_Rates!AJ93</f>
        <v>91</v>
      </c>
    </row>
    <row r="21" spans="1:12" ht="25.5" x14ac:dyDescent="0.25">
      <c r="A21" s="831">
        <f>ITE_LUC_Rates!A34</f>
        <v>430</v>
      </c>
      <c r="B21" s="831" t="str">
        <f>ITE_LUC_Rates!B34</f>
        <v>Golf Course</v>
      </c>
      <c r="C21" s="832">
        <f>ITE_LUC_Rates!Y34</f>
        <v>20063.578435545805</v>
      </c>
      <c r="D21" s="832">
        <f>ITE_LUC_Rates!Z34</f>
        <v>20530.136189213717</v>
      </c>
      <c r="E21" s="833">
        <f>ITE_LUC_Rates!AA34</f>
        <v>220.65876</v>
      </c>
      <c r="F21" s="833">
        <f>ITE_LUC_Rates!AB34</f>
        <v>153.32649181513133</v>
      </c>
      <c r="G21" s="834">
        <f>ITE_LUC_Rates!AC34</f>
        <v>-0.30514205819369544</v>
      </c>
      <c r="H21" s="834">
        <f>ITE_LUC_Rates!AD34</f>
        <v>-0.14997202014549527</v>
      </c>
      <c r="I21" s="834">
        <f>ITE_LUC_Rates!AE34</f>
        <v>-0.15517003804820018</v>
      </c>
      <c r="J21" s="834">
        <f>ITE_LUC_Rates!AF34</f>
        <v>-0.45582090654086949</v>
      </c>
      <c r="K21" s="834">
        <f>ITE_LUC_Rates!AG34</f>
        <v>-0.4431665848677464</v>
      </c>
      <c r="L21" s="836">
        <f>ITE_LUC_Rates!AJ34</f>
        <v>32</v>
      </c>
    </row>
    <row r="22" spans="1:12" ht="25.5" x14ac:dyDescent="0.25">
      <c r="A22" s="831">
        <f>ITE_LUC_Rates!A94</f>
        <v>820</v>
      </c>
      <c r="B22" s="831" t="str">
        <f>ITE_LUC_Rates!B94</f>
        <v>Shopping Center General, 800,001 - 1,000,000gsf</v>
      </c>
      <c r="C22" s="832">
        <f>ITE_LUC_Rates!Y94</f>
        <v>12280.255447660356</v>
      </c>
      <c r="D22" s="832">
        <f>ITE_LUC_Rates!Z94</f>
        <v>12565.820079838728</v>
      </c>
      <c r="E22" s="833">
        <f>ITE_LUC_Rates!AA94</f>
        <v>122.75764199999999</v>
      </c>
      <c r="F22" s="833">
        <f>ITE_LUC_Rates!AB94</f>
        <v>93.846094924302363</v>
      </c>
      <c r="G22" s="834">
        <f>ITE_LUC_Rates!AC94</f>
        <v>-0.23551728922666693</v>
      </c>
      <c r="H22" s="834">
        <f>ITE_LUC_Rates!AD94</f>
        <v>-1.8726092611036083E-2</v>
      </c>
      <c r="I22" s="834">
        <f>ITE_LUC_Rates!AE94</f>
        <v>-0.21679119661563084</v>
      </c>
      <c r="J22" s="834">
        <f>ITE_LUC_Rates!AF94</f>
        <v>-0.40136321347877979</v>
      </c>
      <c r="K22" s="834">
        <f>ITE_LUC_Rates!AG94</f>
        <v>-0.38744253450919497</v>
      </c>
      <c r="L22" s="836">
        <f>ITE_LUC_Rates!AJ94</f>
        <v>92</v>
      </c>
    </row>
    <row r="23" spans="1:12" ht="25.5" x14ac:dyDescent="0.25">
      <c r="A23" s="831">
        <f>ITE_LUC_Rates!A40</f>
        <v>492</v>
      </c>
      <c r="B23" s="831" t="str">
        <f>ITE_LUC_Rates!B40</f>
        <v>Health/Fitness</v>
      </c>
      <c r="C23" s="832">
        <f>ITE_LUC_Rates!Y40</f>
        <v>2495.5974388492587</v>
      </c>
      <c r="D23" s="832">
        <f>ITE_LUC_Rates!Z40</f>
        <v>2553.6299747136532</v>
      </c>
      <c r="E23" s="833">
        <f>ITE_LUC_Rates!AA40</f>
        <v>24.819479999999995</v>
      </c>
      <c r="F23" s="833">
        <f>ITE_LUC_Rates!AB40</f>
        <v>19.07143341905919</v>
      </c>
      <c r="G23" s="834">
        <f>ITE_LUC_Rates!AC40</f>
        <v>-0.23159415833614594</v>
      </c>
      <c r="H23" s="834">
        <f>ITE_LUC_Rates!AD40</f>
        <v>0</v>
      </c>
      <c r="I23" s="834">
        <f>ITE_LUC_Rates!AE40</f>
        <v>-0.23159415833614594</v>
      </c>
      <c r="J23" s="834">
        <f>ITE_LUC_Rates!AF40</f>
        <v>-0.39833226316378356</v>
      </c>
      <c r="K23" s="834">
        <f>ITE_LUC_Rates!AG40</f>
        <v>-0.38434110258121101</v>
      </c>
      <c r="L23" s="836">
        <f>ITE_LUC_Rates!AJ40</f>
        <v>38</v>
      </c>
    </row>
    <row r="24" spans="1:12" ht="25.5" x14ac:dyDescent="0.25">
      <c r="A24" s="831">
        <f>ITE_LUC_Rates!A28</f>
        <v>310</v>
      </c>
      <c r="B24" s="831" t="str">
        <f>ITE_LUC_Rates!B28</f>
        <v>Hotel</v>
      </c>
      <c r="C24" s="832">
        <f>ITE_LUC_Rates!Y28</f>
        <v>5413.1354391444729</v>
      </c>
      <c r="D24" s="832">
        <f>ITE_LUC_Rates!Z28</f>
        <v>5538.7677375055482</v>
      </c>
      <c r="E24" s="833">
        <f>ITE_LUC_Rates!AA28</f>
        <v>53.236344000000003</v>
      </c>
      <c r="F24" s="833">
        <f>ITE_LUC_Rates!AB28</f>
        <v>41.367349761184506</v>
      </c>
      <c r="G24" s="834">
        <f>ITE_LUC_Rates!AC28</f>
        <v>-0.22294908603820529</v>
      </c>
      <c r="H24" s="834">
        <f>ITE_LUC_Rates!AD28</f>
        <v>-6.2780269058296034E-2</v>
      </c>
      <c r="I24" s="834">
        <f>ITE_LUC_Rates!AE28</f>
        <v>-0.16016881697990926</v>
      </c>
      <c r="J24" s="834">
        <f>ITE_LUC_Rates!AF28</f>
        <v>-0.39140069014711332</v>
      </c>
      <c r="K24" s="834">
        <f>ITE_LUC_Rates!AG28</f>
        <v>-0.37727583941367837</v>
      </c>
      <c r="L24" s="836">
        <f>ITE_LUC_Rates!AJ28</f>
        <v>26</v>
      </c>
    </row>
    <row r="25" spans="1:12" ht="25.5" x14ac:dyDescent="0.25">
      <c r="A25" s="831">
        <f>ITE_LUC_Rates!A95</f>
        <v>820</v>
      </c>
      <c r="B25" s="831" t="str">
        <f>ITE_LUC_Rates!B95</f>
        <v>Shopping Center General, 1,000,001 - 1,200,000gsf</v>
      </c>
      <c r="C25" s="832">
        <f>ITE_LUC_Rates!Y95</f>
        <v>12013.7711186818</v>
      </c>
      <c r="D25" s="832">
        <f>ITE_LUC_Rates!Z95</f>
        <v>12293.138933561833</v>
      </c>
      <c r="E25" s="833">
        <f>ITE_LUC_Rates!AA95</f>
        <v>116.8345612</v>
      </c>
      <c r="F25" s="833">
        <f>ITE_LUC_Rates!AB95</f>
        <v>91.809613375547187</v>
      </c>
      <c r="G25" s="834">
        <f>ITE_LUC_Rates!AC95</f>
        <v>-0.21419131092224108</v>
      </c>
      <c r="H25" s="834">
        <f>ITE_LUC_Rates!AD95</f>
        <v>-1.9292019903275781E-2</v>
      </c>
      <c r="I25" s="834">
        <f>ITE_LUC_Rates!AE95</f>
        <v>-0.1948992910189653</v>
      </c>
      <c r="J25" s="834">
        <f>ITE_LUC_Rates!AF95</f>
        <v>-0.38458139987184259</v>
      </c>
      <c r="K25" s="834">
        <f>ITE_LUC_Rates!AG95</f>
        <v>-0.37027047719353556</v>
      </c>
      <c r="L25" s="836">
        <f>ITE_LUC_Rates!AJ95</f>
        <v>93</v>
      </c>
    </row>
    <row r="26" spans="1:12" ht="25.5" x14ac:dyDescent="0.25">
      <c r="A26" s="831">
        <f>ITE_LUC_Rates!A96</f>
        <v>820</v>
      </c>
      <c r="B26" s="831" t="str">
        <f>ITE_LUC_Rates!B96</f>
        <v>Shopping Center General, 1,200,001 gsf - more</v>
      </c>
      <c r="C26" s="832">
        <f>ITE_LUC_Rates!Y96</f>
        <v>11868.097377031001</v>
      </c>
      <c r="D26" s="832">
        <f>ITE_LUC_Rates!Z96</f>
        <v>12144.077699799829</v>
      </c>
      <c r="E26" s="833">
        <f>ITE_LUC_Rates!AA96</f>
        <v>115.19131680000001</v>
      </c>
      <c r="F26" s="833">
        <f>ITE_LUC_Rates!AB96</f>
        <v>90.696370100991061</v>
      </c>
      <c r="G26" s="834">
        <f>ITE_LUC_Rates!AC96</f>
        <v>-0.21264577382632144</v>
      </c>
      <c r="H26" s="834">
        <f>ITE_LUC_Rates!AD96</f>
        <v>-4.3798914628793817E-2</v>
      </c>
      <c r="I26" s="834">
        <f>ITE_LUC_Rates!AE96</f>
        <v>-0.16884685919752762</v>
      </c>
      <c r="J26" s="834">
        <f>ITE_LUC_Rates!AF96</f>
        <v>-0.38343702583896133</v>
      </c>
      <c r="K26" s="834">
        <f>ITE_LUC_Rates!AG96</f>
        <v>-0.36909949192677827</v>
      </c>
      <c r="L26" s="836">
        <f>ITE_LUC_Rates!AJ96</f>
        <v>94</v>
      </c>
    </row>
    <row r="27" spans="1:12" ht="25.5" x14ac:dyDescent="0.25">
      <c r="A27" s="831">
        <f>ITE_LUC_Rates!A53</f>
        <v>610</v>
      </c>
      <c r="B27" s="831" t="str">
        <f>ITE_LUC_Rates!B53</f>
        <v>Hospital</v>
      </c>
      <c r="C27" s="832">
        <f>ITE_LUC_Rates!Y53</f>
        <v>11091.58438359178</v>
      </c>
      <c r="D27" s="832">
        <f>ITE_LUC_Rates!Z53</f>
        <v>11349.507700274838</v>
      </c>
      <c r="E27" s="833">
        <f>ITE_LUC_Rates!AA53</f>
        <v>106.75532000000001</v>
      </c>
      <c r="F27" s="833">
        <f>ITE_LUC_Rates!AB53</f>
        <v>84.762233600098071</v>
      </c>
      <c r="G27" s="834">
        <f>ITE_LUC_Rates!AC53</f>
        <v>-0.20601396164520824</v>
      </c>
      <c r="H27" s="834">
        <f>ITE_LUC_Rates!AD53</f>
        <v>-0.38986909504837786</v>
      </c>
      <c r="I27" s="834">
        <f>ITE_LUC_Rates!AE53</f>
        <v>0.18385513340316961</v>
      </c>
      <c r="J27" s="834">
        <f>ITE_LUC_Rates!AF53</f>
        <v>-0.37819076649371097</v>
      </c>
      <c r="K27" s="834">
        <f>ITE_LUC_Rates!AG53</f>
        <v>-0.3637312362495605</v>
      </c>
      <c r="L27" s="836">
        <f>ITE_LUC_Rates!AJ53</f>
        <v>51</v>
      </c>
    </row>
    <row r="28" spans="1:12" ht="25.5" x14ac:dyDescent="0.25">
      <c r="A28" s="831">
        <f>ITE_LUC_Rates!A38</f>
        <v>490</v>
      </c>
      <c r="B28" s="831" t="str">
        <f>ITE_LUC_Rates!B38</f>
        <v>Tennis Courts</v>
      </c>
      <c r="C28" s="832">
        <f>ITE_LUC_Rates!Y38</f>
        <v>20023.953198345909</v>
      </c>
      <c r="D28" s="832">
        <f>ITE_LUC_Rates!Z38</f>
        <v>20489.589508129025</v>
      </c>
      <c r="E28" s="833">
        <f>ITE_LUC_Rates!AA38</f>
        <v>191.64095999999998</v>
      </c>
      <c r="F28" s="833">
        <f>ITE_LUC_Rates!AB38</f>
        <v>153.02367451727392</v>
      </c>
      <c r="G28" s="834">
        <f>ITE_LUC_Rates!AC38</f>
        <v>-0.2015085161477278</v>
      </c>
      <c r="H28" s="834">
        <f>ITE_LUC_Rates!AD38</f>
        <v>-2.3195876288659711E-2</v>
      </c>
      <c r="I28" s="834">
        <f>ITE_LUC_Rates!AE38</f>
        <v>-0.17831263985906809</v>
      </c>
      <c r="J28" s="834">
        <f>ITE_LUC_Rates!AF38</f>
        <v>-0.37464688114565592</v>
      </c>
      <c r="K28" s="834">
        <f>ITE_LUC_Rates!AG38</f>
        <v>-0.36010494151513617</v>
      </c>
      <c r="L28" s="836">
        <f>ITE_LUC_Rates!AJ38</f>
        <v>36</v>
      </c>
    </row>
    <row r="29" spans="1:12" ht="25.5" x14ac:dyDescent="0.25">
      <c r="A29" s="831">
        <f>ITE_LUC_Rates!A39</f>
        <v>491</v>
      </c>
      <c r="B29" s="831" t="str">
        <f>ITE_LUC_Rates!B39</f>
        <v>Racquet/Tennis Club</v>
      </c>
      <c r="C29" s="832">
        <f>ITE_LUC_Rates!Y39</f>
        <v>25558.277993930966</v>
      </c>
      <c r="D29" s="832">
        <f>ITE_LUC_Rates!Z39</f>
        <v>26152.609299623797</v>
      </c>
      <c r="E29" s="833">
        <f>ITE_LUC_Rates!AA39</f>
        <v>238.93379999999999</v>
      </c>
      <c r="F29" s="833">
        <f>ITE_LUC_Rates!AB39</f>
        <v>195.31715711802448</v>
      </c>
      <c r="G29" s="834">
        <f>ITE_LUC_Rates!AC39</f>
        <v>-0.18254697695334654</v>
      </c>
      <c r="H29" s="834">
        <f>ITE_LUC_Rates!AD39</f>
        <v>0</v>
      </c>
      <c r="I29" s="834">
        <f>ITE_LUC_Rates!AE39</f>
        <v>-0.18254697695334654</v>
      </c>
      <c r="J29" s="834">
        <f>ITE_LUC_Rates!AF39</f>
        <v>-0.35979897951867545</v>
      </c>
      <c r="K29" s="834">
        <f>ITE_LUC_Rates!AG39</f>
        <v>-0.34491176730121309</v>
      </c>
      <c r="L29" s="836">
        <f>ITE_LUC_Rates!AJ39</f>
        <v>37</v>
      </c>
    </row>
    <row r="30" spans="1:12" ht="25.5" x14ac:dyDescent="0.25">
      <c r="A30" s="831">
        <f>ITE_LUC_Rates!A98</f>
        <v>840</v>
      </c>
      <c r="B30" s="831" t="str">
        <f>ITE_LUC_Rates!B98</f>
        <v>Auto Sales (New)</v>
      </c>
      <c r="C30" s="832">
        <f>ITE_LUC_Rates!Y98</f>
        <v>15712.219304667191</v>
      </c>
      <c r="D30" s="832">
        <f>ITE_LUC_Rates!Z98</f>
        <v>16077.590704762784</v>
      </c>
      <c r="E30" s="833">
        <f>ITE_LUC_Rates!AA98</f>
        <v>145.53294000000002</v>
      </c>
      <c r="F30" s="833">
        <f>ITE_LUC_Rates!AB98</f>
        <v>120.07326969881413</v>
      </c>
      <c r="G30" s="834">
        <f>ITE_LUC_Rates!AC98</f>
        <v>-0.1749409467106614</v>
      </c>
      <c r="H30" s="834">
        <f>ITE_LUC_Rates!AD98</f>
        <v>-0.1704410011918952</v>
      </c>
      <c r="I30" s="834">
        <f>ITE_LUC_Rates!AE98</f>
        <v>-4.4999455187662019E-3</v>
      </c>
      <c r="J30" s="834">
        <f>ITE_LUC_Rates!AF98</f>
        <v>-0.35385067444730611</v>
      </c>
      <c r="K30" s="834">
        <f>ITE_LUC_Rates!AG98</f>
        <v>-0.33882514055102941</v>
      </c>
      <c r="L30" s="836">
        <f>ITE_LUC_Rates!AJ98</f>
        <v>96</v>
      </c>
    </row>
    <row r="31" spans="1:12" ht="25.5" x14ac:dyDescent="0.25">
      <c r="A31" s="831">
        <f>ITE_LUC_Rates!A9</f>
        <v>151</v>
      </c>
      <c r="B31" s="831" t="str">
        <f>ITE_LUC_Rates!B9</f>
        <v>Mini-Warehousing</v>
      </c>
      <c r="C31" s="832">
        <f>ITE_LUC_Rates!Y9</f>
        <v>1562.3407107484695</v>
      </c>
      <c r="D31" s="832">
        <f>ITE_LUC_Rates!Z9</f>
        <v>1598.6713271842364</v>
      </c>
      <c r="E31" s="833">
        <f>ITE_LUC_Rates!AA9</f>
        <v>14.455</v>
      </c>
      <c r="F31" s="833">
        <f>ITE_LUC_Rates!AB9</f>
        <v>11.939456411954115</v>
      </c>
      <c r="G31" s="834">
        <f>ITE_LUC_Rates!AC9</f>
        <v>-0.17402584490113349</v>
      </c>
      <c r="H31" s="834">
        <f>ITE_LUC_Rates!AD9</f>
        <v>-0.39600000000000002</v>
      </c>
      <c r="I31" s="834">
        <f>ITE_LUC_Rates!AE9</f>
        <v>0.22197415509886653</v>
      </c>
      <c r="J31" s="834">
        <f>ITE_LUC_Rates!AF9</f>
        <v>-0.35317516322411635</v>
      </c>
      <c r="K31" s="834">
        <f>ITE_LUC_Rates!AG9</f>
        <v>-0.3381339210133989</v>
      </c>
      <c r="L31" s="836">
        <f>ITE_LUC_Rates!AJ9</f>
        <v>7</v>
      </c>
    </row>
    <row r="32" spans="1:12" ht="25.5" x14ac:dyDescent="0.25">
      <c r="A32" s="831">
        <f>ITE_LUC_Rates!A88</f>
        <v>820</v>
      </c>
      <c r="B32" s="831" t="str">
        <f>ITE_LUC_Rates!B88</f>
        <v>Shopping Center General, 100,001 - 200,000gsf</v>
      </c>
      <c r="C32" s="832">
        <f>ITE_LUC_Rates!Y88</f>
        <v>13710.164782227859</v>
      </c>
      <c r="D32" s="832">
        <f>ITE_LUC_Rates!Z88</f>
        <v>14028.980476235893</v>
      </c>
      <c r="E32" s="833">
        <f>ITE_LUC_Rates!AA88</f>
        <v>121.13740799999999</v>
      </c>
      <c r="F32" s="833">
        <f>ITE_LUC_Rates!AB88</f>
        <v>104.77350663140446</v>
      </c>
      <c r="G32" s="834">
        <f>ITE_LUC_Rates!AC88</f>
        <v>-0.13508545080141998</v>
      </c>
      <c r="H32" s="834">
        <f>ITE_LUC_Rates!AD88</f>
        <v>-2.7232688616860679E-2</v>
      </c>
      <c r="I32" s="834">
        <f>ITE_LUC_Rates!AE88</f>
        <v>-0.1078527621845593</v>
      </c>
      <c r="J32" s="834">
        <f>ITE_LUC_Rates!AF88</f>
        <v>-0.32266047555343269</v>
      </c>
      <c r="K32" s="834">
        <f>ITE_LUC_Rates!AG88</f>
        <v>-0.30690964585914415</v>
      </c>
      <c r="L32" s="836">
        <f>ITE_LUC_Rates!AJ88</f>
        <v>86</v>
      </c>
    </row>
    <row r="33" spans="1:12" ht="25.5" x14ac:dyDescent="0.25">
      <c r="A33" s="831">
        <f>ITE_LUC_Rates!A89</f>
        <v>820</v>
      </c>
      <c r="B33" s="831" t="str">
        <f>ITE_LUC_Rates!B89</f>
        <v>Shopping Center General, 200,001 - 300,000gsf</v>
      </c>
      <c r="C33" s="832">
        <f>ITE_LUC_Rates!Y89</f>
        <v>12755.328921430346</v>
      </c>
      <c r="D33" s="832">
        <f>ITE_LUC_Rates!Z89</f>
        <v>13051.940895610114</v>
      </c>
      <c r="E33" s="833">
        <f>ITE_LUC_Rates!AA89</f>
        <v>112.35739199999999</v>
      </c>
      <c r="F33" s="833">
        <f>ITE_LUC_Rates!AB89</f>
        <v>97.476621219578305</v>
      </c>
      <c r="G33" s="834">
        <f>ITE_LUC_Rates!AC89</f>
        <v>-0.13244140430405937</v>
      </c>
      <c r="H33" s="834">
        <f>ITE_LUC_Rates!AD89</f>
        <v>-3.003610683237401E-2</v>
      </c>
      <c r="I33" s="834">
        <f>ITE_LUC_Rates!AE89</f>
        <v>-0.10240529747168536</v>
      </c>
      <c r="J33" s="834">
        <f>ITE_LUC_Rates!AF89</f>
        <v>-0.32060353557056931</v>
      </c>
      <c r="K33" s="834">
        <f>ITE_LUC_Rates!AG89</f>
        <v>-0.3048048738656095</v>
      </c>
      <c r="L33" s="836">
        <f>ITE_LUC_Rates!AJ89</f>
        <v>87</v>
      </c>
    </row>
    <row r="34" spans="1:12" ht="25.5" x14ac:dyDescent="0.25">
      <c r="A34" s="831">
        <f>ITE_LUC_Rates!A120</f>
        <v>912</v>
      </c>
      <c r="B34" s="831" t="str">
        <f>ITE_LUC_Rates!B120</f>
        <v>Bank (Drive-in)</v>
      </c>
      <c r="C34" s="832">
        <f>ITE_LUC_Rates!Y120</f>
        <v>17768.393529733545</v>
      </c>
      <c r="D34" s="832">
        <f>ITE_LUC_Rates!Z120</f>
        <v>18181.579133595362</v>
      </c>
      <c r="E34" s="833">
        <f>ITE_LUC_Rates!AA120</f>
        <v>150.97512499999999</v>
      </c>
      <c r="F34" s="833">
        <f>ITE_LUC_Rates!AB120</f>
        <v>135.78661722068873</v>
      </c>
      <c r="G34" s="834">
        <f>ITE_LUC_Rates!AC120</f>
        <v>-0.1006027170324334</v>
      </c>
      <c r="H34" s="834">
        <f>ITE_LUC_Rates!AD120</f>
        <v>-0.5941823197695647</v>
      </c>
      <c r="I34" s="834">
        <f>ITE_LUC_Rates!AE120</f>
        <v>0.49357960273713131</v>
      </c>
      <c r="J34" s="834">
        <f>ITE_LUC_Rates!AF120</f>
        <v>-0.29564850079941229</v>
      </c>
      <c r="K34" s="834">
        <f>ITE_LUC_Rates!AG120</f>
        <v>-0.27926953558563727</v>
      </c>
      <c r="L34" s="836">
        <f>ITE_LUC_Rates!AJ120</f>
        <v>118</v>
      </c>
    </row>
    <row r="35" spans="1:12" ht="25.5" x14ac:dyDescent="0.25">
      <c r="A35" s="831">
        <f>ITE_LUC_Rates!A123</f>
        <v>932</v>
      </c>
      <c r="B35" s="831" t="str">
        <f>ITE_LUC_Rates!B123</f>
        <v>High-Turnover (Sit-Down) Restaurant</v>
      </c>
      <c r="C35" s="832">
        <f>ITE_LUC_Rates!Y123</f>
        <v>39350.365301615835</v>
      </c>
      <c r="D35" s="832">
        <f>ITE_LUC_Rates!Z123</f>
        <v>40265.417324868446</v>
      </c>
      <c r="E35" s="833">
        <f>ITE_LUC_Rates!AA123</f>
        <v>310.40519999999998</v>
      </c>
      <c r="F35" s="833">
        <f>ITE_LUC_Rates!AB123</f>
        <v>300.71671824261472</v>
      </c>
      <c r="G35" s="834">
        <f>ITE_LUC_Rates!AC123</f>
        <v>-3.1212369371986237E-2</v>
      </c>
      <c r="H35" s="834">
        <f>ITE_LUC_Rates!AD123</f>
        <v>-0.29165877375765614</v>
      </c>
      <c r="I35" s="834">
        <f>ITE_LUC_Rates!AE123</f>
        <v>0.26044640438566991</v>
      </c>
      <c r="J35" s="834">
        <f>ITE_LUC_Rates!AF123</f>
        <v>-0.24128516997916039</v>
      </c>
      <c r="K35" s="834">
        <f>ITE_LUC_Rates!AG123</f>
        <v>-0.22364204176520652</v>
      </c>
      <c r="L35" s="836">
        <f>ITE_LUC_Rates!AJ123</f>
        <v>121</v>
      </c>
    </row>
    <row r="36" spans="1:12" ht="25.5" x14ac:dyDescent="0.25">
      <c r="A36" s="831">
        <f>ITE_LUC_Rates!A72</f>
        <v>720</v>
      </c>
      <c r="B36" s="831" t="str">
        <f>ITE_LUC_Rates!B72</f>
        <v>Medical Office Building</v>
      </c>
      <c r="C36" s="832">
        <f>ITE_LUC_Rates!Y72</f>
        <v>29508.709627234599</v>
      </c>
      <c r="D36" s="832">
        <f>ITE_LUC_Rates!Z72</f>
        <v>30194.904132444593</v>
      </c>
      <c r="E36" s="833">
        <f>ITE_LUC_Rates!AA72</f>
        <v>214.92291800000004</v>
      </c>
      <c r="F36" s="833">
        <f>ITE_LUC_Rates!AB72</f>
        <v>225.50647880038505</v>
      </c>
      <c r="G36" s="834">
        <f>ITE_LUC_Rates!AC72</f>
        <v>4.924351902008417E-2</v>
      </c>
      <c r="H36" s="834">
        <f>ITE_LUC_Rates!AD72</f>
        <v>-3.6811513977304311E-2</v>
      </c>
      <c r="I36" s="834">
        <f>ITE_LUC_Rates!AE72</f>
        <v>8.6055032997388481E-2</v>
      </c>
      <c r="J36" s="834">
        <f>ITE_LUC_Rates!AF72</f>
        <v>-0.17827528766538658</v>
      </c>
      <c r="K36" s="834">
        <f>ITE_LUC_Rates!AG72</f>
        <v>-0.15916692984418024</v>
      </c>
      <c r="L36" s="836">
        <f>ITE_LUC_Rates!AJ72</f>
        <v>70</v>
      </c>
    </row>
    <row r="37" spans="1:12" ht="25.5" x14ac:dyDescent="0.25">
      <c r="A37" s="831">
        <f>ITE_LUC_Rates!A113</f>
        <v>880</v>
      </c>
      <c r="B37" s="831" t="str">
        <f>ITE_LUC_Rates!B113</f>
        <v>Pharmacy/Drugstore w/o Drive-Thru</v>
      </c>
      <c r="C37" s="832">
        <f>ITE_LUC_Rates!Y113</f>
        <v>9488.0624710417724</v>
      </c>
      <c r="D37" s="832">
        <f>ITE_LUC_Rates!Z113</f>
        <v>9708.697545057652</v>
      </c>
      <c r="E37" s="833">
        <f>ITE_LUC_Rates!AA113</f>
        <v>66.653045759999998</v>
      </c>
      <c r="F37" s="833">
        <f>ITE_LUC_Rates!AB113</f>
        <v>72.508069160299115</v>
      </c>
      <c r="G37" s="834">
        <f>ITE_LUC_Rates!AC113</f>
        <v>8.7843298585056573E-2</v>
      </c>
      <c r="H37" s="834">
        <f>ITE_LUC_Rates!AD113</f>
        <v>2.2207417277364527E-4</v>
      </c>
      <c r="I37" s="834">
        <f>ITE_LUC_Rates!AE113</f>
        <v>8.7621224412282928E-2</v>
      </c>
      <c r="J37" s="834">
        <f>ITE_LUC_Rates!AF113</f>
        <v>-0.14802114928013532</v>
      </c>
      <c r="K37" s="834">
        <f>ITE_LUC_Rates!AG113</f>
        <v>-0.12820926277936051</v>
      </c>
      <c r="L37" s="836">
        <f>ITE_LUC_Rates!AJ113</f>
        <v>111</v>
      </c>
    </row>
    <row r="38" spans="1:12" ht="25.5" x14ac:dyDescent="0.25">
      <c r="A38" s="831">
        <f>ITE_LUC_Rates!A44</f>
        <v>530</v>
      </c>
      <c r="B38" s="831" t="str">
        <f>ITE_LUC_Rates!B44</f>
        <v>High School (25 SF/St)</v>
      </c>
      <c r="C38" s="832">
        <f>ITE_LUC_Rates!Y44</f>
        <v>978.89118583782556</v>
      </c>
      <c r="D38" s="832">
        <f>ITE_LUC_Rates!Z44</f>
        <v>1001.6542873561809</v>
      </c>
      <c r="E38" s="833">
        <f>ITE_LUC_Rates!AA44</f>
        <v>6.7031999999999998</v>
      </c>
      <c r="F38" s="833">
        <f>ITE_LUC_Rates!AB44</f>
        <v>7.4807169556234028</v>
      </c>
      <c r="G38" s="834">
        <f>ITE_LUC_Rates!AC44</f>
        <v>0.11599190768937273</v>
      </c>
      <c r="H38" s="834">
        <f>ITE_LUC_Rates!AD44</f>
        <v>0.1871345029239766</v>
      </c>
      <c r="I38" s="834">
        <f>ITE_LUC_Rates!AE44</f>
        <v>-7.1142595234603867E-2</v>
      </c>
      <c r="J38" s="834">
        <f>ITE_LUC_Rates!AF44</f>
        <v>-0.1261554189404992</v>
      </c>
      <c r="K38" s="834">
        <f>ITE_LUC_Rates!AG44</f>
        <v>-0.10583506750848859</v>
      </c>
      <c r="L38" s="836">
        <f>ITE_LUC_Rates!AJ44</f>
        <v>42</v>
      </c>
    </row>
    <row r="39" spans="1:12" ht="25.5" x14ac:dyDescent="0.25">
      <c r="A39" s="831">
        <f>ITE_LUC_Rates!A125</f>
        <v>933</v>
      </c>
      <c r="B39" s="831" t="str">
        <f>ITE_LUC_Rates!B125</f>
        <v>Fast-Food Restaurant without Drive-Through Window</v>
      </c>
      <c r="C39" s="832">
        <f>ITE_LUC_Rates!Y125</f>
        <v>64230.001676841719</v>
      </c>
      <c r="D39" s="832">
        <f>ITE_LUC_Rates!Z125</f>
        <v>65723.603897238369</v>
      </c>
      <c r="E39" s="833">
        <f>ITE_LUC_Rates!AA125</f>
        <v>438.55</v>
      </c>
      <c r="F39" s="833">
        <f>ITE_LUC_Rates!AB125</f>
        <v>490.84767495625647</v>
      </c>
      <c r="G39" s="834">
        <f>ITE_LUC_Rates!AC125</f>
        <v>0.11925133954225631</v>
      </c>
      <c r="H39" s="834">
        <f>ITE_LUC_Rates!AD125</f>
        <v>-0.51643854748603357</v>
      </c>
      <c r="I39" s="834">
        <f>ITE_LUC_Rates!AE125</f>
        <v>0.63568988702828988</v>
      </c>
      <c r="J39" s="834">
        <f>ITE_LUC_Rates!AF125</f>
        <v>-0.12345462752838621</v>
      </c>
      <c r="K39" s="834">
        <f>ITE_LUC_Rates!AG125</f>
        <v>-0.1030714719870085</v>
      </c>
      <c r="L39" s="836">
        <f>ITE_LUC_Rates!AJ125</f>
        <v>123</v>
      </c>
    </row>
    <row r="40" spans="1:12" ht="25.5" x14ac:dyDescent="0.25">
      <c r="A40" s="831">
        <f>ITE_LUC_Rates!A55</f>
        <v>630</v>
      </c>
      <c r="B40" s="831" t="str">
        <f>ITE_LUC_Rates!B55</f>
        <v>Clinic</v>
      </c>
      <c r="C40" s="832">
        <f>ITE_LUC_Rates!Y55</f>
        <v>28288.003919450624</v>
      </c>
      <c r="D40" s="832">
        <f>ITE_LUC_Rates!Z55</f>
        <v>28945.812176676845</v>
      </c>
      <c r="E40" s="833">
        <f>ITE_LUC_Rates!AA55</f>
        <v>191.09020000000001</v>
      </c>
      <c r="F40" s="833">
        <f>ITE_LUC_Rates!AB55</f>
        <v>216.17780773034161</v>
      </c>
      <c r="G40" s="834">
        <f>ITE_LUC_Rates!AC55</f>
        <v>0.1312867312417989</v>
      </c>
      <c r="H40" s="834">
        <f>ITE_LUC_Rates!AD55</f>
        <v>0.21335453100158985</v>
      </c>
      <c r="I40" s="834">
        <f>ITE_LUC_Rates!AE55</f>
        <v>-8.2067799759790949E-2</v>
      </c>
      <c r="J40" s="834">
        <f>ITE_LUC_Rates!AF55</f>
        <v>-0.11399806689956926</v>
      </c>
      <c r="K40" s="834">
        <f>ITE_LUC_Rates!AG55</f>
        <v>-9.339500882691687E-2</v>
      </c>
      <c r="L40" s="836">
        <f>ITE_LUC_Rates!AJ55</f>
        <v>53</v>
      </c>
    </row>
    <row r="41" spans="1:12" ht="25.5" x14ac:dyDescent="0.25">
      <c r="A41" s="831">
        <f>ITE_LUC_Rates!A59</f>
        <v>710</v>
      </c>
      <c r="B41" s="831" t="str">
        <f>ITE_LUC_Rates!B59</f>
        <v>General Office, 1 - 50,000gsf</v>
      </c>
      <c r="C41" s="832">
        <f>ITE_LUC_Rates!Y59</f>
        <v>14197.439427882302</v>
      </c>
      <c r="D41" s="832">
        <f>ITE_LUC_Rates!Z59</f>
        <v>14527.586189517488</v>
      </c>
      <c r="E41" s="833">
        <f>ITE_LUC_Rates!AA59</f>
        <v>93.095590000000001</v>
      </c>
      <c r="F41" s="833">
        <f>ITE_LUC_Rates!AB59</f>
        <v>108.49727466254951</v>
      </c>
      <c r="G41" s="834">
        <f>ITE_LUC_Rates!AC59</f>
        <v>0.16543946563472578</v>
      </c>
      <c r="H41" s="834">
        <f>ITE_LUC_Rates!AD59</f>
        <v>-0.2932209585679133</v>
      </c>
      <c r="I41" s="834">
        <f>ITE_LUC_Rates!AE59</f>
        <v>0.45866042420263908</v>
      </c>
      <c r="J41" s="834">
        <f>ITE_LUC_Rates!AF59</f>
        <v>-8.7087062083983646E-2</v>
      </c>
      <c r="K41" s="834">
        <f>ITE_LUC_Rates!AG59</f>
        <v>-6.5858216443274165E-2</v>
      </c>
      <c r="L41" s="836">
        <f>ITE_LUC_Rates!AJ59</f>
        <v>57</v>
      </c>
    </row>
    <row r="42" spans="1:12" ht="25.5" x14ac:dyDescent="0.25">
      <c r="A42" s="831">
        <f>ITE_LUC_Rates!A114</f>
        <v>881</v>
      </c>
      <c r="B42" s="831" t="str">
        <f>ITE_LUC_Rates!B114</f>
        <v>Pharmacy/Drugstore w/ Drive-Thru</v>
      </c>
      <c r="C42" s="832">
        <f>ITE_LUC_Rates!Y114</f>
        <v>11497.745330138985</v>
      </c>
      <c r="D42" s="832">
        <f>ITE_LUC_Rates!Z114</f>
        <v>11765.113499317198</v>
      </c>
      <c r="E42" s="833">
        <f>ITE_LUC_Rates!AA114</f>
        <v>71.722703359999997</v>
      </c>
      <c r="F42" s="833">
        <f>ITE_LUC_Rates!AB114</f>
        <v>87.866128214234578</v>
      </c>
      <c r="G42" s="834">
        <f>ITE_LUC_Rates!AC114</f>
        <v>0.2250810984243774</v>
      </c>
      <c r="H42" s="834">
        <f>ITE_LUC_Rates!AD114</f>
        <v>0.12640594365906521</v>
      </c>
      <c r="I42" s="834">
        <f>ITE_LUC_Rates!AE114</f>
        <v>9.867515476531219E-2</v>
      </c>
      <c r="J42" s="834">
        <f>ITE_LUC_Rates!AF114</f>
        <v>-4.0599339958196534E-2</v>
      </c>
      <c r="K42" s="834">
        <f>ITE_LUC_Rates!AG114</f>
        <v>-1.8289470447402145E-2</v>
      </c>
      <c r="L42" s="836">
        <f>ITE_LUC_Rates!AJ114</f>
        <v>112</v>
      </c>
    </row>
    <row r="43" spans="1:12" ht="25.5" x14ac:dyDescent="0.25">
      <c r="A43" s="831">
        <f>ITE_LUC_Rates!A124</f>
        <v>932</v>
      </c>
      <c r="B43" s="831" t="str">
        <f>ITE_LUC_Rates!B124</f>
        <v>High-Turnover (Sit-Down) Restaurant</v>
      </c>
      <c r="C43" s="832">
        <f>ITE_LUC_Rates!Y124</f>
        <v>1532.9033372086044</v>
      </c>
      <c r="D43" s="832">
        <f>ITE_LUC_Rates!Z124</f>
        <v>1568.5494179860505</v>
      </c>
      <c r="E43" s="833">
        <f>ITE_LUC_Rates!AA124</f>
        <v>9.4667999999999992</v>
      </c>
      <c r="F43" s="833">
        <f>ITE_LUC_Rates!AB124</f>
        <v>11.714495085757058</v>
      </c>
      <c r="G43" s="834">
        <f>ITE_LUC_Rates!AC124</f>
        <v>0.23742923540764127</v>
      </c>
      <c r="H43" s="834">
        <f>ITE_LUC_Rates!AD124</f>
        <v>-9.5238095238095233E-2</v>
      </c>
      <c r="I43" s="834">
        <f>ITE_LUC_Rates!AE124</f>
        <v>0.3326673306457365</v>
      </c>
      <c r="J43" s="834">
        <f>ITE_LUC_Rates!AF124</f>
        <v>-3.0470730634373666E-2</v>
      </c>
      <c r="K43" s="834">
        <f>ITE_LUC_Rates!AG124</f>
        <v>-7.9253307953737195E-3</v>
      </c>
      <c r="L43" s="836">
        <f>ITE_LUC_Rates!AJ124</f>
        <v>122</v>
      </c>
    </row>
    <row r="44" spans="1:12" ht="25.5" x14ac:dyDescent="0.25">
      <c r="A44" s="831">
        <f>ITE_LUC_Rates!A101</f>
        <v>850</v>
      </c>
      <c r="B44" s="831" t="str">
        <f>ITE_LUC_Rates!B101</f>
        <v>Supermarket (free standing)</v>
      </c>
      <c r="C44" s="832">
        <f>ITE_LUC_Rates!Y101</f>
        <v>19439.36576158609</v>
      </c>
      <c r="D44" s="832">
        <f>ITE_LUC_Rates!Z101</f>
        <v>19891.408095489314</v>
      </c>
      <c r="E44" s="833">
        <f>ITE_LUC_Rates!AA101</f>
        <v>118.23033599999999</v>
      </c>
      <c r="F44" s="833">
        <f>ITE_LUC_Rates!AB101</f>
        <v>148.55623910312144</v>
      </c>
      <c r="G44" s="834">
        <f>ITE_LUC_Rates!AC101</f>
        <v>0.25649849378015332</v>
      </c>
      <c r="H44" s="834">
        <f>ITE_LUC_Rates!AD101</f>
        <v>4.4405320813771576E-2</v>
      </c>
      <c r="I44" s="834">
        <f>ITE_LUC_Rates!AE101</f>
        <v>0.21209317296638175</v>
      </c>
      <c r="J44" s="834">
        <f>ITE_LUC_Rates!AF101</f>
        <v>-1.5728315869058762E-2</v>
      </c>
      <c r="K44" s="834">
        <f>ITE_LUC_Rates!AG101</f>
        <v>7.1599035690792512E-3</v>
      </c>
      <c r="L44" s="836">
        <f>ITE_LUC_Rates!AJ101</f>
        <v>99</v>
      </c>
    </row>
    <row r="45" spans="1:12" ht="25.5" x14ac:dyDescent="0.25">
      <c r="A45" s="831">
        <f>ITE_LUC_Rates!A3</f>
        <v>30</v>
      </c>
      <c r="B45" s="831" t="str">
        <f>ITE_LUC_Rates!B3</f>
        <v>General Light Industrial</v>
      </c>
      <c r="C45" s="832">
        <f>ITE_LUC_Rates!Y3</f>
        <v>10191.427815147301</v>
      </c>
      <c r="D45" s="832">
        <f>ITE_LUC_Rates!Z3</f>
        <v>10428.418922360745</v>
      </c>
      <c r="E45" s="833">
        <f>ITE_LUC_Rates!AA3</f>
        <v>60.331249999999997</v>
      </c>
      <c r="F45" s="833">
        <f>ITE_LUC_Rates!AB3</f>
        <v>77.883209044866248</v>
      </c>
      <c r="G45" s="834">
        <f>ITE_LUC_Rates!AC3</f>
        <v>0.2909264940618046</v>
      </c>
      <c r="H45" s="834">
        <f>ITE_LUC_Rates!AD3</f>
        <v>0</v>
      </c>
      <c r="I45" s="834">
        <f>ITE_LUC_Rates!AE3</f>
        <v>0.2909264940618046</v>
      </c>
      <c r="J45" s="834">
        <f>ITE_LUC_Rates!AF3</f>
        <v>1.1034286536705684E-2</v>
      </c>
      <c r="K45" s="834">
        <f>ITE_LUC_Rates!AG3</f>
        <v>3.4544842598434933E-2</v>
      </c>
      <c r="L45" s="836">
        <f>ITE_LUC_Rates!AJ3</f>
        <v>1</v>
      </c>
    </row>
    <row r="46" spans="1:12" ht="25.5" x14ac:dyDescent="0.25">
      <c r="A46" s="831">
        <f>ITE_LUC_Rates!A13</f>
        <v>210</v>
      </c>
      <c r="B46" s="831" t="str">
        <f>ITE_LUC_Rates!B13</f>
        <v>Single Family Detached</v>
      </c>
      <c r="C46" s="832">
        <f>ITE_LUC_Rates!Y13</f>
        <v>9765.153041384101</v>
      </c>
      <c r="D46" s="832">
        <f>ITE_LUC_Rates!Z13</f>
        <v>9991.7903820213087</v>
      </c>
      <c r="E46" s="833">
        <f>ITE_LUC_Rates!AA13</f>
        <v>57.115673999999999</v>
      </c>
      <c r="F46" s="833">
        <f>ITE_LUC_Rates!AB13</f>
        <v>74.625603936168091</v>
      </c>
      <c r="G46" s="834">
        <f>ITE_LUC_Rates!AC13</f>
        <v>0.30656961057954235</v>
      </c>
      <c r="H46" s="834">
        <f>ITE_LUC_Rates!AD13</f>
        <v>-1.3584117032392928E-2</v>
      </c>
      <c r="I46" s="834">
        <f>ITE_LUC_Rates!AE13</f>
        <v>0.32015372761193528</v>
      </c>
      <c r="J46" s="834">
        <f>ITE_LUC_Rates!AF13</f>
        <v>2.3207323952326719E-2</v>
      </c>
      <c r="K46" s="834">
        <f>ITE_LUC_Rates!AG13</f>
        <v>4.6954723080461669E-2</v>
      </c>
      <c r="L46" s="836">
        <f>ITE_LUC_Rates!AJ13</f>
        <v>11</v>
      </c>
    </row>
    <row r="47" spans="1:12" ht="25.5" x14ac:dyDescent="0.25">
      <c r="A47" s="831">
        <f>ITE_LUC_Rates!A60</f>
        <v>710</v>
      </c>
      <c r="B47" s="831" t="str">
        <f>ITE_LUC_Rates!B60</f>
        <v>General Office, 50,001 - 100,000gsf</v>
      </c>
      <c r="C47" s="832">
        <f>ITE_LUC_Rates!Y60</f>
        <v>13737.14197762925</v>
      </c>
      <c r="D47" s="832">
        <f>ITE_LUC_Rates!Z60</f>
        <v>14056.584998398916</v>
      </c>
      <c r="E47" s="833">
        <f>ITE_LUC_Rates!AA60</f>
        <v>79.354323999999991</v>
      </c>
      <c r="F47" s="833">
        <f>ITE_LUC_Rates!AB60</f>
        <v>104.97966719957998</v>
      </c>
      <c r="G47" s="834">
        <f>ITE_LUC_Rates!AC60</f>
        <v>0.32292308607631748</v>
      </c>
      <c r="H47" s="834">
        <f>ITE_LUC_Rates!AD60</f>
        <v>-0.19771524970954457</v>
      </c>
      <c r="I47" s="834">
        <f>ITE_LUC_Rates!AE60</f>
        <v>0.52063833578586205</v>
      </c>
      <c r="J47" s="834">
        <f>ITE_LUC_Rates!AF60</f>
        <v>3.604606444048275E-2</v>
      </c>
      <c r="K47" s="834">
        <f>ITE_LUC_Rates!AG60</f>
        <v>6.0138243513855549E-2</v>
      </c>
      <c r="L47" s="836">
        <f>ITE_LUC_Rates!AJ60</f>
        <v>58</v>
      </c>
    </row>
    <row r="48" spans="1:12" ht="25.5" x14ac:dyDescent="0.25">
      <c r="A48" s="831">
        <f>ITE_LUC_Rates!A17</f>
        <v>230</v>
      </c>
      <c r="B48" s="831" t="str">
        <f>ITE_LUC_Rates!B17</f>
        <v>Low Rise Residential w/ 1st Commercial (up to 25ksf)</v>
      </c>
      <c r="C48" s="832">
        <f>ITE_LUC_Rates!Y17</f>
        <v>6061.8428837405554</v>
      </c>
      <c r="D48" s="832">
        <f>ITE_LUC_Rates!Z17</f>
        <v>6202.5308939242459</v>
      </c>
      <c r="E48" s="833">
        <f>ITE_LUC_Rates!AA17</f>
        <v>34.973652000000001</v>
      </c>
      <c r="F48" s="833">
        <f>ITE_LUC_Rates!AB17</f>
        <v>46.324792273934861</v>
      </c>
      <c r="G48" s="834">
        <f>ITE_LUC_Rates!AC17</f>
        <v>0.3245626242845574</v>
      </c>
      <c r="H48" s="834">
        <f>ITE_LUC_Rates!AD17</f>
        <v>0</v>
      </c>
      <c r="I48" s="834">
        <f>ITE_LUC_Rates!AE17</f>
        <v>0.3245626242845574</v>
      </c>
      <c r="J48" s="834">
        <f>ITE_LUC_Rates!AF17</f>
        <v>3.7405918901668889E-2</v>
      </c>
      <c r="K48" s="834">
        <f>ITE_LUC_Rates!AG17</f>
        <v>6.1482850171949099E-2</v>
      </c>
      <c r="L48" s="836">
        <f>ITE_LUC_Rates!AJ17</f>
        <v>15</v>
      </c>
    </row>
    <row r="49" spans="1:12" ht="25.5" x14ac:dyDescent="0.25">
      <c r="A49" s="831">
        <f>ITE_LUC_Rates!A19</f>
        <v>240</v>
      </c>
      <c r="B49" s="831" t="str">
        <f>ITE_LUC_Rates!B19</f>
        <v>Mobile Home Park</v>
      </c>
      <c r="C49" s="832">
        <f>ITE_LUC_Rates!Y19</f>
        <v>5172.2208905636144</v>
      </c>
      <c r="D49" s="832">
        <f>ITE_LUC_Rates!Z19</f>
        <v>5292.2618548841701</v>
      </c>
      <c r="E49" s="833">
        <f>ITE_LUC_Rates!AA19</f>
        <v>29.781317999999999</v>
      </c>
      <c r="F49" s="833">
        <f>ITE_LUC_Rates!AB19</f>
        <v>39.526273271275485</v>
      </c>
      <c r="G49" s="834">
        <f>ITE_LUC_Rates!AC19</f>
        <v>0.32721705840136051</v>
      </c>
      <c r="H49" s="834">
        <f>ITE_LUC_Rates!AD19</f>
        <v>2.0040080160319551E-3</v>
      </c>
      <c r="I49" s="834">
        <f>ITE_LUC_Rates!AE19</f>
        <v>0.32521305038532855</v>
      </c>
      <c r="J49" s="834">
        <f>ITE_LUC_Rates!AF19</f>
        <v>3.9567165102347257E-2</v>
      </c>
      <c r="K49" s="834">
        <f>ITE_LUC_Rates!AG19</f>
        <v>6.3694256271741301E-2</v>
      </c>
      <c r="L49" s="836">
        <f>ITE_LUC_Rates!AJ19</f>
        <v>17</v>
      </c>
    </row>
    <row r="50" spans="1:12" ht="25.5" x14ac:dyDescent="0.25">
      <c r="A50" s="831">
        <f>ITE_LUC_Rates!A85</f>
        <v>820</v>
      </c>
      <c r="B50" s="831" t="str">
        <f>ITE_LUC_Rates!B85</f>
        <v>Shopping Center General, 1 - 10,000gsf</v>
      </c>
      <c r="C50" s="832">
        <f>ITE_LUC_Rates!Y85</f>
        <v>19605.623693934391</v>
      </c>
      <c r="D50" s="832">
        <f>ITE_LUC_Rates!Z85</f>
        <v>20061.532184001884</v>
      </c>
      <c r="E50" s="833">
        <f>ITE_LUC_Rates!AA85</f>
        <v>112.51679488000001</v>
      </c>
      <c r="F50" s="833">
        <f>ITE_LUC_Rates!AB85</f>
        <v>149.82678740462683</v>
      </c>
      <c r="G50" s="834">
        <f>ITE_LUC_Rates!AC85</f>
        <v>0.33159487491994599</v>
      </c>
      <c r="H50" s="834">
        <f>ITE_LUC_Rates!AD85</f>
        <v>3.1384421432914866E-2</v>
      </c>
      <c r="I50" s="834">
        <f>ITE_LUC_Rates!AE85</f>
        <v>0.30021045348703113</v>
      </c>
      <c r="J50" s="834">
        <f>ITE_LUC_Rates!AF85</f>
        <v>4.286896567149423E-2</v>
      </c>
      <c r="K50" s="834">
        <f>ITE_LUC_Rates!AG85</f>
        <v>6.71198042522958E-2</v>
      </c>
      <c r="L50" s="836">
        <f>ITE_LUC_Rates!AJ85</f>
        <v>83</v>
      </c>
    </row>
    <row r="51" spans="1:12" ht="25.5" x14ac:dyDescent="0.25">
      <c r="A51" s="831">
        <f>ITE_LUC_Rates!A7</f>
        <v>140</v>
      </c>
      <c r="B51" s="831" t="str">
        <f>ITE_LUC_Rates!B7</f>
        <v>Manufacturing</v>
      </c>
      <c r="C51" s="832">
        <f>ITE_LUC_Rates!Y7</f>
        <v>4066.2244988354205</v>
      </c>
      <c r="D51" s="832">
        <f>ITE_LUC_Rates!Z7</f>
        <v>4160.7803416119523</v>
      </c>
      <c r="E51" s="833">
        <f>ITE_LUC_Rates!AA7</f>
        <v>23.060575999999998</v>
      </c>
      <c r="F51" s="833">
        <f>ITE_LUC_Rates!AB7</f>
        <v>31.074214370185214</v>
      </c>
      <c r="G51" s="834">
        <f>ITE_LUC_Rates!AC7</f>
        <v>0.34750382515099432</v>
      </c>
      <c r="H51" s="834">
        <f>ITE_LUC_Rates!AD7</f>
        <v>2.8795811518324665E-2</v>
      </c>
      <c r="I51" s="834">
        <f>ITE_LUC_Rates!AE7</f>
        <v>0.31870801363266965</v>
      </c>
      <c r="J51" s="834">
        <f>ITE_LUC_Rates!AF7</f>
        <v>5.52029320969043E-2</v>
      </c>
      <c r="K51" s="834">
        <f>ITE_LUC_Rates!AG7</f>
        <v>7.9740584303088724E-2</v>
      </c>
      <c r="L51" s="836">
        <f>ITE_LUC_Rates!AJ7</f>
        <v>5</v>
      </c>
    </row>
    <row r="52" spans="1:12" ht="25.5" x14ac:dyDescent="0.25">
      <c r="A52" s="831">
        <f>ITE_LUC_Rates!A100</f>
        <v>848</v>
      </c>
      <c r="B52" s="831" t="str">
        <f>ITE_LUC_Rates!B100</f>
        <v>Tire sales</v>
      </c>
      <c r="C52" s="832">
        <f>ITE_LUC_Rates!Y100</f>
        <v>25361.656074099461</v>
      </c>
      <c r="D52" s="832">
        <f>ITE_LUC_Rates!Z100</f>
        <v>25951.415140521356</v>
      </c>
      <c r="E52" s="833">
        <f>ITE_LUC_Rates!AA100</f>
        <v>143.79834</v>
      </c>
      <c r="F52" s="833">
        <f>ITE_LUC_Rates!AB100</f>
        <v>193.81456627768316</v>
      </c>
      <c r="G52" s="834">
        <f>ITE_LUC_Rates!AC100</f>
        <v>0.34782200043257228</v>
      </c>
      <c r="H52" s="834">
        <f>ITE_LUC_Rates!AD100</f>
        <v>0.14676316847607551</v>
      </c>
      <c r="I52" s="834">
        <f>ITE_LUC_Rates!AE100</f>
        <v>0.20105883195649676</v>
      </c>
      <c r="J52" s="834">
        <f>ITE_LUC_Rates!AF100</f>
        <v>5.5530605646031628E-2</v>
      </c>
      <c r="K52" s="834">
        <f>ITE_LUC_Rates!AG100</f>
        <v>8.0075877561507136E-2</v>
      </c>
      <c r="L52" s="836">
        <f>ITE_LUC_Rates!AJ100</f>
        <v>98</v>
      </c>
    </row>
    <row r="53" spans="1:12" ht="25.5" x14ac:dyDescent="0.25">
      <c r="A53" s="831">
        <f>ITE_LUC_Rates!A50</f>
        <v>560</v>
      </c>
      <c r="B53" s="831" t="str">
        <f>ITE_LUC_Rates!B50</f>
        <v>Church</v>
      </c>
      <c r="C53" s="832">
        <f>ITE_LUC_Rates!Y50</f>
        <v>6479.0327154803035</v>
      </c>
      <c r="D53" s="832">
        <f>ITE_LUC_Rates!Z50</f>
        <v>6629.6959164335267</v>
      </c>
      <c r="E53" s="833">
        <f>ITE_LUC_Rates!AA50</f>
        <v>35.711199999999998</v>
      </c>
      <c r="F53" s="833">
        <f>ITE_LUC_Rates!AB50</f>
        <v>49.51296997249905</v>
      </c>
      <c r="G53" s="834">
        <f>ITE_LUC_Rates!AC50</f>
        <v>0.38648295135697075</v>
      </c>
      <c r="H53" s="834">
        <f>ITE_LUC_Rates!AD50</f>
        <v>-0.23710208562019752</v>
      </c>
      <c r="I53" s="834">
        <f>ITE_LUC_Rates!AE50</f>
        <v>0.62358503697716827</v>
      </c>
      <c r="J53" s="834">
        <f>ITE_LUC_Rates!AF50</f>
        <v>8.5974542076113991E-2</v>
      </c>
      <c r="K53" s="834">
        <f>ITE_LUC_Rates!AG50</f>
        <v>0.11122775622827752</v>
      </c>
      <c r="L53" s="836">
        <f>ITE_LUC_Rates!AJ50</f>
        <v>48</v>
      </c>
    </row>
    <row r="54" spans="1:12" ht="25.5" x14ac:dyDescent="0.25">
      <c r="A54" s="831">
        <f>ITE_LUC_Rates!A16</f>
        <v>222</v>
      </c>
      <c r="B54" s="831" t="str">
        <f>ITE_LUC_Rates!B16</f>
        <v>Multi-family Housing (High-Rise)</v>
      </c>
      <c r="C54" s="832">
        <f>ITE_LUC_Rates!Y16</f>
        <v>4603.2765926016173</v>
      </c>
      <c r="D54" s="832">
        <f>ITE_LUC_Rates!Z16</f>
        <v>4710.1130508469114</v>
      </c>
      <c r="E54" s="833">
        <f>ITE_LUC_Rates!AA16</f>
        <v>25.06644</v>
      </c>
      <c r="F54" s="833">
        <f>ITE_LUC_Rates!AB16</f>
        <v>35.178383211435182</v>
      </c>
      <c r="G54" s="834">
        <f>ITE_LUC_Rates!AC16</f>
        <v>0.40340563763482895</v>
      </c>
      <c r="H54" s="834">
        <f>ITE_LUC_Rates!AD16</f>
        <v>5.9523809523809534E-2</v>
      </c>
      <c r="I54" s="834">
        <f>ITE_LUC_Rates!AE16</f>
        <v>0.34388182811101942</v>
      </c>
      <c r="J54" s="834">
        <f>ITE_LUC_Rates!AF16</f>
        <v>9.9111449985821221E-2</v>
      </c>
      <c r="K54" s="834">
        <f>ITE_LUC_Rates!AG16</f>
        <v>0.12462049168061329</v>
      </c>
      <c r="L54" s="836">
        <f>ITE_LUC_Rates!AJ16</f>
        <v>14</v>
      </c>
    </row>
    <row r="55" spans="1:12" ht="25.5" x14ac:dyDescent="0.25">
      <c r="A55" s="831">
        <f>ITE_LUC_Rates!A87</f>
        <v>820</v>
      </c>
      <c r="B55" s="831" t="str">
        <f>ITE_LUC_Rates!B87</f>
        <v>Shopping Center General, 50,001 - 100,000gsf</v>
      </c>
      <c r="C55" s="832">
        <f>ITE_LUC_Rates!Y87</f>
        <v>14835.560700139351</v>
      </c>
      <c r="D55" s="832">
        <f>ITE_LUC_Rates!Z87</f>
        <v>15180.546311599277</v>
      </c>
      <c r="E55" s="833">
        <f>ITE_LUC_Rates!AA87</f>
        <v>80.101746479999989</v>
      </c>
      <c r="F55" s="833">
        <f>ITE_LUC_Rates!AB87</f>
        <v>113.37381731629871</v>
      </c>
      <c r="G55" s="834">
        <f>ITE_LUC_Rates!AC87</f>
        <v>0.41537260170233847</v>
      </c>
      <c r="H55" s="834">
        <f>ITE_LUC_Rates!AD87</f>
        <v>-2.9340455208561766E-2</v>
      </c>
      <c r="I55" s="834">
        <f>ITE_LUC_Rates!AE87</f>
        <v>0.44471305691090024</v>
      </c>
      <c r="J55" s="834">
        <f>ITE_LUC_Rates!AF87</f>
        <v>0.10847977017860155</v>
      </c>
      <c r="K55" s="834">
        <f>ITE_LUC_Rates!AG87</f>
        <v>0.13425632012068989</v>
      </c>
      <c r="L55" s="836">
        <f>ITE_LUC_Rates!AJ87</f>
        <v>85</v>
      </c>
    </row>
    <row r="56" spans="1:12" ht="25.5" x14ac:dyDescent="0.25">
      <c r="A56" s="831">
        <f>ITE_LUC_Rates!A21</f>
        <v>252</v>
      </c>
      <c r="B56" s="831" t="str">
        <f>ITE_LUC_Rates!B21</f>
        <v>Senior Adult Housing - Multifamily</v>
      </c>
      <c r="C56" s="832">
        <f>ITE_LUC_Rates!Y21</f>
        <v>3827.4434590170745</v>
      </c>
      <c r="D56" s="832">
        <f>ITE_LUC_Rates!Z21</f>
        <v>3916.2737726142859</v>
      </c>
      <c r="E56" s="833">
        <f>ITE_LUC_Rates!AA21</f>
        <v>20.530608000000001</v>
      </c>
      <c r="F56" s="833">
        <f>ITE_LUC_Rates!AB21</f>
        <v>29.249442220743855</v>
      </c>
      <c r="G56" s="834">
        <f>ITE_LUC_Rates!AC21</f>
        <v>0.4246749156549019</v>
      </c>
      <c r="H56" s="834">
        <f>ITE_LUC_Rates!AD21</f>
        <v>7.5581395348837344E-2</v>
      </c>
      <c r="I56" s="834">
        <f>ITE_LUC_Rates!AE21</f>
        <v>0.34909352030606455</v>
      </c>
      <c r="J56" s="834">
        <f>ITE_LUC_Rates!AF21</f>
        <v>0.11600287468424142</v>
      </c>
      <c r="K56" s="834">
        <f>ITE_LUC_Rates!AG21</f>
        <v>0.14190394582875143</v>
      </c>
      <c r="L56" s="836">
        <f>ITE_LUC_Rates!AJ21</f>
        <v>19</v>
      </c>
    </row>
    <row r="57" spans="1:12" ht="25.5" x14ac:dyDescent="0.25">
      <c r="A57" s="831">
        <f>ITE_LUC_Rates!A14</f>
        <v>220</v>
      </c>
      <c r="B57" s="831" t="str">
        <f>ITE_LUC_Rates!B14</f>
        <v>Multi-family Housing (Low-Rise)</v>
      </c>
      <c r="C57" s="832">
        <f>ITE_LUC_Rates!Y14</f>
        <v>7572.1313837851303</v>
      </c>
      <c r="D57" s="832">
        <f>ITE_LUC_Rates!Z14</f>
        <v>7747.8713555504237</v>
      </c>
      <c r="E57" s="833">
        <f>ITE_LUC_Rates!AA14</f>
        <v>40.106303999999994</v>
      </c>
      <c r="F57" s="833">
        <f>ITE_LUC_Rates!AB14</f>
        <v>57.866464069147298</v>
      </c>
      <c r="G57" s="834">
        <f>ITE_LUC_Rates!AC14</f>
        <v>0.4428271443099645</v>
      </c>
      <c r="H57" s="834">
        <f>ITE_LUC_Rates!AD14</f>
        <v>8.9285714285714413E-2</v>
      </c>
      <c r="I57" s="834">
        <f>ITE_LUC_Rates!AE14</f>
        <v>0.35354143002425009</v>
      </c>
      <c r="J57" s="834">
        <f>ITE_LUC_Rates!AF14</f>
        <v>0.12998502986605609</v>
      </c>
      <c r="K57" s="834">
        <f>ITE_LUC_Rates!AG14</f>
        <v>0.15621060984861024</v>
      </c>
      <c r="L57" s="836">
        <f>ITE_LUC_Rates!AJ14</f>
        <v>12</v>
      </c>
    </row>
    <row r="58" spans="1:12" ht="25.5" x14ac:dyDescent="0.25">
      <c r="A58" s="831">
        <f>ITE_LUC_Rates!A86</f>
        <v>820</v>
      </c>
      <c r="B58" s="831" t="str">
        <f>ITE_LUC_Rates!B86</f>
        <v>Shopping Center General, 10,001 - 50,000gsf</v>
      </c>
      <c r="C58" s="832">
        <f>ITE_LUC_Rates!Y86</f>
        <v>15884.740187965779</v>
      </c>
      <c r="D58" s="832">
        <f>ITE_LUC_Rates!Z86</f>
        <v>16254.123382668758</v>
      </c>
      <c r="E58" s="833">
        <f>ITE_LUC_Rates!AA86</f>
        <v>84.082306559999992</v>
      </c>
      <c r="F58" s="833">
        <f>ITE_LUC_Rates!AB86</f>
        <v>121.39167966670681</v>
      </c>
      <c r="G58" s="834">
        <f>ITE_LUC_Rates!AC86</f>
        <v>0.44372442471096285</v>
      </c>
      <c r="H58" s="834">
        <f>ITE_LUC_Rates!AD86</f>
        <v>2.0996409749058476E-2</v>
      </c>
      <c r="I58" s="834">
        <f>ITE_LUC_Rates!AE86</f>
        <v>0.42272801496190437</v>
      </c>
      <c r="J58" s="834">
        <f>ITE_LUC_Rates!AF86</f>
        <v>0.13073940162483022</v>
      </c>
      <c r="K58" s="834">
        <f>ITE_LUC_Rates!AG86</f>
        <v>0.1570335762607582</v>
      </c>
      <c r="L58" s="836">
        <f>ITE_LUC_Rates!AJ86</f>
        <v>84</v>
      </c>
    </row>
    <row r="59" spans="1:12" ht="25.5" x14ac:dyDescent="0.25">
      <c r="A59" s="831">
        <f>ITE_LUC_Rates!A62</f>
        <v>710</v>
      </c>
      <c r="B59" s="831" t="str">
        <f>ITE_LUC_Rates!B62</f>
        <v>General Office, 150,001 - 200,000gsf</v>
      </c>
      <c r="C59" s="832">
        <f>ITE_LUC_Rates!Y62</f>
        <v>13392.359019535064</v>
      </c>
      <c r="D59" s="832">
        <f>ITE_LUC_Rates!Z62</f>
        <v>13703.784469413866</v>
      </c>
      <c r="E59" s="833">
        <f>ITE_LUC_Rates!AA62</f>
        <v>67.635581999999999</v>
      </c>
      <c r="F59" s="833">
        <f>ITE_LUC_Rates!AB62</f>
        <v>102.34482508644192</v>
      </c>
      <c r="G59" s="834">
        <f>ITE_LUC_Rates!AC62</f>
        <v>0.51318022348712722</v>
      </c>
      <c r="H59" s="834">
        <f>ITE_LUC_Rates!AD62</f>
        <v>-8.2334089923961407E-2</v>
      </c>
      <c r="I59" s="834">
        <f>ITE_LUC_Rates!AE62</f>
        <v>0.59551431341108862</v>
      </c>
      <c r="J59" s="834">
        <f>ITE_LUC_Rates!AF62</f>
        <v>0.184493651342166</v>
      </c>
      <c r="K59" s="834">
        <f>ITE_LUC_Rates!AG62</f>
        <v>0.21203782542753369</v>
      </c>
      <c r="L59" s="836">
        <f>ITE_LUC_Rates!AJ62</f>
        <v>60</v>
      </c>
    </row>
    <row r="60" spans="1:12" ht="25.5" x14ac:dyDescent="0.25">
      <c r="A60" s="831">
        <f>ITE_LUC_Rates!A61</f>
        <v>710</v>
      </c>
      <c r="B60" s="831" t="str">
        <f>ITE_LUC_Rates!B61</f>
        <v>General Office, 100,001 - 150,000gsf</v>
      </c>
      <c r="C60" s="832">
        <f>ITE_LUC_Rates!Y61</f>
        <v>13528.228319364567</v>
      </c>
      <c r="D60" s="832">
        <f>ITE_LUC_Rates!Z61</f>
        <v>13842.813269206175</v>
      </c>
      <c r="E60" s="833">
        <f>ITE_LUC_Rates!AA61</f>
        <v>67.635581999999999</v>
      </c>
      <c r="F60" s="833">
        <f>ITE_LUC_Rates!AB61</f>
        <v>103.3831425109811</v>
      </c>
      <c r="G60" s="834">
        <f>ITE_LUC_Rates!AC61</f>
        <v>0.52853186819596076</v>
      </c>
      <c r="H60" s="834">
        <f>ITE_LUC_Rates!AD61</f>
        <v>-7.3024107679790617E-2</v>
      </c>
      <c r="I60" s="834">
        <f>ITE_LUC_Rates!AE61</f>
        <v>0.60155597587575138</v>
      </c>
      <c r="J60" s="834">
        <f>ITE_LUC_Rates!AF61</f>
        <v>0.19651067708241055</v>
      </c>
      <c r="K60" s="834">
        <f>ITE_LUC_Rates!AG61</f>
        <v>0.22433429466551469</v>
      </c>
      <c r="L60" s="836">
        <f>ITE_LUC_Rates!AJ61</f>
        <v>59</v>
      </c>
    </row>
    <row r="61" spans="1:12" ht="25.5" x14ac:dyDescent="0.25">
      <c r="A61" s="831">
        <f>ITE_LUC_Rates!A20</f>
        <v>251</v>
      </c>
      <c r="B61" s="831" t="str">
        <f>ITE_LUC_Rates!B20</f>
        <v>Senior Adult Housing - Single-Family</v>
      </c>
      <c r="C61" s="832">
        <f>ITE_LUC_Rates!Y20</f>
        <v>4417.0766405413251</v>
      </c>
      <c r="D61" s="832">
        <f>ITE_LUC_Rates!Z20</f>
        <v>4519.5916240710794</v>
      </c>
      <c r="E61" s="833">
        <f>ITE_LUC_Rates!AA20</f>
        <v>21.962976000000001</v>
      </c>
      <c r="F61" s="833">
        <f>ITE_LUC_Rates!AB20</f>
        <v>33.755437373669253</v>
      </c>
      <c r="G61" s="834">
        <f>ITE_LUC_Rates!AC20</f>
        <v>0.53692456676496159</v>
      </c>
      <c r="H61" s="834">
        <f>ITE_LUC_Rates!AD20</f>
        <v>0.16032608695652151</v>
      </c>
      <c r="I61" s="834">
        <f>ITE_LUC_Rates!AE20</f>
        <v>0.37659847980844008</v>
      </c>
      <c r="J61" s="834">
        <f>ITE_LUC_Rates!AF20</f>
        <v>0.20352376503801661</v>
      </c>
      <c r="K61" s="834">
        <f>ITE_LUC_Rates!AG20</f>
        <v>0.23145608973850429</v>
      </c>
      <c r="L61" s="836">
        <f>ITE_LUC_Rates!AJ20</f>
        <v>18</v>
      </c>
    </row>
    <row r="62" spans="1:12" ht="25.5" x14ac:dyDescent="0.25">
      <c r="A62" s="831">
        <f>ITE_LUC_Rates!A106</f>
        <v>862</v>
      </c>
      <c r="B62" s="831" t="str">
        <f>ITE_LUC_Rates!B106</f>
        <v>Home Improvements Superstore</v>
      </c>
      <c r="C62" s="832">
        <f>ITE_LUC_Rates!Y106</f>
        <v>27335.810228534971</v>
      </c>
      <c r="D62" s="832">
        <f>ITE_LUC_Rates!Z106</f>
        <v>27971.476206859272</v>
      </c>
      <c r="E62" s="833">
        <f>ITE_LUC_Rates!AA106</f>
        <v>133.30401000000001</v>
      </c>
      <c r="F62" s="833">
        <f>ITE_LUC_Rates!AB106</f>
        <v>208.9011138631129</v>
      </c>
      <c r="G62" s="834">
        <f>ITE_LUC_Rates!AC106</f>
        <v>0.56710299910042372</v>
      </c>
      <c r="H62" s="834">
        <f>ITE_LUC_Rates!AD106</f>
        <v>0</v>
      </c>
      <c r="I62" s="834">
        <f>ITE_LUC_Rates!AE106</f>
        <v>0.56710299910042372</v>
      </c>
      <c r="J62" s="834">
        <f>ITE_LUC_Rates!AF106</f>
        <v>0.22730706364364783</v>
      </c>
      <c r="K62" s="834">
        <f>ITE_LUC_Rates!AG106</f>
        <v>0.25584681932650621</v>
      </c>
      <c r="L62" s="836">
        <f>ITE_LUC_Rates!AJ106</f>
        <v>104</v>
      </c>
    </row>
    <row r="63" spans="1:12" ht="25.5" x14ac:dyDescent="0.25">
      <c r="A63" s="831">
        <f>ITE_LUC_Rates!A76</f>
        <v>750</v>
      </c>
      <c r="B63" s="831" t="str">
        <f>ITE_LUC_Rates!B76</f>
        <v>Office Park</v>
      </c>
      <c r="C63" s="832">
        <f>ITE_LUC_Rates!Y76</f>
        <v>14208.873273020288</v>
      </c>
      <c r="D63" s="832">
        <f>ITE_LUC_Rates!Z76</f>
        <v>14539.285916891811</v>
      </c>
      <c r="E63" s="833">
        <f>ITE_LUC_Rates!AA76</f>
        <v>67.933012000000005</v>
      </c>
      <c r="F63" s="833">
        <f>ITE_LUC_Rates!AB76</f>
        <v>108.58465246350346</v>
      </c>
      <c r="G63" s="834">
        <f>ITE_LUC_Rates!AC76</f>
        <v>0.59840774413923303</v>
      </c>
      <c r="H63" s="834">
        <f>ITE_LUC_Rates!AD76</f>
        <v>-3.0647985989492144E-2</v>
      </c>
      <c r="I63" s="834">
        <f>ITE_LUC_Rates!AE76</f>
        <v>0.62905573012872518</v>
      </c>
      <c r="J63" s="834">
        <f>ITE_LUC_Rates!AF76</f>
        <v>0.25187207804515266</v>
      </c>
      <c r="K63" s="834">
        <f>ITE_LUC_Rates!AG76</f>
        <v>0.28098306771674353</v>
      </c>
      <c r="L63" s="836">
        <f>ITE_LUC_Rates!AJ76</f>
        <v>74</v>
      </c>
    </row>
    <row r="64" spans="1:12" ht="25.5" x14ac:dyDescent="0.25">
      <c r="A64" s="831">
        <f>ITE_LUC_Rates!A78</f>
        <v>770</v>
      </c>
      <c r="B64" s="831" t="str">
        <f>ITE_LUC_Rates!B78</f>
        <v>Business Park</v>
      </c>
      <c r="C64" s="832">
        <f>ITE_LUC_Rates!Y78</f>
        <v>15967.333650982146</v>
      </c>
      <c r="D64" s="832">
        <f>ITE_LUC_Rates!Z78</f>
        <v>16338.637471195492</v>
      </c>
      <c r="E64" s="833">
        <f>ITE_LUC_Rates!AA78</f>
        <v>75.904135999999994</v>
      </c>
      <c r="F64" s="833">
        <f>ITE_LUC_Rates!AB78</f>
        <v>122.0228614856353</v>
      </c>
      <c r="G64" s="834">
        <f>ITE_LUC_Rates!AC78</f>
        <v>0.60759173236140018</v>
      </c>
      <c r="H64" s="834">
        <f>ITE_LUC_Rates!AD78</f>
        <v>-2.5078369905956133E-2</v>
      </c>
      <c r="I64" s="834">
        <f>ITE_LUC_Rates!AE78</f>
        <v>0.63267010226735632</v>
      </c>
      <c r="J64" s="834">
        <f>ITE_LUC_Rates!AF78</f>
        <v>0.25902507045111278</v>
      </c>
      <c r="K64" s="834">
        <f>ITE_LUC_Rates!AG78</f>
        <v>0.28830239555880977</v>
      </c>
      <c r="L64" s="836">
        <f>ITE_LUC_Rates!AJ78</f>
        <v>76</v>
      </c>
    </row>
    <row r="65" spans="1:12" ht="25.5" x14ac:dyDescent="0.25">
      <c r="A65" s="831">
        <f>ITE_LUC_Rates!A63</f>
        <v>710</v>
      </c>
      <c r="B65" s="831" t="str">
        <f>ITE_LUC_Rates!B63</f>
        <v>General Office, 200,001 - 300,000gsf</v>
      </c>
      <c r="C65" s="832">
        <f>ITE_LUC_Rates!Y63</f>
        <v>13249.821406375922</v>
      </c>
      <c r="D65" s="832">
        <f>ITE_LUC_Rates!Z63</f>
        <v>13557.93229156616</v>
      </c>
      <c r="E65" s="833">
        <f>ITE_LUC_Rates!AA63</f>
        <v>61.627495999999994</v>
      </c>
      <c r="F65" s="833">
        <f>ITE_LUC_Rates!AB63</f>
        <v>101.25554820357668</v>
      </c>
      <c r="G65" s="834">
        <f>ITE_LUC_Rates!AC63</f>
        <v>0.64302551256628515</v>
      </c>
      <c r="H65" s="834">
        <f>ITE_LUC_Rates!AD63</f>
        <v>-3.5896062713004495E-3</v>
      </c>
      <c r="I65" s="834">
        <f>ITE_LUC_Rates!AE63</f>
        <v>0.6466151188375856</v>
      </c>
      <c r="J65" s="834">
        <f>ITE_LUC_Rates!AF63</f>
        <v>0.286527823978864</v>
      </c>
      <c r="K65" s="834">
        <f>ITE_LUC_Rates!AG63</f>
        <v>0.31644469715854706</v>
      </c>
      <c r="L65" s="836">
        <f>ITE_LUC_Rates!AJ63</f>
        <v>61</v>
      </c>
    </row>
    <row r="66" spans="1:12" ht="25.5" x14ac:dyDescent="0.25">
      <c r="A66" s="831">
        <f>ITE_LUC_Rates!A64</f>
        <v>710</v>
      </c>
      <c r="B66" s="831" t="str">
        <f>ITE_LUC_Rates!B64</f>
        <v>General Office, 300,001 - 400,000gsf</v>
      </c>
      <c r="C66" s="832">
        <f>ITE_LUC_Rates!Y64</f>
        <v>13116.748256303983</v>
      </c>
      <c r="D66" s="832">
        <f>ITE_LUC_Rates!Z64</f>
        <v>13421.764663100421</v>
      </c>
      <c r="E66" s="833">
        <f>ITE_LUC_Rates!AA64</f>
        <v>57.701419999999999</v>
      </c>
      <c r="F66" s="833">
        <f>ITE_LUC_Rates!AB64</f>
        <v>100.23859904264482</v>
      </c>
      <c r="G66" s="834">
        <f>ITE_LUC_Rates!AC64</f>
        <v>0.73719466596566985</v>
      </c>
      <c r="H66" s="834">
        <f>ITE_LUC_Rates!AD64</f>
        <v>5.3519137627156876E-2</v>
      </c>
      <c r="I66" s="834">
        <f>ITE_LUC_Rates!AE64</f>
        <v>0.68367552833851297</v>
      </c>
      <c r="J66" s="834">
        <f>ITE_LUC_Rates!AF64</f>
        <v>0.36072911004761488</v>
      </c>
      <c r="K66" s="834">
        <f>ITE_LUC_Rates!AG64</f>
        <v>0.39237145734741641</v>
      </c>
      <c r="L66" s="836">
        <f>ITE_LUC_Rates!AJ64</f>
        <v>62</v>
      </c>
    </row>
    <row r="67" spans="1:12" ht="25.5" x14ac:dyDescent="0.25">
      <c r="A67" s="831">
        <f>ITE_LUC_Rates!A51</f>
        <v>565</v>
      </c>
      <c r="B67" s="831" t="str">
        <f>ITE_LUC_Rates!B51</f>
        <v>Day Care Center</v>
      </c>
      <c r="C67" s="832">
        <f>ITE_LUC_Rates!Y51</f>
        <v>11059.54659942133</v>
      </c>
      <c r="D67" s="832">
        <f>ITE_LUC_Rates!Z51</f>
        <v>11316.724910587896</v>
      </c>
      <c r="E67" s="833">
        <f>ITE_LUC_Rates!AA51</f>
        <v>48.546750000000003</v>
      </c>
      <c r="F67" s="833">
        <f>ITE_LUC_Rates!AB51</f>
        <v>84.517399854803529</v>
      </c>
      <c r="G67" s="834">
        <f>ITE_LUC_Rates!AC51</f>
        <v>0.74094867019529675</v>
      </c>
      <c r="H67" s="834">
        <f>ITE_LUC_Rates!AD51</f>
        <v>-0.3991925309109261</v>
      </c>
      <c r="I67" s="834">
        <f>ITE_LUC_Rates!AE51</f>
        <v>1.1401412011062229</v>
      </c>
      <c r="J67" s="834">
        <f>ITE_LUC_Rates!AF51</f>
        <v>0.36330591810230506</v>
      </c>
      <c r="K67" s="834">
        <f>ITE_LUC_Rates!AG51</f>
        <v>0.39500818640680158</v>
      </c>
      <c r="L67" s="836">
        <f>ITE_LUC_Rates!AJ51</f>
        <v>49</v>
      </c>
    </row>
    <row r="68" spans="1:12" ht="25.5" x14ac:dyDescent="0.25">
      <c r="A68" s="831">
        <f>ITE_LUC_Rates!A65</f>
        <v>710</v>
      </c>
      <c r="B68" s="831" t="str">
        <f>ITE_LUC_Rates!B65</f>
        <v>General Office, 400,001 - 500,000gsf</v>
      </c>
      <c r="C68" s="832">
        <f>ITE_LUC_Rates!Y65</f>
        <v>13018.227276477248</v>
      </c>
      <c r="D68" s="832">
        <f>ITE_LUC_Rates!Z65</f>
        <v>13320.952679842529</v>
      </c>
      <c r="E68" s="833">
        <f>ITE_LUC_Rates!AA65</f>
        <v>54.786606000000006</v>
      </c>
      <c r="F68" s="833">
        <f>ITE_LUC_Rates!AB65</f>
        <v>99.485698643767805</v>
      </c>
      <c r="G68" s="834">
        <f>ITE_LUC_Rates!AC65</f>
        <v>0.81587628632749754</v>
      </c>
      <c r="H68" s="834">
        <f>ITE_LUC_Rates!AD65</f>
        <v>0.10123549000532939</v>
      </c>
      <c r="I68" s="834">
        <f>ITE_LUC_Rates!AE65</f>
        <v>0.71464079632216815</v>
      </c>
      <c r="J68" s="834">
        <f>ITE_LUC_Rates!AF65</f>
        <v>0.42170051507920325</v>
      </c>
      <c r="K68" s="834">
        <f>ITE_LUC_Rates!AG65</f>
        <v>0.45476068930658409</v>
      </c>
      <c r="L68" s="836">
        <f>ITE_LUC_Rates!AJ65</f>
        <v>63</v>
      </c>
    </row>
    <row r="69" spans="1:12" ht="25.5" x14ac:dyDescent="0.25">
      <c r="A69" s="831">
        <f>ITE_LUC_Rates!A66</f>
        <v>710</v>
      </c>
      <c r="B69" s="831" t="str">
        <f>ITE_LUC_Rates!B66</f>
        <v>General Office, 500,001 - 600,000gsf</v>
      </c>
      <c r="C69" s="832">
        <f>ITE_LUC_Rates!Y66</f>
        <v>12940.091404518387</v>
      </c>
      <c r="D69" s="832">
        <f>ITE_LUC_Rates!Z66</f>
        <v>13240.999839040393</v>
      </c>
      <c r="E69" s="833">
        <f>ITE_LUC_Rates!AA66</f>
        <v>52.526138000000003</v>
      </c>
      <c r="F69" s="833">
        <f>ITE_LUC_Rates!AB66</f>
        <v>98.888581874650313</v>
      </c>
      <c r="G69" s="834">
        <f>ITE_LUC_Rates!AC66</f>
        <v>0.88265472467536643</v>
      </c>
      <c r="H69" s="834">
        <f>ITE_LUC_Rates!AD66</f>
        <v>0.14173317524386198</v>
      </c>
      <c r="I69" s="834">
        <f>ITE_LUC_Rates!AE66</f>
        <v>0.74092154943150446</v>
      </c>
      <c r="J69" s="834">
        <f>ITE_LUC_Rates!AF66</f>
        <v>0.47352920328847325</v>
      </c>
      <c r="K69" s="834">
        <f>ITE_LUC_Rates!AG66</f>
        <v>0.50779460002509658</v>
      </c>
      <c r="L69" s="836">
        <f>ITE_LUC_Rates!AJ66</f>
        <v>64</v>
      </c>
    </row>
    <row r="70" spans="1:12" ht="25.5" x14ac:dyDescent="0.25">
      <c r="A70" s="831">
        <f>ITE_LUC_Rates!A67</f>
        <v>710</v>
      </c>
      <c r="B70" s="831" t="str">
        <f>ITE_LUC_Rates!B67</f>
        <v>General Office, 600,001 - 700,000gsf</v>
      </c>
      <c r="C70" s="832">
        <f>ITE_LUC_Rates!Y67</f>
        <v>12875.402783637612</v>
      </c>
      <c r="D70" s="832">
        <f>ITE_LUC_Rates!Z67</f>
        <v>13174.806951224236</v>
      </c>
      <c r="E70" s="833">
        <f>ITE_LUC_Rates!AA67</f>
        <v>50.741557999999998</v>
      </c>
      <c r="F70" s="833">
        <f>ITE_LUC_Rates!AB67</f>
        <v>98.394229417441778</v>
      </c>
      <c r="G70" s="834">
        <f>ITE_LUC_Rates!AC67</f>
        <v>0.93912511353005335</v>
      </c>
      <c r="H70" s="834">
        <f>ITE_LUC_Rates!AD67</f>
        <v>0.17597955910239649</v>
      </c>
      <c r="I70" s="834">
        <f>ITE_LUC_Rates!AE67</f>
        <v>0.76314555442765686</v>
      </c>
      <c r="J70" s="834">
        <f>ITE_LUC_Rates!AF67</f>
        <v>0.51911401949568314</v>
      </c>
      <c r="K70" s="834">
        <f>ITE_LUC_Rates!AG67</f>
        <v>0.55443944395962941</v>
      </c>
      <c r="L70" s="836">
        <f>ITE_LUC_Rates!AJ67</f>
        <v>65</v>
      </c>
    </row>
    <row r="71" spans="1:12" ht="25.5" x14ac:dyDescent="0.25">
      <c r="A71" s="831">
        <f>ITE_LUC_Rates!A68</f>
        <v>710</v>
      </c>
      <c r="B71" s="831" t="str">
        <f>ITE_LUC_Rates!B68</f>
        <v>General Office, 700,001gsf - more</v>
      </c>
      <c r="C71" s="832">
        <f>ITE_LUC_Rates!Y68</f>
        <v>12795.448852268164</v>
      </c>
      <c r="D71" s="832">
        <f>ITE_LUC_Rates!Z68</f>
        <v>13092.993773921344</v>
      </c>
      <c r="E71" s="833">
        <f>ITE_LUC_Rates!AA68</f>
        <v>49.194921999999998</v>
      </c>
      <c r="F71" s="833">
        <f>ITE_LUC_Rates!AB68</f>
        <v>97.783218981637049</v>
      </c>
      <c r="G71" s="834">
        <f>ITE_LUC_Rates!AC68</f>
        <v>0.98766895049934322</v>
      </c>
      <c r="H71" s="834">
        <f>ITE_LUC_Rates!AD68</f>
        <v>0.20541889728535789</v>
      </c>
      <c r="I71" s="834">
        <f>ITE_LUC_Rates!AE68</f>
        <v>0.78225005321398533</v>
      </c>
      <c r="J71" s="834">
        <f>ITE_LUC_Rates!AF68</f>
        <v>0.55694594408431985</v>
      </c>
      <c r="K71" s="834">
        <f>ITE_LUC_Rates!AG68</f>
        <v>0.59315111080410121</v>
      </c>
      <c r="L71" s="836">
        <f>ITE_LUC_Rates!AJ68</f>
        <v>66</v>
      </c>
    </row>
    <row r="72" spans="1:12" ht="25.5" x14ac:dyDescent="0.25">
      <c r="A72" s="831">
        <f>ITE_LUC_Rates!A5</f>
        <v>110</v>
      </c>
      <c r="B72" s="831" t="str">
        <f>ITE_LUC_Rates!B5</f>
        <v>General Light Industrial</v>
      </c>
      <c r="C72" s="832">
        <f>ITE_LUC_Rates!Y5</f>
        <v>5131.9271028558996</v>
      </c>
      <c r="D72" s="832">
        <f>ITE_LUC_Rates!Z5</f>
        <v>5251.2647568435841</v>
      </c>
      <c r="E72" s="833">
        <f>ITE_LUC_Rates!AA5</f>
        <v>0</v>
      </c>
      <c r="F72" s="833">
        <f>ITE_LUC_Rates!AB5</f>
        <v>39.218346889597626</v>
      </c>
      <c r="G72" s="834">
        <f>ITE_LUC_Rates!AC5</f>
        <v>0</v>
      </c>
      <c r="H72" s="834">
        <f>ITE_LUC_Rates!AD5</f>
        <v>0</v>
      </c>
      <c r="I72" s="834">
        <f>ITE_LUC_Rates!AE5</f>
        <v>0</v>
      </c>
      <c r="J72" s="834">
        <f>ITE_LUC_Rates!AF5</f>
        <v>0</v>
      </c>
      <c r="K72" s="834">
        <f>ITE_LUC_Rates!AG5</f>
        <v>0</v>
      </c>
      <c r="L72" s="836">
        <f>ITE_LUC_Rates!AJ5</f>
        <v>3</v>
      </c>
    </row>
    <row r="73" spans="1:12" ht="25.5" x14ac:dyDescent="0.25">
      <c r="A73" s="831">
        <f>ITE_LUC_Rates!A10</f>
        <v>160</v>
      </c>
      <c r="B73" s="831" t="str">
        <f>ITE_LUC_Rates!B10</f>
        <v>Data Center</v>
      </c>
      <c r="C73" s="832">
        <f>ITE_LUC_Rates!Y10</f>
        <v>1024.3160951264799</v>
      </c>
      <c r="D73" s="832">
        <f>ITE_LUC_Rates!Z10</f>
        <v>1048.1355059022474</v>
      </c>
      <c r="E73" s="833">
        <f>ITE_LUC_Rates!AA10</f>
        <v>0</v>
      </c>
      <c r="F73" s="833">
        <f>ITE_LUC_Rates!AB10</f>
        <v>7.8278555283672677</v>
      </c>
      <c r="G73" s="834">
        <f>ITE_LUC_Rates!AC10</f>
        <v>0</v>
      </c>
      <c r="H73" s="834">
        <f>ITE_LUC_Rates!AD10</f>
        <v>0</v>
      </c>
      <c r="I73" s="834">
        <f>ITE_LUC_Rates!AE10</f>
        <v>0</v>
      </c>
      <c r="J73" s="834">
        <f>ITE_LUC_Rates!AF10</f>
        <v>0</v>
      </c>
      <c r="K73" s="834">
        <f>ITE_LUC_Rates!AG10</f>
        <v>0</v>
      </c>
      <c r="L73" s="836">
        <f>ITE_LUC_Rates!AJ10</f>
        <v>8</v>
      </c>
    </row>
    <row r="74" spans="1:12" ht="25.5" x14ac:dyDescent="0.25">
      <c r="A74" s="831">
        <f>ITE_LUC_Rates!A11</f>
        <v>170</v>
      </c>
      <c r="B74" s="831" t="str">
        <f>ITE_LUC_Rates!B11</f>
        <v>Utility</v>
      </c>
      <c r="C74" s="832">
        <f>ITE_LUC_Rates!Y11</f>
        <v>13698.934443913731</v>
      </c>
      <c r="D74" s="832">
        <f>ITE_LUC_Rates!Z11</f>
        <v>14017.488988026018</v>
      </c>
      <c r="E74" s="833">
        <f>ITE_LUC_Rates!AA11</f>
        <v>0</v>
      </c>
      <c r="F74" s="833">
        <f>ITE_LUC_Rates!AB11</f>
        <v>104.68768403594204</v>
      </c>
      <c r="G74" s="834">
        <f>ITE_LUC_Rates!AC11</f>
        <v>0</v>
      </c>
      <c r="H74" s="834">
        <f>ITE_LUC_Rates!AD11</f>
        <v>0</v>
      </c>
      <c r="I74" s="834">
        <f>ITE_LUC_Rates!AE11</f>
        <v>0</v>
      </c>
      <c r="J74" s="834">
        <f>ITE_LUC_Rates!AF11</f>
        <v>0</v>
      </c>
      <c r="K74" s="834">
        <f>ITE_LUC_Rates!AG11</f>
        <v>0</v>
      </c>
      <c r="L74" s="836">
        <f>ITE_LUC_Rates!AJ11</f>
        <v>9</v>
      </c>
    </row>
    <row r="75" spans="1:12" ht="25.5" x14ac:dyDescent="0.25">
      <c r="A75" s="831">
        <f>ITE_LUC_Rates!A15</f>
        <v>221</v>
      </c>
      <c r="B75" s="831" t="str">
        <f>ITE_LUC_Rates!B15</f>
        <v>Multi-family Housing (Mid-Rise)</v>
      </c>
      <c r="C75" s="832">
        <f>ITE_LUC_Rates!Y15</f>
        <v>5627.376328933211</v>
      </c>
      <c r="D75" s="832">
        <f>ITE_LUC_Rates!Z15</f>
        <v>5757.9808981139749</v>
      </c>
      <c r="E75" s="833">
        <f>ITE_LUC_Rates!AA15</f>
        <v>0</v>
      </c>
      <c r="F75" s="833">
        <f>ITE_LUC_Rates!AB15</f>
        <v>43.004585319147715</v>
      </c>
      <c r="G75" s="834">
        <f>ITE_LUC_Rates!AC15</f>
        <v>0</v>
      </c>
      <c r="H75" s="834">
        <f>ITE_LUC_Rates!AD15</f>
        <v>0</v>
      </c>
      <c r="I75" s="834">
        <f>ITE_LUC_Rates!AE15</f>
        <v>0</v>
      </c>
      <c r="J75" s="834">
        <f>ITE_LUC_Rates!AF15</f>
        <v>0</v>
      </c>
      <c r="K75" s="834">
        <f>ITE_LUC_Rates!AG15</f>
        <v>0</v>
      </c>
      <c r="L75" s="836">
        <f>ITE_LUC_Rates!AJ15</f>
        <v>13</v>
      </c>
    </row>
    <row r="76" spans="1:12" ht="25.5" x14ac:dyDescent="0.25">
      <c r="A76" s="831">
        <f>ITE_LUC_Rates!A18</f>
        <v>231</v>
      </c>
      <c r="B76" s="831" t="str">
        <f>ITE_LUC_Rates!B18</f>
        <v>Mid Rise Residential w/ 1st Commercial</v>
      </c>
      <c r="C76" s="832">
        <f>ITE_LUC_Rates!Y18</f>
        <v>3558.4879727077664</v>
      </c>
      <c r="D76" s="832">
        <f>ITE_LUC_Rates!Z18</f>
        <v>3641.076156160309</v>
      </c>
      <c r="E76" s="833">
        <f>ITE_LUC_Rates!AA18</f>
        <v>0</v>
      </c>
      <c r="F76" s="833">
        <f>ITE_LUC_Rates!AB18</f>
        <v>27.194076010637531</v>
      </c>
      <c r="G76" s="834">
        <f>ITE_LUC_Rates!AC18</f>
        <v>0</v>
      </c>
      <c r="H76" s="834">
        <f>ITE_LUC_Rates!AD18</f>
        <v>0</v>
      </c>
      <c r="I76" s="834">
        <f>ITE_LUC_Rates!AE18</f>
        <v>0</v>
      </c>
      <c r="J76" s="834">
        <f>ITE_LUC_Rates!AF18</f>
        <v>0</v>
      </c>
      <c r="K76" s="834">
        <f>ITE_LUC_Rates!AG18</f>
        <v>0</v>
      </c>
      <c r="L76" s="836">
        <f>ITE_LUC_Rates!AJ18</f>
        <v>16</v>
      </c>
    </row>
    <row r="77" spans="1:12" ht="25.5" x14ac:dyDescent="0.25">
      <c r="A77" s="831">
        <f>ITE_LUC_Rates!A25</f>
        <v>265</v>
      </c>
      <c r="B77" s="831" t="str">
        <f>ITE_LUC_Rates!B25</f>
        <v xml:space="preserve">Timeshare </v>
      </c>
      <c r="C77" s="832">
        <f>ITE_LUC_Rates!Y25</f>
        <v>8927.2532571127977</v>
      </c>
      <c r="D77" s="832">
        <f>ITE_LUC_Rates!Z25</f>
        <v>9134.4439615300762</v>
      </c>
      <c r="E77" s="833">
        <f>ITE_LUC_Rates!AA25</f>
        <v>0</v>
      </c>
      <c r="F77" s="833">
        <f>ITE_LUC_Rates!AB25</f>
        <v>68.222347666221481</v>
      </c>
      <c r="G77" s="834">
        <f>ITE_LUC_Rates!AC25</f>
        <v>0</v>
      </c>
      <c r="H77" s="834">
        <f>ITE_LUC_Rates!AD25</f>
        <v>0</v>
      </c>
      <c r="I77" s="834">
        <f>ITE_LUC_Rates!AE25</f>
        <v>0</v>
      </c>
      <c r="J77" s="834">
        <f>ITE_LUC_Rates!AF25</f>
        <v>0</v>
      </c>
      <c r="K77" s="834">
        <f>ITE_LUC_Rates!AG25</f>
        <v>0</v>
      </c>
      <c r="L77" s="836">
        <f>ITE_LUC_Rates!AJ25</f>
        <v>23</v>
      </c>
    </row>
    <row r="78" spans="1:12" ht="25.5" x14ac:dyDescent="0.25">
      <c r="A78" s="831">
        <f>ITE_LUC_Rates!A26</f>
        <v>270</v>
      </c>
      <c r="B78" s="831" t="str">
        <f>ITE_LUC_Rates!B26</f>
        <v>Residential PUD</v>
      </c>
      <c r="C78" s="832">
        <f>ITE_LUC_Rates!Y26</f>
        <v>8099.6979146226176</v>
      </c>
      <c r="D78" s="832">
        <f>ITE_LUC_Rates!Z26</f>
        <v>8287.6820647486074</v>
      </c>
      <c r="E78" s="833">
        <f>ITE_LUC_Rates!AA26</f>
        <v>0</v>
      </c>
      <c r="F78" s="833">
        <f>ITE_LUC_Rates!AB26</f>
        <v>61.898143942817391</v>
      </c>
      <c r="G78" s="834">
        <f>ITE_LUC_Rates!AC26</f>
        <v>0</v>
      </c>
      <c r="H78" s="834">
        <f>ITE_LUC_Rates!AD26</f>
        <v>0</v>
      </c>
      <c r="I78" s="834">
        <f>ITE_LUC_Rates!AE26</f>
        <v>0</v>
      </c>
      <c r="J78" s="834">
        <f>ITE_LUC_Rates!AF26</f>
        <v>0</v>
      </c>
      <c r="K78" s="834">
        <f>ITE_LUC_Rates!AG26</f>
        <v>0</v>
      </c>
      <c r="L78" s="836">
        <f>ITE_LUC_Rates!AJ26</f>
        <v>24</v>
      </c>
    </row>
    <row r="79" spans="1:12" ht="25.5" x14ac:dyDescent="0.25">
      <c r="A79" s="831">
        <f>ITE_LUC_Rates!A31</f>
        <v>312</v>
      </c>
      <c r="B79" s="831" t="str">
        <f>ITE_LUC_Rates!B31</f>
        <v>Business Hotel</v>
      </c>
      <c r="C79" s="832">
        <f>ITE_LUC_Rates!Y31</f>
        <v>2602.967041311098</v>
      </c>
      <c r="D79" s="832">
        <f>ITE_LUC_Rates!Z31</f>
        <v>2663.3787445899884</v>
      </c>
      <c r="E79" s="833">
        <f>ITE_LUC_Rates!AA31</f>
        <v>0</v>
      </c>
      <c r="F79" s="833">
        <f>ITE_LUC_Rates!AB31</f>
        <v>19.891955267938002</v>
      </c>
      <c r="G79" s="834">
        <f>ITE_LUC_Rates!AC31</f>
        <v>0</v>
      </c>
      <c r="H79" s="834">
        <f>ITE_LUC_Rates!AD31</f>
        <v>0</v>
      </c>
      <c r="I79" s="834">
        <f>ITE_LUC_Rates!AE31</f>
        <v>0</v>
      </c>
      <c r="J79" s="834">
        <f>ITE_LUC_Rates!AF31</f>
        <v>0</v>
      </c>
      <c r="K79" s="834">
        <f>ITE_LUC_Rates!AG31</f>
        <v>0</v>
      </c>
      <c r="L79" s="836">
        <f>ITE_LUC_Rates!AJ31</f>
        <v>29</v>
      </c>
    </row>
    <row r="80" spans="1:12" ht="25.5" x14ac:dyDescent="0.25">
      <c r="A80" s="831">
        <f>ITE_LUC_Rates!A35</f>
        <v>444</v>
      </c>
      <c r="B80" s="831" t="str">
        <f>ITE_LUC_Rates!B35</f>
        <v>Movie Theater</v>
      </c>
      <c r="C80" s="832">
        <f>ITE_LUC_Rates!Y35</f>
        <v>23789.41299926498</v>
      </c>
      <c r="D80" s="832">
        <f>ITE_LUC_Rates!Z35</f>
        <v>24342.611180021777</v>
      </c>
      <c r="E80" s="833">
        <f>ITE_LUC_Rates!AA35</f>
        <v>0</v>
      </c>
      <c r="F80" s="833">
        <f>ITE_LUC_Rates!AB35</f>
        <v>181.79943569071276</v>
      </c>
      <c r="G80" s="834">
        <f>ITE_LUC_Rates!AC35</f>
        <v>0</v>
      </c>
      <c r="H80" s="834">
        <f>ITE_LUC_Rates!AD35</f>
        <v>0</v>
      </c>
      <c r="I80" s="834">
        <f>ITE_LUC_Rates!AE35</f>
        <v>0</v>
      </c>
      <c r="J80" s="834">
        <f>ITE_LUC_Rates!AF35</f>
        <v>0</v>
      </c>
      <c r="K80" s="834">
        <f>ITE_LUC_Rates!AG35</f>
        <v>0</v>
      </c>
      <c r="L80" s="836">
        <f>ITE_LUC_Rates!AJ35</f>
        <v>33</v>
      </c>
    </row>
    <row r="81" spans="1:12" ht="25.5" x14ac:dyDescent="0.25">
      <c r="A81" s="831">
        <f>ITE_LUC_Rates!A36</f>
        <v>444</v>
      </c>
      <c r="B81" s="831" t="str">
        <f>ITE_LUC_Rates!B36</f>
        <v>Movie Theater</v>
      </c>
      <c r="C81" s="832">
        <f>ITE_LUC_Rates!Y36</f>
        <v>67021.012419494131</v>
      </c>
      <c r="D81" s="832">
        <f>ITE_LUC_Rates!Z36</f>
        <v>68579.516706425828</v>
      </c>
      <c r="E81" s="833">
        <f>ITE_LUC_Rates!AA36</f>
        <v>0</v>
      </c>
      <c r="F81" s="833">
        <f>ITE_LUC_Rates!AB36</f>
        <v>512.17666605143825</v>
      </c>
      <c r="G81" s="834">
        <f>ITE_LUC_Rates!AC36</f>
        <v>0</v>
      </c>
      <c r="H81" s="834">
        <f>ITE_LUC_Rates!AD36</f>
        <v>0</v>
      </c>
      <c r="I81" s="834">
        <f>ITE_LUC_Rates!AE36</f>
        <v>0</v>
      </c>
      <c r="J81" s="834">
        <f>ITE_LUC_Rates!AF36</f>
        <v>0</v>
      </c>
      <c r="K81" s="834">
        <f>ITE_LUC_Rates!AG36</f>
        <v>0</v>
      </c>
      <c r="L81" s="836">
        <f>ITE_LUC_Rates!AJ36</f>
        <v>34</v>
      </c>
    </row>
    <row r="82" spans="1:12" ht="25.5" x14ac:dyDescent="0.25">
      <c r="A82" s="831">
        <f>ITE_LUC_Rates!A41</f>
        <v>495</v>
      </c>
      <c r="B82" s="831" t="str">
        <f>ITE_LUC_Rates!B41</f>
        <v>Recreational Community Center</v>
      </c>
      <c r="C82" s="832">
        <f>ITE_LUC_Rates!Y41</f>
        <v>19033.322268348587</v>
      </c>
      <c r="D82" s="832">
        <f>ITE_LUC_Rates!Z41</f>
        <v>19475.922481011825</v>
      </c>
      <c r="E82" s="833">
        <f>ITE_LUC_Rates!AA41</f>
        <v>0</v>
      </c>
      <c r="F82" s="833">
        <f>ITE_LUC_Rates!AB41</f>
        <v>145.45324207083888</v>
      </c>
      <c r="G82" s="834">
        <f>ITE_LUC_Rates!AC41</f>
        <v>0</v>
      </c>
      <c r="H82" s="834">
        <f>ITE_LUC_Rates!AD41</f>
        <v>0</v>
      </c>
      <c r="I82" s="834">
        <f>ITE_LUC_Rates!AE41</f>
        <v>0</v>
      </c>
      <c r="J82" s="834">
        <f>ITE_LUC_Rates!AF41</f>
        <v>0</v>
      </c>
      <c r="K82" s="834">
        <f>ITE_LUC_Rates!AG41</f>
        <v>0</v>
      </c>
      <c r="L82" s="836">
        <f>ITE_LUC_Rates!AJ41</f>
        <v>39</v>
      </c>
    </row>
    <row r="83" spans="1:12" ht="25.5" x14ac:dyDescent="0.25">
      <c r="A83" s="831">
        <f>ITE_LUC_Rates!A45</f>
        <v>534</v>
      </c>
      <c r="B83" s="831" t="str">
        <f>ITE_LUC_Rates!B45</f>
        <v>Private School (K-8)</v>
      </c>
      <c r="C83" s="832">
        <f>ITE_LUC_Rates!Y45</f>
        <v>1745.2622872752561</v>
      </c>
      <c r="D83" s="832">
        <f>ITE_LUC_Rates!Z45</f>
        <v>1785.8465556762442</v>
      </c>
      <c r="E83" s="833">
        <f>ITE_LUC_Rates!AA45</f>
        <v>0</v>
      </c>
      <c r="F83" s="833">
        <f>ITE_LUC_Rates!AB45</f>
        <v>13.337348801701303</v>
      </c>
      <c r="G83" s="834">
        <f>ITE_LUC_Rates!AC45</f>
        <v>0</v>
      </c>
      <c r="H83" s="834">
        <f>ITE_LUC_Rates!AD45</f>
        <v>0</v>
      </c>
      <c r="I83" s="834">
        <f>ITE_LUC_Rates!AE45</f>
        <v>0</v>
      </c>
      <c r="J83" s="834">
        <f>ITE_LUC_Rates!AF45</f>
        <v>0</v>
      </c>
      <c r="K83" s="834">
        <f>ITE_LUC_Rates!AG45</f>
        <v>0</v>
      </c>
      <c r="L83" s="836">
        <f>ITE_LUC_Rates!AJ45</f>
        <v>43</v>
      </c>
    </row>
    <row r="84" spans="1:12" ht="25.5" x14ac:dyDescent="0.25">
      <c r="A84" s="831">
        <f>ITE_LUC_Rates!A46</f>
        <v>536</v>
      </c>
      <c r="B84" s="831" t="str">
        <f>ITE_LUC_Rates!B46</f>
        <v>Private School (K-12)</v>
      </c>
      <c r="C84" s="832">
        <f>ITE_LUC_Rates!Y46</f>
        <v>1053.102304730568</v>
      </c>
      <c r="D84" s="832">
        <f>ITE_LUC_Rates!Z46</f>
        <v>1077.5911090211885</v>
      </c>
      <c r="E84" s="833">
        <f>ITE_LUC_Rates!AA46</f>
        <v>0</v>
      </c>
      <c r="F84" s="833">
        <f>ITE_LUC_Rates!AB46</f>
        <v>8.0478406394693991</v>
      </c>
      <c r="G84" s="834">
        <f>ITE_LUC_Rates!AC46</f>
        <v>0</v>
      </c>
      <c r="H84" s="834">
        <f>ITE_LUC_Rates!AD46</f>
        <v>0</v>
      </c>
      <c r="I84" s="834">
        <f>ITE_LUC_Rates!AE46</f>
        <v>0</v>
      </c>
      <c r="J84" s="834">
        <f>ITE_LUC_Rates!AF46</f>
        <v>0</v>
      </c>
      <c r="K84" s="834">
        <f>ITE_LUC_Rates!AG46</f>
        <v>0</v>
      </c>
      <c r="L84" s="836">
        <f>ITE_LUC_Rates!AJ46</f>
        <v>44</v>
      </c>
    </row>
    <row r="85" spans="1:12" ht="25.5" x14ac:dyDescent="0.25">
      <c r="A85" s="831">
        <f>ITE_LUC_Rates!A47</f>
        <v>537</v>
      </c>
      <c r="B85" s="831" t="str">
        <f>ITE_LUC_Rates!B47</f>
        <v>Charter Elementary School</v>
      </c>
      <c r="C85" s="832">
        <f>ITE_LUC_Rates!Y47</f>
        <v>1914.1260363474628</v>
      </c>
      <c r="D85" s="832">
        <f>ITE_LUC_Rates!Z47</f>
        <v>1958.6370564839981</v>
      </c>
      <c r="E85" s="833">
        <f>ITE_LUC_Rates!AA47</f>
        <v>0</v>
      </c>
      <c r="F85" s="833">
        <f>ITE_LUC_Rates!AB47</f>
        <v>14.627810835837824</v>
      </c>
      <c r="G85" s="834">
        <f>ITE_LUC_Rates!AC47</f>
        <v>0</v>
      </c>
      <c r="H85" s="834">
        <f>ITE_LUC_Rates!AD47</f>
        <v>0</v>
      </c>
      <c r="I85" s="834">
        <f>ITE_LUC_Rates!AE47</f>
        <v>0</v>
      </c>
      <c r="J85" s="834">
        <f>ITE_LUC_Rates!AF47</f>
        <v>0</v>
      </c>
      <c r="K85" s="834">
        <f>ITE_LUC_Rates!AG47</f>
        <v>0</v>
      </c>
      <c r="L85" s="836">
        <f>ITE_LUC_Rates!AJ47</f>
        <v>45</v>
      </c>
    </row>
    <row r="86" spans="1:12" ht="25.5" x14ac:dyDescent="0.25">
      <c r="A86" s="831">
        <f>ITE_LUC_Rates!A56</f>
        <v>640</v>
      </c>
      <c r="B86" s="831" t="str">
        <f>ITE_LUC_Rates!B56</f>
        <v>Animal Hospital / Veterinary Clinic</v>
      </c>
      <c r="C86" s="832">
        <f>ITE_LUC_Rates!Y56</f>
        <v>13624.56543623873</v>
      </c>
      <c r="D86" s="832">
        <f>ITE_LUC_Rates!Z56</f>
        <v>13941.390606038511</v>
      </c>
      <c r="E86" s="833">
        <f>ITE_LUC_Rates!AA56</f>
        <v>0</v>
      </c>
      <c r="F86" s="833">
        <f>ITE_LUC_Rates!AB56</f>
        <v>104.1193537611004</v>
      </c>
      <c r="G86" s="834">
        <f>ITE_LUC_Rates!AC56</f>
        <v>0</v>
      </c>
      <c r="H86" s="834">
        <f>ITE_LUC_Rates!AD56</f>
        <v>0</v>
      </c>
      <c r="I86" s="834">
        <f>ITE_LUC_Rates!AE56</f>
        <v>0</v>
      </c>
      <c r="J86" s="834">
        <f>ITE_LUC_Rates!AF56</f>
        <v>0</v>
      </c>
      <c r="K86" s="834">
        <f>ITE_LUC_Rates!AG56</f>
        <v>0</v>
      </c>
      <c r="L86" s="836">
        <f>ITE_LUC_Rates!AJ56</f>
        <v>54</v>
      </c>
    </row>
    <row r="87" spans="1:12" ht="25.5" x14ac:dyDescent="0.25">
      <c r="A87" s="831">
        <f>ITE_LUC_Rates!A57</f>
        <v>650</v>
      </c>
      <c r="B87" s="831" t="str">
        <f>ITE_LUC_Rates!B57</f>
        <v>Free-standing Emergency Room</v>
      </c>
      <c r="C87" s="832">
        <f>ITE_LUC_Rates!Y57</f>
        <v>15804.495906036926</v>
      </c>
      <c r="D87" s="832">
        <f>ITE_LUC_Rates!Z57</f>
        <v>16172.01310300467</v>
      </c>
      <c r="E87" s="833">
        <f>ITE_LUC_Rates!AA57</f>
        <v>0</v>
      </c>
      <c r="F87" s="833">
        <f>ITE_LUC_Rates!AB57</f>
        <v>120.77845036287646</v>
      </c>
      <c r="G87" s="834">
        <f>ITE_LUC_Rates!AC57</f>
        <v>0</v>
      </c>
      <c r="H87" s="834">
        <f>ITE_LUC_Rates!AD57</f>
        <v>0</v>
      </c>
      <c r="I87" s="834">
        <f>ITE_LUC_Rates!AE57</f>
        <v>0</v>
      </c>
      <c r="J87" s="834">
        <f>ITE_LUC_Rates!AF57</f>
        <v>0</v>
      </c>
      <c r="K87" s="834">
        <f>ITE_LUC_Rates!AG57</f>
        <v>0</v>
      </c>
      <c r="L87" s="836">
        <f>ITE_LUC_Rates!AJ57</f>
        <v>55</v>
      </c>
    </row>
    <row r="88" spans="1:12" ht="25.5" x14ac:dyDescent="0.25">
      <c r="A88" s="831">
        <f>ITE_LUC_Rates!A69</f>
        <v>712</v>
      </c>
      <c r="B88" s="831" t="str">
        <f>ITE_LUC_Rates!B69</f>
        <v>Small Office Building</v>
      </c>
      <c r="C88" s="832">
        <f>ITE_LUC_Rates!Y69</f>
        <v>20780.637605257318</v>
      </c>
      <c r="D88" s="832">
        <f>ITE_LUC_Rates!Z69</f>
        <v>21263.869827866165</v>
      </c>
      <c r="E88" s="833">
        <f>ITE_LUC_Rates!AA69</f>
        <v>0</v>
      </c>
      <c r="F88" s="833">
        <f>ITE_LUC_Rates!AB69</f>
        <v>158.8062803418357</v>
      </c>
      <c r="G88" s="834">
        <f>ITE_LUC_Rates!AC69</f>
        <v>0</v>
      </c>
      <c r="H88" s="834">
        <f>ITE_LUC_Rates!AD69</f>
        <v>0</v>
      </c>
      <c r="I88" s="834">
        <f>ITE_LUC_Rates!AE69</f>
        <v>0</v>
      </c>
      <c r="J88" s="834">
        <f>ITE_LUC_Rates!AF69</f>
        <v>0</v>
      </c>
      <c r="K88" s="834">
        <f>ITE_LUC_Rates!AG69</f>
        <v>0</v>
      </c>
      <c r="L88" s="836">
        <f>ITE_LUC_Rates!AJ69</f>
        <v>67</v>
      </c>
    </row>
    <row r="89" spans="1:12" ht="25.5" x14ac:dyDescent="0.25">
      <c r="A89" s="831">
        <f>ITE_LUC_Rates!A70</f>
        <v>714</v>
      </c>
      <c r="B89" s="831" t="str">
        <f>ITE_LUC_Rates!B70</f>
        <v>Corporate Headquarters Buildings</v>
      </c>
      <c r="C89" s="832">
        <f>ITE_LUC_Rates!Y70</f>
        <v>10204.204383063352</v>
      </c>
      <c r="D89" s="832">
        <f>ITE_LUC_Rates!Z70</f>
        <v>10441.492596141818</v>
      </c>
      <c r="E89" s="833">
        <f>ITE_LUC_Rates!AA70</f>
        <v>0</v>
      </c>
      <c r="F89" s="833">
        <f>ITE_LUC_Rates!AB70</f>
        <v>77.980847975144769</v>
      </c>
      <c r="G89" s="834">
        <f>ITE_LUC_Rates!AC70</f>
        <v>0</v>
      </c>
      <c r="H89" s="834">
        <f>ITE_LUC_Rates!AD70</f>
        <v>0</v>
      </c>
      <c r="I89" s="834">
        <f>ITE_LUC_Rates!AE70</f>
        <v>0</v>
      </c>
      <c r="J89" s="834">
        <f>ITE_LUC_Rates!AF70</f>
        <v>0</v>
      </c>
      <c r="K89" s="834">
        <f>ITE_LUC_Rates!AG70</f>
        <v>0</v>
      </c>
      <c r="L89" s="836">
        <f>ITE_LUC_Rates!AJ70</f>
        <v>68</v>
      </c>
    </row>
    <row r="90" spans="1:12" ht="25.5" x14ac:dyDescent="0.25">
      <c r="A90" s="831">
        <f>ITE_LUC_Rates!A71</f>
        <v>715</v>
      </c>
      <c r="B90" s="831" t="str">
        <f>ITE_LUC_Rates!B71</f>
        <v>Single Tenant Office Building</v>
      </c>
      <c r="C90" s="832">
        <f>ITE_LUC_Rates!Y71</f>
        <v>14439.911862825496</v>
      </c>
      <c r="D90" s="832">
        <f>ITE_LUC_Rates!Z71</f>
        <v>14775.697070012004</v>
      </c>
      <c r="E90" s="833">
        <f>ITE_LUC_Rates!AA71</f>
        <v>0</v>
      </c>
      <c r="F90" s="833">
        <f>ITE_LUC_Rates!AB71</f>
        <v>110.35025656860108</v>
      </c>
      <c r="G90" s="834">
        <f>ITE_LUC_Rates!AC71</f>
        <v>0</v>
      </c>
      <c r="H90" s="834">
        <f>ITE_LUC_Rates!AD71</f>
        <v>0</v>
      </c>
      <c r="I90" s="834">
        <f>ITE_LUC_Rates!AE71</f>
        <v>0</v>
      </c>
      <c r="J90" s="834">
        <f>ITE_LUC_Rates!AF71</f>
        <v>0</v>
      </c>
      <c r="K90" s="834">
        <f>ITE_LUC_Rates!AG71</f>
        <v>0</v>
      </c>
      <c r="L90" s="836">
        <f>ITE_LUC_Rates!AJ71</f>
        <v>69</v>
      </c>
    </row>
    <row r="91" spans="1:12" ht="25.5" x14ac:dyDescent="0.25">
      <c r="A91" s="831">
        <f>ITE_LUC_Rates!A73</f>
        <v>730</v>
      </c>
      <c r="B91" s="831" t="str">
        <f>ITE_LUC_Rates!B73</f>
        <v>Government Office Building</v>
      </c>
      <c r="C91" s="832">
        <f>ITE_LUC_Rates!Y73</f>
        <v>28995.343020553595</v>
      </c>
      <c r="D91" s="832">
        <f>ITE_LUC_Rates!Z73</f>
        <v>29669.599716584104</v>
      </c>
      <c r="E91" s="833">
        <f>ITE_LUC_Rates!AA73</f>
        <v>0</v>
      </c>
      <c r="F91" s="833">
        <f>ITE_LUC_Rates!AB73</f>
        <v>221.58331518975095</v>
      </c>
      <c r="G91" s="834">
        <f>ITE_LUC_Rates!AC73</f>
        <v>0</v>
      </c>
      <c r="H91" s="834">
        <f>ITE_LUC_Rates!AD73</f>
        <v>0</v>
      </c>
      <c r="I91" s="834">
        <f>ITE_LUC_Rates!AE73</f>
        <v>0</v>
      </c>
      <c r="J91" s="834">
        <f>ITE_LUC_Rates!AF73</f>
        <v>0</v>
      </c>
      <c r="K91" s="834">
        <f>ITE_LUC_Rates!AG73</f>
        <v>0</v>
      </c>
      <c r="L91" s="836">
        <f>ITE_LUC_Rates!AJ73</f>
        <v>71</v>
      </c>
    </row>
    <row r="92" spans="1:12" ht="25.5" x14ac:dyDescent="0.25">
      <c r="A92" s="831">
        <f>ITE_LUC_Rates!A74</f>
        <v>731</v>
      </c>
      <c r="B92" s="831" t="str">
        <f>ITE_LUC_Rates!B74</f>
        <v>State Motor Vehicles Department</v>
      </c>
      <c r="C92" s="832">
        <f>ITE_LUC_Rates!Y74</f>
        <v>7103.7850483830771</v>
      </c>
      <c r="D92" s="832">
        <f>ITE_LUC_Rates!Z74</f>
        <v>7268.9762183112416</v>
      </c>
      <c r="E92" s="833">
        <f>ITE_LUC_Rates!AA74</f>
        <v>0</v>
      </c>
      <c r="F92" s="833">
        <f>ITE_LUC_Rates!AB74</f>
        <v>54.287346774973742</v>
      </c>
      <c r="G92" s="834">
        <f>ITE_LUC_Rates!AC74</f>
        <v>0</v>
      </c>
      <c r="H92" s="834">
        <f>ITE_LUC_Rates!AD74</f>
        <v>0</v>
      </c>
      <c r="I92" s="834">
        <f>ITE_LUC_Rates!AE74</f>
        <v>0</v>
      </c>
      <c r="J92" s="834">
        <f>ITE_LUC_Rates!AF74</f>
        <v>0</v>
      </c>
      <c r="K92" s="834">
        <f>ITE_LUC_Rates!AG74</f>
        <v>0</v>
      </c>
      <c r="L92" s="836">
        <f>ITE_LUC_Rates!AJ74</f>
        <v>72</v>
      </c>
    </row>
    <row r="93" spans="1:12" ht="25.5" x14ac:dyDescent="0.25">
      <c r="A93" s="831">
        <f>ITE_LUC_Rates!A75</f>
        <v>733</v>
      </c>
      <c r="B93" s="831" t="str">
        <f>ITE_LUC_Rates!B75</f>
        <v>Government Office Complex</v>
      </c>
      <c r="C93" s="832">
        <f>ITE_LUC_Rates!Y75</f>
        <v>43614.951564338699</v>
      </c>
      <c r="D93" s="832">
        <f>ITE_LUC_Rates!Z75</f>
        <v>44629.172127911814</v>
      </c>
      <c r="E93" s="833">
        <f>ITE_LUC_Rates!AA75</f>
        <v>0</v>
      </c>
      <c r="F93" s="833">
        <f>ITE_LUC_Rates!AB75</f>
        <v>333.30681939565017</v>
      </c>
      <c r="G93" s="834">
        <f>ITE_LUC_Rates!AC75</f>
        <v>0</v>
      </c>
      <c r="H93" s="834">
        <f>ITE_LUC_Rates!AD75</f>
        <v>0</v>
      </c>
      <c r="I93" s="834">
        <f>ITE_LUC_Rates!AE75</f>
        <v>0</v>
      </c>
      <c r="J93" s="834">
        <f>ITE_LUC_Rates!AF75</f>
        <v>0</v>
      </c>
      <c r="K93" s="834">
        <f>ITE_LUC_Rates!AG75</f>
        <v>0</v>
      </c>
      <c r="L93" s="836">
        <f>ITE_LUC_Rates!AJ75</f>
        <v>73</v>
      </c>
    </row>
    <row r="94" spans="1:12" ht="25.5" x14ac:dyDescent="0.25">
      <c r="A94" s="831">
        <f>ITE_LUC_Rates!A80</f>
        <v>812</v>
      </c>
      <c r="B94" s="831" t="str">
        <f>ITE_LUC_Rates!B80</f>
        <v>Building Materials and Lumber Store</v>
      </c>
      <c r="C94" s="832">
        <f>ITE_LUC_Rates!Y80</f>
        <v>16342.734226615315</v>
      </c>
      <c r="D94" s="832">
        <f>ITE_LUC_Rates!Z80</f>
        <v>16722.767598730668</v>
      </c>
      <c r="E94" s="833">
        <f>ITE_LUC_Rates!AA80</f>
        <v>0</v>
      </c>
      <c r="F94" s="833">
        <f>ITE_LUC_Rates!AB80</f>
        <v>124.89168438640161</v>
      </c>
      <c r="G94" s="834">
        <f>ITE_LUC_Rates!AC80</f>
        <v>0</v>
      </c>
      <c r="H94" s="834">
        <f>ITE_LUC_Rates!AD80</f>
        <v>0</v>
      </c>
      <c r="I94" s="834">
        <f>ITE_LUC_Rates!AE80</f>
        <v>0</v>
      </c>
      <c r="J94" s="834">
        <f>ITE_LUC_Rates!AF80</f>
        <v>0</v>
      </c>
      <c r="K94" s="834">
        <f>ITE_LUC_Rates!AG80</f>
        <v>0</v>
      </c>
      <c r="L94" s="836">
        <f>ITE_LUC_Rates!AJ80</f>
        <v>78</v>
      </c>
    </row>
    <row r="95" spans="1:12" ht="25.5" x14ac:dyDescent="0.25">
      <c r="A95" s="831">
        <f>ITE_LUC_Rates!A97</f>
        <v>823</v>
      </c>
      <c r="B95" s="831" t="str">
        <f>ITE_LUC_Rates!B97</f>
        <v>Factory Outlet Center</v>
      </c>
      <c r="C95" s="832">
        <f>ITE_LUC_Rates!Y97</f>
        <v>27511.681787285961</v>
      </c>
      <c r="D95" s="832">
        <f>ITE_LUC_Rates!Z97</f>
        <v>28151.437476707841</v>
      </c>
      <c r="E95" s="833">
        <f>ITE_LUC_Rates!AA97</f>
        <v>0</v>
      </c>
      <c r="F95" s="833">
        <f>ITE_LUC_Rates!AB97</f>
        <v>210.24512979725822</v>
      </c>
      <c r="G95" s="834">
        <f>ITE_LUC_Rates!AC97</f>
        <v>0</v>
      </c>
      <c r="H95" s="834">
        <f>ITE_LUC_Rates!AD97</f>
        <v>0</v>
      </c>
      <c r="I95" s="834">
        <f>ITE_LUC_Rates!AE97</f>
        <v>0</v>
      </c>
      <c r="J95" s="834">
        <f>ITE_LUC_Rates!AF97</f>
        <v>0</v>
      </c>
      <c r="K95" s="834">
        <f>ITE_LUC_Rates!AG97</f>
        <v>0</v>
      </c>
      <c r="L95" s="836">
        <f>ITE_LUC_Rates!AJ97</f>
        <v>95</v>
      </c>
    </row>
    <row r="96" spans="1:12" ht="25.5" x14ac:dyDescent="0.25">
      <c r="A96" s="831">
        <f>ITE_LUC_Rates!A104</f>
        <v>857</v>
      </c>
      <c r="B96" s="831" t="str">
        <f>ITE_LUC_Rates!B104</f>
        <v>Discount Club</v>
      </c>
      <c r="C96" s="832">
        <f>ITE_LUC_Rates!Y104</f>
        <v>37171.010655587568</v>
      </c>
      <c r="D96" s="832">
        <f>ITE_LUC_Rates!Z104</f>
        <v>38035.384041858088</v>
      </c>
      <c r="E96" s="833">
        <f>ITE_LUC_Rates!AA104</f>
        <v>0</v>
      </c>
      <c r="F96" s="833">
        <f>ITE_LUC_Rates!AB104</f>
        <v>284.06202210403774</v>
      </c>
      <c r="G96" s="834">
        <f>ITE_LUC_Rates!AC104</f>
        <v>0</v>
      </c>
      <c r="H96" s="834">
        <f>ITE_LUC_Rates!AD104</f>
        <v>0</v>
      </c>
      <c r="I96" s="834">
        <f>ITE_LUC_Rates!AE104</f>
        <v>0</v>
      </c>
      <c r="J96" s="834">
        <f>ITE_LUC_Rates!AF104</f>
        <v>0</v>
      </c>
      <c r="K96" s="834">
        <f>ITE_LUC_Rates!AG104</f>
        <v>0</v>
      </c>
      <c r="L96" s="836">
        <f>ITE_LUC_Rates!AJ104</f>
        <v>102</v>
      </c>
    </row>
    <row r="97" spans="1:12" ht="25.5" x14ac:dyDescent="0.25">
      <c r="A97" s="831">
        <f>ITE_LUC_Rates!A105</f>
        <v>861</v>
      </c>
      <c r="B97" s="831" t="str">
        <f>ITE_LUC_Rates!B105</f>
        <v>Sporting Goods Superstore</v>
      </c>
      <c r="C97" s="832">
        <f>ITE_LUC_Rates!Y105</f>
        <v>25566.185558568006</v>
      </c>
      <c r="D97" s="832">
        <f>ITE_LUC_Rates!Z105</f>
        <v>26160.700746493305</v>
      </c>
      <c r="E97" s="833">
        <f>ITE_LUC_Rates!AA105</f>
        <v>0</v>
      </c>
      <c r="F97" s="833">
        <f>ITE_LUC_Rates!AB105</f>
        <v>195.37758697347093</v>
      </c>
      <c r="G97" s="834">
        <f>ITE_LUC_Rates!AC105</f>
        <v>0</v>
      </c>
      <c r="H97" s="834">
        <f>ITE_LUC_Rates!AD105</f>
        <v>0</v>
      </c>
      <c r="I97" s="834">
        <f>ITE_LUC_Rates!AE105</f>
        <v>0</v>
      </c>
      <c r="J97" s="834">
        <f>ITE_LUC_Rates!AF105</f>
        <v>0</v>
      </c>
      <c r="K97" s="834">
        <f>ITE_LUC_Rates!AG105</f>
        <v>0</v>
      </c>
      <c r="L97" s="836">
        <f>ITE_LUC_Rates!AJ105</f>
        <v>103</v>
      </c>
    </row>
    <row r="98" spans="1:12" ht="25.5" x14ac:dyDescent="0.25">
      <c r="A98" s="831">
        <f>ITE_LUC_Rates!A107</f>
        <v>863</v>
      </c>
      <c r="B98" s="831" t="str">
        <f>ITE_LUC_Rates!B107</f>
        <v>Electronics Superstore</v>
      </c>
      <c r="C98" s="832">
        <f>ITE_LUC_Rates!Y107</f>
        <v>36504.066684494486</v>
      </c>
      <c r="D98" s="832">
        <f>ITE_LUC_Rates!Z107</f>
        <v>37352.930978906094</v>
      </c>
      <c r="E98" s="833">
        <f>ITE_LUC_Rates!AA107</f>
        <v>0</v>
      </c>
      <c r="F98" s="833">
        <f>ITE_LUC_Rates!AB107</f>
        <v>278.96521548733847</v>
      </c>
      <c r="G98" s="834">
        <f>ITE_LUC_Rates!AC107</f>
        <v>0</v>
      </c>
      <c r="H98" s="834">
        <f>ITE_LUC_Rates!AD107</f>
        <v>0</v>
      </c>
      <c r="I98" s="834">
        <f>ITE_LUC_Rates!AE107</f>
        <v>0</v>
      </c>
      <c r="J98" s="834">
        <f>ITE_LUC_Rates!AF107</f>
        <v>0</v>
      </c>
      <c r="K98" s="834">
        <f>ITE_LUC_Rates!AG107</f>
        <v>0</v>
      </c>
      <c r="L98" s="836">
        <f>ITE_LUC_Rates!AJ107</f>
        <v>105</v>
      </c>
    </row>
    <row r="99" spans="1:12" ht="25.5" x14ac:dyDescent="0.25">
      <c r="A99" s="831">
        <f>ITE_LUC_Rates!A108</f>
        <v>868</v>
      </c>
      <c r="B99" s="831" t="str">
        <f>ITE_LUC_Rates!B108</f>
        <v>Book Superstore</v>
      </c>
      <c r="C99" s="832">
        <f>ITE_LUC_Rates!Y108</f>
        <v>127697.5389986214</v>
      </c>
      <c r="D99" s="832">
        <f>ITE_LUC_Rates!Z108</f>
        <v>130667.01311987611</v>
      </c>
      <c r="E99" s="833">
        <f>ITE_LUC_Rates!AA108</f>
        <v>0</v>
      </c>
      <c r="F99" s="833">
        <f>ITE_LUC_Rates!AB108</f>
        <v>975.86857354401468</v>
      </c>
      <c r="G99" s="834">
        <f>ITE_LUC_Rates!AC108</f>
        <v>0</v>
      </c>
      <c r="H99" s="834">
        <f>ITE_LUC_Rates!AD108</f>
        <v>0</v>
      </c>
      <c r="I99" s="834">
        <f>ITE_LUC_Rates!AE108</f>
        <v>0</v>
      </c>
      <c r="J99" s="834">
        <f>ITE_LUC_Rates!AF108</f>
        <v>0</v>
      </c>
      <c r="K99" s="834">
        <f>ITE_LUC_Rates!AG108</f>
        <v>0</v>
      </c>
      <c r="L99" s="836">
        <f>ITE_LUC_Rates!AJ108</f>
        <v>106</v>
      </c>
    </row>
    <row r="100" spans="1:12" ht="25.5" x14ac:dyDescent="0.25">
      <c r="A100" s="831">
        <f>ITE_LUC_Rates!A109</f>
        <v>869</v>
      </c>
      <c r="B100" s="831" t="str">
        <f>ITE_LUC_Rates!B109</f>
        <v>Discount Home Furnishing Superstore</v>
      </c>
      <c r="C100" s="832">
        <f>ITE_LUC_Rates!Y109</f>
        <v>17785.172562482094</v>
      </c>
      <c r="D100" s="832">
        <f>ITE_LUC_Rates!Z109</f>
        <v>18198.748345386652</v>
      </c>
      <c r="E100" s="833">
        <f>ITE_LUC_Rates!AA109</f>
        <v>0</v>
      </c>
      <c r="F100" s="833">
        <f>ITE_LUC_Rates!AB109</f>
        <v>135.91484311197979</v>
      </c>
      <c r="G100" s="834">
        <f>ITE_LUC_Rates!AC109</f>
        <v>0</v>
      </c>
      <c r="H100" s="834">
        <f>ITE_LUC_Rates!AD109</f>
        <v>0</v>
      </c>
      <c r="I100" s="834">
        <f>ITE_LUC_Rates!AE109</f>
        <v>0</v>
      </c>
      <c r="J100" s="834">
        <f>ITE_LUC_Rates!AF109</f>
        <v>0</v>
      </c>
      <c r="K100" s="834">
        <f>ITE_LUC_Rates!AG109</f>
        <v>0</v>
      </c>
      <c r="L100" s="836">
        <f>ITE_LUC_Rates!AJ109</f>
        <v>107</v>
      </c>
    </row>
    <row r="101" spans="1:12" ht="25.5" x14ac:dyDescent="0.25">
      <c r="A101" s="831">
        <f>ITE_LUC_Rates!A111</f>
        <v>876</v>
      </c>
      <c r="B101" s="831" t="str">
        <f>ITE_LUC_Rates!B111</f>
        <v>Apparel Store</v>
      </c>
      <c r="C101" s="832">
        <f>ITE_LUC_Rates!Y111</f>
        <v>59046.772907440543</v>
      </c>
      <c r="D101" s="832">
        <f>ITE_LUC_Rates!Z111</f>
        <v>60419.844506683672</v>
      </c>
      <c r="E101" s="833">
        <f>ITE_LUC_Rates!AA111</f>
        <v>0</v>
      </c>
      <c r="F101" s="833">
        <f>ITE_LUC_Rates!AB111</f>
        <v>451.23727913177288</v>
      </c>
      <c r="G101" s="834">
        <f>ITE_LUC_Rates!AC111</f>
        <v>0</v>
      </c>
      <c r="H101" s="834">
        <f>ITE_LUC_Rates!AD111</f>
        <v>0</v>
      </c>
      <c r="I101" s="834">
        <f>ITE_LUC_Rates!AE111</f>
        <v>0</v>
      </c>
      <c r="J101" s="834">
        <f>ITE_LUC_Rates!AF111</f>
        <v>0</v>
      </c>
      <c r="K101" s="834">
        <f>ITE_LUC_Rates!AG111</f>
        <v>0</v>
      </c>
      <c r="L101" s="836">
        <f>ITE_LUC_Rates!AJ111</f>
        <v>109</v>
      </c>
    </row>
    <row r="102" spans="1:12" ht="25.5" x14ac:dyDescent="0.25">
      <c r="A102" s="831">
        <f>ITE_LUC_Rates!A112</f>
        <v>879</v>
      </c>
      <c r="B102" s="831" t="str">
        <f>ITE_LUC_Rates!B112</f>
        <v>Arts &amp; Crafts Store</v>
      </c>
      <c r="C102" s="832">
        <f>ITE_LUC_Rates!Y112</f>
        <v>50287.575420418114</v>
      </c>
      <c r="D102" s="832">
        <f>ITE_LUC_Rates!Z112</f>
        <v>51456.960946580744</v>
      </c>
      <c r="E102" s="833">
        <f>ITE_LUC_Rates!AA112</f>
        <v>0</v>
      </c>
      <c r="F102" s="833">
        <f>ITE_LUC_Rates!AB112</f>
        <v>384.29921889912282</v>
      </c>
      <c r="G102" s="834">
        <f>ITE_LUC_Rates!AC112</f>
        <v>0</v>
      </c>
      <c r="H102" s="834">
        <f>ITE_LUC_Rates!AD112</f>
        <v>0</v>
      </c>
      <c r="I102" s="834">
        <f>ITE_LUC_Rates!AE112</f>
        <v>0</v>
      </c>
      <c r="J102" s="834">
        <f>ITE_LUC_Rates!AF112</f>
        <v>0</v>
      </c>
      <c r="K102" s="834">
        <f>ITE_LUC_Rates!AG112</f>
        <v>0</v>
      </c>
      <c r="L102" s="836">
        <f>ITE_LUC_Rates!AJ112</f>
        <v>110</v>
      </c>
    </row>
    <row r="103" spans="1:12" ht="25.5" x14ac:dyDescent="0.25">
      <c r="A103" s="831">
        <f>ITE_LUC_Rates!A115</f>
        <v>882</v>
      </c>
      <c r="B103" s="831" t="str">
        <f>ITE_LUC_Rates!B115</f>
        <v>Marijuana Dispensary</v>
      </c>
      <c r="C103" s="832">
        <f>ITE_LUC_Rates!Y115</f>
        <v>224715.65532696122</v>
      </c>
      <c r="D103" s="832">
        <f>ITE_LUC_Rates!Z115</f>
        <v>229941.1853439603</v>
      </c>
      <c r="E103" s="833">
        <f>ITE_LUC_Rates!AA115</f>
        <v>0</v>
      </c>
      <c r="F103" s="833">
        <f>ITE_LUC_Rates!AB115</f>
        <v>1717.2840427198644</v>
      </c>
      <c r="G103" s="834">
        <f>ITE_LUC_Rates!AC115</f>
        <v>0</v>
      </c>
      <c r="H103" s="834">
        <f>ITE_LUC_Rates!AD115</f>
        <v>0</v>
      </c>
      <c r="I103" s="834">
        <f>ITE_LUC_Rates!AE115</f>
        <v>0</v>
      </c>
      <c r="J103" s="834">
        <f>ITE_LUC_Rates!AF115</f>
        <v>0</v>
      </c>
      <c r="K103" s="834">
        <f>ITE_LUC_Rates!AG115</f>
        <v>0</v>
      </c>
      <c r="L103" s="836">
        <f>ITE_LUC_Rates!AJ115</f>
        <v>113</v>
      </c>
    </row>
    <row r="104" spans="1:12" ht="25.5" x14ac:dyDescent="0.25">
      <c r="A104" s="831">
        <f>ITE_LUC_Rates!A117</f>
        <v>899</v>
      </c>
      <c r="B104" s="831" t="str">
        <f>ITE_LUC_Rates!B117</f>
        <v>Liquor Store</v>
      </c>
      <c r="C104" s="832">
        <f>ITE_LUC_Rates!Y117</f>
        <v>64314.285866226441</v>
      </c>
      <c r="D104" s="832">
        <f>ITE_LUC_Rates!Z117</f>
        <v>65809.84802822549</v>
      </c>
      <c r="E104" s="833">
        <f>ITE_LUC_Rates!AA117</f>
        <v>0</v>
      </c>
      <c r="F104" s="833">
        <f>ITE_LUC_Rates!AB117</f>
        <v>491.49177735879431</v>
      </c>
      <c r="G104" s="834">
        <f>ITE_LUC_Rates!AC117</f>
        <v>0</v>
      </c>
      <c r="H104" s="834">
        <f>ITE_LUC_Rates!AD117</f>
        <v>0</v>
      </c>
      <c r="I104" s="834">
        <f>ITE_LUC_Rates!AE117</f>
        <v>0</v>
      </c>
      <c r="J104" s="834">
        <f>ITE_LUC_Rates!AF117</f>
        <v>0</v>
      </c>
      <c r="K104" s="834">
        <f>ITE_LUC_Rates!AG117</f>
        <v>0</v>
      </c>
      <c r="L104" s="836">
        <f>ITE_LUC_Rates!AJ117</f>
        <v>115</v>
      </c>
    </row>
    <row r="105" spans="1:12" ht="25.5" x14ac:dyDescent="0.25">
      <c r="A105" s="831">
        <f>ITE_LUC_Rates!A84</f>
        <v>820</v>
      </c>
      <c r="B105" s="831" t="str">
        <f>ITE_LUC_Rates!B84</f>
        <v>Shopping Center/General Retail…</v>
      </c>
      <c r="C105" s="832">
        <f>ITE_LUC_Rates!Y84</f>
        <v>0</v>
      </c>
      <c r="D105" s="832">
        <f>ITE_LUC_Rates!Z84</f>
        <v>0</v>
      </c>
      <c r="E105" s="833">
        <f>ITE_LUC_Rates!AA84</f>
        <v>0</v>
      </c>
      <c r="F105" s="833">
        <f>ITE_LUC_Rates!AB84</f>
        <v>0</v>
      </c>
      <c r="G105" s="834">
        <f>ITE_LUC_Rates!AC84</f>
        <v>0</v>
      </c>
      <c r="H105" s="834">
        <f>ITE_LUC_Rates!AD84</f>
        <v>0</v>
      </c>
      <c r="I105" s="834">
        <f>ITE_LUC_Rates!AE84</f>
        <v>0</v>
      </c>
      <c r="J105" s="834">
        <f>ITE_LUC_Rates!AF84</f>
        <v>0</v>
      </c>
      <c r="K105" s="834">
        <f>ITE_LUC_Rates!AG84</f>
        <v>0</v>
      </c>
      <c r="L105" s="836">
        <f>ITE_LUC_Rates!AJ84</f>
        <v>82</v>
      </c>
    </row>
    <row r="106" spans="1:12" ht="25.5" x14ac:dyDescent="0.25">
      <c r="A106" s="831">
        <f>ITE_LUC_Rates!A126</f>
        <v>934</v>
      </c>
      <c r="B106" s="831" t="str">
        <f>ITE_LUC_Rates!B126</f>
        <v>Fast Food Rest. w/ Drive-Thru</v>
      </c>
      <c r="C106" s="832">
        <f>ITE_LUC_Rates!Y126</f>
        <v>87367.123847467315</v>
      </c>
      <c r="D106" s="832">
        <f>ITE_LUC_Rates!Z126</f>
        <v>89398.755900425764</v>
      </c>
      <c r="E106" s="833">
        <f>ITE_LUC_Rates!AA126</f>
        <v>303.87349999999998</v>
      </c>
      <c r="F106" s="833">
        <f>ITE_LUC_Rates!AB126</f>
        <v>667.66228380166069</v>
      </c>
      <c r="G106" s="834">
        <f>ITE_LUC_Rates!AC126</f>
        <v>1.197171796164064</v>
      </c>
      <c r="H106" s="834">
        <f>ITE_LUC_Rates!AD126</f>
        <v>-5.0733693461259444E-2</v>
      </c>
      <c r="I106" s="834">
        <f>ITE_LUC_Rates!AE126</f>
        <v>1.2479054896253234</v>
      </c>
      <c r="J106" s="834">
        <f>ITE_LUC_Rates!AF126</f>
        <v>0.72074322812892921</v>
      </c>
      <c r="K106" s="834">
        <f>ITE_LUC_Rates!AG126</f>
        <v>0.76075733118308708</v>
      </c>
      <c r="L106" s="836">
        <f>ITE_LUC_Rates!AJ126</f>
        <v>124</v>
      </c>
    </row>
    <row r="107" spans="1:12" ht="25.5" x14ac:dyDescent="0.25">
      <c r="A107" s="831">
        <f>ITE_LUC_Rates!A77</f>
        <v>760</v>
      </c>
      <c r="B107" s="831" t="str">
        <f>ITE_LUC_Rates!B77</f>
        <v>Research Center</v>
      </c>
      <c r="C107" s="832">
        <f>ITE_LUC_Rates!Y77</f>
        <v>14452.747340036896</v>
      </c>
      <c r="D107" s="832">
        <f>ITE_LUC_Rates!Z77</f>
        <v>14788.831022963124</v>
      </c>
      <c r="E107" s="833">
        <f>ITE_LUC_Rates!AA77</f>
        <v>48.243145999999996</v>
      </c>
      <c r="F107" s="833">
        <f>ITE_LUC_Rates!AB77</f>
        <v>110.44834568555093</v>
      </c>
      <c r="G107" s="834">
        <f>ITE_LUC_Rates!AC77</f>
        <v>1.2894100995310493</v>
      </c>
      <c r="H107" s="834">
        <f>ITE_LUC_Rates!AD77</f>
        <v>0.38840937114673246</v>
      </c>
      <c r="I107" s="834">
        <f>ITE_LUC_Rates!AE77</f>
        <v>0.90100072838431688</v>
      </c>
      <c r="J107" s="834">
        <f>ITE_LUC_Rates!AF77</f>
        <v>0.79312258409162362</v>
      </c>
      <c r="K107" s="834">
        <f>ITE_LUC_Rates!AG77</f>
        <v>0.83481979416671304</v>
      </c>
      <c r="L107" s="836">
        <f>ITE_LUC_Rates!AJ77</f>
        <v>75</v>
      </c>
    </row>
    <row r="108" spans="1:12" ht="25.5" x14ac:dyDescent="0.25">
      <c r="A108" s="831">
        <f>ITE_LUC_Rates!A116</f>
        <v>890</v>
      </c>
      <c r="B108" s="831" t="str">
        <f>ITE_LUC_Rates!B116</f>
        <v>Furniture Store (free standing)</v>
      </c>
      <c r="C108" s="832">
        <f>ITE_LUC_Rates!Y116</f>
        <v>3250.1091133343971</v>
      </c>
      <c r="D108" s="832">
        <f>ITE_LUC_Rates!Z116</f>
        <v>3325.6870373804099</v>
      </c>
      <c r="E108" s="833">
        <f>ITE_LUC_Rates!AA116</f>
        <v>9.9175999999999984</v>
      </c>
      <c r="F108" s="833">
        <f>ITE_LUC_Rates!AB116</f>
        <v>24.837435154692223</v>
      </c>
      <c r="G108" s="834">
        <f>ITE_LUC_Rates!AC116</f>
        <v>1.5043796034012491</v>
      </c>
      <c r="H108" s="834">
        <f>ITE_LUC_Rates!AD116</f>
        <v>0.24505928853754955</v>
      </c>
      <c r="I108" s="834">
        <f>ITE_LUC_Rates!AE116</f>
        <v>1.2593203148636996</v>
      </c>
      <c r="J108" s="834">
        <f>ITE_LUC_Rates!AF116</f>
        <v>0.96167860534427652</v>
      </c>
      <c r="K108" s="834">
        <f>ITE_LUC_Rates!AG116</f>
        <v>1.0072954112629224</v>
      </c>
      <c r="L108" s="836">
        <f>ITE_LUC_Rates!AJ116</f>
        <v>114</v>
      </c>
    </row>
    <row r="109" spans="1:12" ht="25.5" x14ac:dyDescent="0.25">
      <c r="A109" s="831">
        <f>ITE_LUC_Rates!A99</f>
        <v>843</v>
      </c>
      <c r="B109" s="831" t="str">
        <f>ITE_LUC_Rates!B99</f>
        <v>Auto Parts Sales</v>
      </c>
      <c r="C109" s="832">
        <f>ITE_LUC_Rates!Y99</f>
        <v>31232.550873573371</v>
      </c>
      <c r="D109" s="832">
        <f>ITE_LUC_Rates!Z99</f>
        <v>31958.831523044999</v>
      </c>
      <c r="E109" s="833">
        <f>ITE_LUC_Rates!AA99</f>
        <v>92.974560000000011</v>
      </c>
      <c r="F109" s="833">
        <f>ITE_LUC_Rates!AB99</f>
        <v>238.680127339525</v>
      </c>
      <c r="G109" s="834">
        <f>ITE_LUC_Rates!AC99</f>
        <v>1.5671552233161949</v>
      </c>
      <c r="H109" s="834">
        <f>ITE_LUC_Rates!AD99</f>
        <v>1.5811567164179103</v>
      </c>
      <c r="I109" s="834">
        <f>ITE_LUC_Rates!AE99</f>
        <v>-1.400149310171539E-2</v>
      </c>
      <c r="J109" s="834">
        <f>ITE_LUC_Rates!AF99</f>
        <v>1.010463525817404</v>
      </c>
      <c r="K109" s="834">
        <f>ITE_LUC_Rates!AG99</f>
        <v>1.0572147745764404</v>
      </c>
      <c r="L109" s="836">
        <f>ITE_LUC_Rates!AJ99</f>
        <v>97</v>
      </c>
    </row>
    <row r="110" spans="1:12" ht="25.5" x14ac:dyDescent="0.25">
      <c r="A110" s="831">
        <f>ITE_LUC_Rates!A81</f>
        <v>813</v>
      </c>
      <c r="B110" s="831" t="str">
        <f>ITE_LUC_Rates!B81</f>
        <v>Discount Superstore (Free standing)</v>
      </c>
      <c r="C110" s="832">
        <f>ITE_LUC_Rates!Y81</f>
        <v>45085.4124458921</v>
      </c>
      <c r="D110" s="832">
        <f>ITE_LUC_Rates!Z81</f>
        <v>46133.82705555515</v>
      </c>
      <c r="E110" s="833">
        <f>ITE_LUC_Rates!AA81</f>
        <v>123.24333</v>
      </c>
      <c r="F110" s="833">
        <f>ITE_LUC_Rates!AB81</f>
        <v>344.54412728886871</v>
      </c>
      <c r="G110" s="834">
        <f>ITE_LUC_Rates!AC81</f>
        <v>1.7956411701052599</v>
      </c>
      <c r="H110" s="834">
        <f>ITE_LUC_Rates!AD81</f>
        <v>-9.8522167487680168E-4</v>
      </c>
      <c r="I110" s="834">
        <f>ITE_LUC_Rates!AE81</f>
        <v>1.7966263917801366</v>
      </c>
      <c r="J110" s="834">
        <f>ITE_LUC_Rates!AF81</f>
        <v>1.1893881057798201</v>
      </c>
      <c r="K110" s="834">
        <f>ITE_LUC_Rates!AG81</f>
        <v>1.2403000604852763</v>
      </c>
      <c r="L110" s="836">
        <f>ITE_LUC_Rates!AJ81</f>
        <v>79</v>
      </c>
    </row>
    <row r="111" spans="1:12" ht="25.5" x14ac:dyDescent="0.25">
      <c r="A111" s="831">
        <f>ITE_LUC_Rates!A110</f>
        <v>875</v>
      </c>
      <c r="B111" s="831" t="str">
        <f>ITE_LUC_Rates!B110</f>
        <v>Department Store (free standing)</v>
      </c>
      <c r="C111" s="832">
        <f>ITE_LUC_Rates!Y110</f>
        <v>20346.237411479513</v>
      </c>
      <c r="D111" s="832">
        <f>ITE_LUC_Rates!Z110</f>
        <v>20819.368107122325</v>
      </c>
      <c r="E111" s="833">
        <f>ITE_LUC_Rates!AA110</f>
        <v>55.562707199999991</v>
      </c>
      <c r="F111" s="833">
        <f>ITE_LUC_Rates!AB110</f>
        <v>155.48658052010487</v>
      </c>
      <c r="G111" s="834">
        <f>ITE_LUC_Rates!AC110</f>
        <v>1.798398212679329</v>
      </c>
      <c r="H111" s="834">
        <f>ITE_LUC_Rates!AD110</f>
        <v>0</v>
      </c>
      <c r="I111" s="834">
        <f>ITE_LUC_Rates!AE110</f>
        <v>1.798398212679329</v>
      </c>
      <c r="J111" s="834">
        <f>ITE_LUC_Rates!AF110</f>
        <v>1.1917739320779397</v>
      </c>
      <c r="K111" s="834">
        <f>ITE_LUC_Rates!AG110</f>
        <v>1.2427413667049794</v>
      </c>
      <c r="L111" s="836">
        <f>ITE_LUC_Rates!AJ110</f>
        <v>108</v>
      </c>
    </row>
    <row r="112" spans="1:12" ht="25.5" x14ac:dyDescent="0.25">
      <c r="A112" s="831">
        <f>ITE_LUC_Rates!A103</f>
        <v>853</v>
      </c>
      <c r="B112" s="831" t="str">
        <f>ITE_LUC_Rates!B103</f>
        <v>Convenience market with Gasoline Pump</v>
      </c>
      <c r="C112" s="832">
        <f>ITE_LUC_Rates!Y103</f>
        <v>143982.50974612159</v>
      </c>
      <c r="D112" s="832">
        <f>ITE_LUC_Rates!Z103</f>
        <v>147330.67400956151</v>
      </c>
      <c r="E112" s="833">
        <f>ITE_LUC_Rates!AA103</f>
        <v>362.55099999999999</v>
      </c>
      <c r="F112" s="833">
        <f>ITE_LUC_Rates!AB103</f>
        <v>1100.3188276224475</v>
      </c>
      <c r="G112" s="834">
        <f>ITE_LUC_Rates!AC103</f>
        <v>2.0349352990957068</v>
      </c>
      <c r="H112" s="834">
        <f>ITE_LUC_Rates!AD103</f>
        <v>-0.26182592242194891</v>
      </c>
      <c r="I112" s="834">
        <f>ITE_LUC_Rates!AE103</f>
        <v>2.2967612215176558</v>
      </c>
      <c r="J112" s="834">
        <f>ITE_LUC_Rates!AF103</f>
        <v>1.3768432635731198</v>
      </c>
      <c r="K112" s="834">
        <f>ITE_LUC_Rates!AG103</f>
        <v>1.4321142939845606</v>
      </c>
      <c r="L112" s="836">
        <f>ITE_LUC_Rates!AJ103</f>
        <v>101</v>
      </c>
    </row>
    <row r="113" spans="1:12" ht="25.5" x14ac:dyDescent="0.25">
      <c r="A113" s="831">
        <f>ITE_LUC_Rates!A127</f>
        <v>937</v>
      </c>
      <c r="B113" s="831" t="str">
        <f>ITE_LUC_Rates!B127</f>
        <v>Coffee/Donut Shop with Drive Through</v>
      </c>
      <c r="C113" s="832">
        <f>ITE_LUC_Rates!Y127</f>
        <v>152190.76560565922</v>
      </c>
      <c r="D113" s="832">
        <f>ITE_LUC_Rates!Z127</f>
        <v>155729.80436477601</v>
      </c>
      <c r="E113" s="833">
        <f>ITE_LUC_Rates!AA127</f>
        <v>350.96617499999996</v>
      </c>
      <c r="F113" s="833">
        <f>ITE_LUC_Rates!AB127</f>
        <v>1163.0465747642133</v>
      </c>
      <c r="G113" s="834">
        <f>ITE_LUC_Rates!AC127</f>
        <v>2.3138423517998947</v>
      </c>
      <c r="H113" s="834">
        <f>ITE_LUC_Rates!AD127</f>
        <v>2.1989298541376101E-3</v>
      </c>
      <c r="I113" s="834">
        <f>ITE_LUC_Rates!AE127</f>
        <v>2.3116434219457571</v>
      </c>
      <c r="J113" s="834">
        <f>ITE_LUC_Rates!AF127</f>
        <v>1.5952873680221282</v>
      </c>
      <c r="K113" s="834">
        <f>ITE_LUC_Rates!AG127</f>
        <v>1.6556380900250338</v>
      </c>
      <c r="L113" s="836">
        <f>ITE_LUC_Rates!AJ127</f>
        <v>125</v>
      </c>
    </row>
    <row r="114" spans="1:12" ht="25.5" x14ac:dyDescent="0.25">
      <c r="A114" s="831">
        <f>ITE_LUC_Rates!A128</f>
        <v>944</v>
      </c>
      <c r="B114" s="831" t="str">
        <f>ITE_LUC_Rates!B128</f>
        <v>Gasoline/Service Station</v>
      </c>
      <c r="C114" s="832">
        <f>ITE_LUC_Rates!Y128</f>
        <v>39677.077060926589</v>
      </c>
      <c r="D114" s="832">
        <f>ITE_LUC_Rates!Z128</f>
        <v>40599.726428043388</v>
      </c>
      <c r="E114" s="833">
        <f>ITE_LUC_Rates!AA128</f>
        <v>72.270099999999985</v>
      </c>
      <c r="F114" s="833">
        <f>ITE_LUC_Rates!AB128</f>
        <v>303.21345969134444</v>
      </c>
      <c r="G114" s="834">
        <f>ITE_LUC_Rates!AC128</f>
        <v>3.1955588783099032</v>
      </c>
      <c r="H114" s="834">
        <f>ITE_LUC_Rates!AD128</f>
        <v>2.0467489321309928E-2</v>
      </c>
      <c r="I114" s="834">
        <f>ITE_LUC_Rates!AE128</f>
        <v>3.1750913889885934</v>
      </c>
      <c r="J114" s="834">
        <f>ITE_LUC_Rates!AF128</f>
        <v>2.2858650735777104</v>
      </c>
      <c r="K114" s="834">
        <f>ITE_LUC_Rates!AG128</f>
        <v>2.3622744654770256</v>
      </c>
      <c r="L114" s="836">
        <f>ITE_LUC_Rates!AJ128</f>
        <v>126</v>
      </c>
    </row>
    <row r="115" spans="1:12" ht="25.5" x14ac:dyDescent="0.25">
      <c r="A115" s="831">
        <f>ITE_LUC_Rates!A102</f>
        <v>851</v>
      </c>
      <c r="B115" s="831" t="str">
        <f>ITE_LUC_Rates!B102</f>
        <v>Convenience market</v>
      </c>
      <c r="C115" s="832">
        <f>ITE_LUC_Rates!Y102</f>
        <v>175833.04634616079</v>
      </c>
      <c r="D115" s="832">
        <f>ITE_LUC_Rates!Z102</f>
        <v>179921.86187761705</v>
      </c>
      <c r="E115" s="833">
        <f>ITE_LUC_Rates!AA102</f>
        <v>316.41321249999993</v>
      </c>
      <c r="F115" s="833">
        <f>ITE_LUC_Rates!AB102</f>
        <v>1343.7216211471311</v>
      </c>
      <c r="G115" s="834">
        <f>ITE_LUC_Rates!AC102</f>
        <v>3.2467304400164121</v>
      </c>
      <c r="H115" s="834">
        <f>ITE_LUC_Rates!AD102</f>
        <v>3.2913725118226544E-2</v>
      </c>
      <c r="I115" s="834">
        <f>ITE_LUC_Rates!AE102</f>
        <v>3.2138167148981855</v>
      </c>
      <c r="J115" s="834">
        <f>ITE_LUC_Rates!AF102</f>
        <v>2.3258502465766218</v>
      </c>
      <c r="K115" s="834">
        <f>ITE_LUC_Rates!AG102</f>
        <v>2.4031894522952575</v>
      </c>
      <c r="L115" s="836">
        <f>ITE_LUC_Rates!AJ102</f>
        <v>100</v>
      </c>
    </row>
    <row r="116" spans="1:12" ht="25.5" x14ac:dyDescent="0.25">
      <c r="A116" s="831">
        <f>ITE_LUC_Rates!A83</f>
        <v>817</v>
      </c>
      <c r="B116" s="831" t="str">
        <f>ITE_LUC_Rates!B83</f>
        <v>Nursery Garden Center</v>
      </c>
      <c r="C116" s="832">
        <f>ITE_LUC_Rates!Y83</f>
        <v>60558.512575251516</v>
      </c>
      <c r="D116" s="832">
        <f>ITE_LUC_Rates!Z83</f>
        <v>61966.738116041532</v>
      </c>
      <c r="E116" s="833">
        <f>ITE_LUC_Rates!AA83</f>
        <v>106.0752</v>
      </c>
      <c r="F116" s="833">
        <f>ITE_LUC_Rates!AB83</f>
        <v>462.79004079629112</v>
      </c>
      <c r="G116" s="834">
        <f>ITE_LUC_Rates!AC83</f>
        <v>3.3628486281080887</v>
      </c>
      <c r="H116" s="834">
        <f>ITE_LUC_Rates!AD83</f>
        <v>0.88747228381374721</v>
      </c>
      <c r="I116" s="834">
        <f>ITE_LUC_Rates!AE83</f>
        <v>2.4753763442943413</v>
      </c>
      <c r="J116" s="834">
        <f>ITE_LUC_Rates!AF83</f>
        <v>2.4169062344978061</v>
      </c>
      <c r="K116" s="834">
        <f>ITE_LUC_Rates!AG83</f>
        <v>2.4963628529860031</v>
      </c>
      <c r="L116" s="836">
        <f>ITE_LUC_Rates!AJ83</f>
        <v>81</v>
      </c>
    </row>
    <row r="117" spans="1:12" ht="25.5" x14ac:dyDescent="0.25">
      <c r="A117" s="831">
        <f>ITE_LUC_Rates!A43</f>
        <v>520</v>
      </c>
      <c r="B117" s="831" t="str">
        <f>ITE_LUC_Rates!B43</f>
        <v>Elementary School (30 FT/St)</v>
      </c>
      <c r="C117" s="832">
        <f>ITE_LUC_Rates!Y43</f>
        <v>911.38144888349302</v>
      </c>
      <c r="D117" s="832">
        <f>ITE_LUC_Rates!Z43</f>
        <v>932.57468133161706</v>
      </c>
      <c r="E117" s="833">
        <f>ITE_LUC_Rates!AA43</f>
        <v>1.1851875000000001</v>
      </c>
      <c r="F117" s="833">
        <f>ITE_LUC_Rates!AB43</f>
        <v>6.96480544144248</v>
      </c>
      <c r="G117" s="834">
        <f>ITE_LUC_Rates!AC43</f>
        <v>4.8765431135938231</v>
      </c>
      <c r="H117" s="834">
        <f>ITE_LUC_Rates!AD43</f>
        <v>0.46511627906976738</v>
      </c>
      <c r="I117" s="834">
        <f>ITE_LUC_Rates!AE43</f>
        <v>4.4114268345240557</v>
      </c>
      <c r="J117" s="834">
        <f>ITE_LUC_Rates!AF43</f>
        <v>3.591897503393322</v>
      </c>
      <c r="K117" s="834">
        <f>ITE_LUC_Rates!AG43</f>
        <v>3.6986773278966583</v>
      </c>
      <c r="L117" s="836">
        <f>ITE_LUC_Rates!AJ43</f>
        <v>41</v>
      </c>
    </row>
    <row r="118" spans="1:12" x14ac:dyDescent="0.25">
      <c r="B118" s="818"/>
      <c r="C118" s="823"/>
      <c r="D118" s="823"/>
      <c r="E118" s="827"/>
      <c r="F118" s="827"/>
      <c r="H118" s="825"/>
      <c r="I118" s="825"/>
      <c r="J118" s="825"/>
      <c r="K118" s="825"/>
    </row>
    <row r="119" spans="1:12" x14ac:dyDescent="0.25">
      <c r="E119" s="827"/>
      <c r="F119" s="827"/>
      <c r="G119" s="827"/>
      <c r="H119" s="827"/>
      <c r="I119" s="835"/>
      <c r="J119" s="827"/>
      <c r="K119" s="825"/>
    </row>
    <row r="120" spans="1:12" x14ac:dyDescent="0.25">
      <c r="E120" s="827"/>
      <c r="F120" s="827"/>
      <c r="G120" s="827"/>
      <c r="H120" s="827"/>
      <c r="I120" s="827"/>
      <c r="J120" s="827"/>
      <c r="K120" s="825"/>
    </row>
    <row r="121" spans="1:12" x14ac:dyDescent="0.25">
      <c r="E121" s="827"/>
      <c r="F121" s="827"/>
      <c r="G121" s="827"/>
      <c r="H121" s="827"/>
      <c r="I121" s="827"/>
      <c r="J121" s="827"/>
      <c r="K121" s="825"/>
    </row>
    <row r="122" spans="1:12" x14ac:dyDescent="0.25">
      <c r="E122" s="827"/>
      <c r="F122" s="827"/>
      <c r="G122" s="827"/>
      <c r="H122" s="827"/>
      <c r="I122" s="827"/>
      <c r="J122" s="827"/>
      <c r="K122" s="825"/>
    </row>
    <row r="123" spans="1:12" x14ac:dyDescent="0.25">
      <c r="E123" s="827"/>
      <c r="F123" s="827"/>
      <c r="G123" s="827"/>
      <c r="H123" s="827"/>
      <c r="I123" s="827"/>
      <c r="J123" s="827"/>
      <c r="K123" s="825"/>
    </row>
    <row r="124" spans="1:12" x14ac:dyDescent="0.25">
      <c r="E124" s="827"/>
      <c r="F124" s="827"/>
      <c r="G124" s="827"/>
      <c r="H124" s="827"/>
      <c r="I124" s="827"/>
      <c r="J124" s="827"/>
      <c r="K124" s="825"/>
    </row>
    <row r="125" spans="1:12" x14ac:dyDescent="0.25">
      <c r="E125" s="827"/>
      <c r="F125" s="827"/>
      <c r="G125" s="827"/>
      <c r="H125" s="827"/>
      <c r="I125" s="827"/>
      <c r="J125" s="827"/>
      <c r="K125" s="825"/>
    </row>
    <row r="126" spans="1:12" x14ac:dyDescent="0.25">
      <c r="E126" s="827"/>
      <c r="F126" s="827"/>
      <c r="G126" s="827"/>
      <c r="H126" s="827"/>
      <c r="I126" s="827"/>
      <c r="J126" s="827"/>
      <c r="K126" s="825"/>
    </row>
    <row r="127" spans="1:12" x14ac:dyDescent="0.25">
      <c r="E127" s="824"/>
      <c r="F127" s="824"/>
      <c r="H127" s="825"/>
      <c r="K127" s="825"/>
    </row>
    <row r="128" spans="1:12" x14ac:dyDescent="0.25">
      <c r="E128" s="824"/>
      <c r="F128" s="824"/>
      <c r="K128" s="825"/>
    </row>
    <row r="129" spans="5:11" x14ac:dyDescent="0.25">
      <c r="E129" s="824"/>
      <c r="F129" s="824"/>
      <c r="K129" s="825"/>
    </row>
    <row r="130" spans="5:11" x14ac:dyDescent="0.25">
      <c r="E130" s="824"/>
      <c r="F130" s="824"/>
      <c r="K130" s="825"/>
    </row>
    <row r="131" spans="5:11" x14ac:dyDescent="0.25">
      <c r="E131" s="824"/>
      <c r="F131" s="824"/>
      <c r="K131" s="824"/>
    </row>
    <row r="132" spans="5:11" x14ac:dyDescent="0.25">
      <c r="K132" s="824"/>
    </row>
    <row r="133" spans="5:11" x14ac:dyDescent="0.25">
      <c r="K133" s="824"/>
    </row>
    <row r="134" spans="5:11" x14ac:dyDescent="0.25">
      <c r="K134" s="824"/>
    </row>
  </sheetData>
  <sortState xmlns:xlrd2="http://schemas.microsoft.com/office/spreadsheetml/2017/richdata2" ref="A2:L134">
    <sortCondition ref="G1:G134"/>
  </sortState>
  <conditionalFormatting sqref="G1:G1048576">
    <cfRule type="colorScale" priority="2">
      <colorScale>
        <cfvo type="min"/>
        <cfvo type="percentile" val="50"/>
        <cfvo type="max"/>
        <color rgb="FF5A8AC6"/>
        <color rgb="FFFCFCFF"/>
        <color rgb="FFF8696B"/>
      </colorScale>
    </cfRule>
  </conditionalFormatting>
  <conditionalFormatting sqref="I1:I1048576">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heetViews>
  <sheetFormatPr defaultColWidth="9" defaultRowHeight="12.75" x14ac:dyDescent="0.25"/>
  <cols>
    <col min="1" max="16384" width="9" style="63"/>
  </cols>
  <sheetData>
    <row r="1" spans="1:22" x14ac:dyDescent="0.25">
      <c r="A1" s="63" t="s">
        <v>495</v>
      </c>
      <c r="N1" s="63" t="s">
        <v>496</v>
      </c>
    </row>
    <row r="2" spans="1:22" x14ac:dyDescent="0.25">
      <c r="A2" s="84" t="s">
        <v>497</v>
      </c>
      <c r="B2" s="83"/>
      <c r="C2" s="82"/>
      <c r="D2" s="82"/>
      <c r="E2" s="82"/>
      <c r="F2" s="82"/>
      <c r="G2" s="82"/>
      <c r="H2" s="82"/>
      <c r="I2" s="82"/>
      <c r="J2" s="82"/>
      <c r="K2" s="82"/>
      <c r="N2" s="64" t="s">
        <v>498</v>
      </c>
    </row>
    <row r="3" spans="1:22" x14ac:dyDescent="0.25">
      <c r="A3" s="84">
        <v>1</v>
      </c>
      <c r="B3" s="85">
        <v>10</v>
      </c>
      <c r="C3" s="82" t="s">
        <v>499</v>
      </c>
      <c r="D3" s="82"/>
      <c r="E3" s="82"/>
      <c r="F3" s="82"/>
      <c r="G3" s="82"/>
      <c r="H3" s="82"/>
      <c r="I3" s="82"/>
      <c r="J3" s="82"/>
      <c r="K3" s="82"/>
      <c r="N3" s="63" t="s">
        <v>500</v>
      </c>
      <c r="Q3" s="63" t="s">
        <v>501</v>
      </c>
    </row>
    <row r="4" spans="1:22" x14ac:dyDescent="0.25">
      <c r="A4" s="84">
        <v>2</v>
      </c>
      <c r="B4" s="86">
        <v>1.67</v>
      </c>
      <c r="C4" s="82" t="s">
        <v>502</v>
      </c>
      <c r="D4" s="82"/>
      <c r="E4" s="82"/>
      <c r="F4" s="82"/>
      <c r="G4" s="82"/>
      <c r="H4" s="82"/>
      <c r="I4" s="82"/>
      <c r="J4" s="82"/>
      <c r="K4" s="82"/>
      <c r="N4" s="63" t="s">
        <v>55</v>
      </c>
      <c r="O4" s="63" t="s">
        <v>503</v>
      </c>
      <c r="P4" s="63" t="s">
        <v>504</v>
      </c>
      <c r="Q4" s="63" t="s">
        <v>62</v>
      </c>
      <c r="R4" s="63" t="s">
        <v>63</v>
      </c>
      <c r="S4" s="63" t="s">
        <v>64</v>
      </c>
      <c r="T4" s="63" t="s">
        <v>65</v>
      </c>
      <c r="U4" s="63" t="s">
        <v>505</v>
      </c>
      <c r="V4" s="63" t="s">
        <v>506</v>
      </c>
    </row>
    <row r="5" spans="1:22" x14ac:dyDescent="0.25">
      <c r="A5" s="84">
        <v>3</v>
      </c>
      <c r="B5" s="86">
        <f>B3*B4</f>
        <v>16.7</v>
      </c>
      <c r="C5" s="82" t="s">
        <v>507</v>
      </c>
      <c r="D5" s="82"/>
      <c r="E5" s="82"/>
      <c r="F5" s="82"/>
      <c r="G5" s="82"/>
      <c r="H5" s="82"/>
      <c r="I5" s="82"/>
      <c r="J5" s="82"/>
      <c r="K5" s="82"/>
      <c r="N5" s="65">
        <v>1</v>
      </c>
      <c r="O5" s="66" t="s">
        <v>508</v>
      </c>
      <c r="P5" s="66" t="s">
        <v>509</v>
      </c>
      <c r="Q5" s="66">
        <v>14655995.4</v>
      </c>
      <c r="R5" s="66">
        <v>1879941.6400000001</v>
      </c>
      <c r="S5" s="66">
        <v>469768.24</v>
      </c>
      <c r="T5" s="66">
        <v>852784.28</v>
      </c>
      <c r="U5" s="66">
        <v>17858489.560000002</v>
      </c>
      <c r="V5" s="67">
        <f>Q5/U5</f>
        <v>0.82067385098608525</v>
      </c>
    </row>
    <row r="6" spans="1:22" x14ac:dyDescent="0.25">
      <c r="A6" s="84">
        <v>4</v>
      </c>
      <c r="B6" s="83"/>
      <c r="C6" s="82" t="s">
        <v>510</v>
      </c>
      <c r="D6" s="82"/>
      <c r="E6" s="82"/>
      <c r="F6" s="82"/>
      <c r="G6" s="82"/>
      <c r="H6" s="82"/>
      <c r="I6" s="82"/>
      <c r="J6" s="82"/>
      <c r="K6" s="82"/>
      <c r="N6" s="68">
        <v>2</v>
      </c>
      <c r="O6" s="63" t="s">
        <v>508</v>
      </c>
      <c r="P6" s="63" t="s">
        <v>509</v>
      </c>
      <c r="Q6" s="63">
        <v>17324132.080000002</v>
      </c>
      <c r="R6" s="63">
        <v>1270931.3999999999</v>
      </c>
      <c r="S6" s="63">
        <v>104008.88</v>
      </c>
      <c r="T6" s="63">
        <v>492518.88</v>
      </c>
      <c r="U6" s="63">
        <v>19191591.239999998</v>
      </c>
      <c r="V6" s="69">
        <f t="shared" ref="V6:V16" si="0">Q6/U6</f>
        <v>0.90269388626265901</v>
      </c>
    </row>
    <row r="7" spans="1:22" x14ac:dyDescent="0.25">
      <c r="A7" s="84"/>
      <c r="B7" s="83"/>
      <c r="C7" s="82" t="s">
        <v>62</v>
      </c>
      <c r="D7" s="82" t="s">
        <v>63</v>
      </c>
      <c r="E7" s="82" t="s">
        <v>64</v>
      </c>
      <c r="F7" s="82" t="s">
        <v>65</v>
      </c>
      <c r="G7" s="82" t="s">
        <v>100</v>
      </c>
      <c r="H7" s="82"/>
      <c r="I7" s="82"/>
      <c r="J7" s="82"/>
      <c r="K7" s="82"/>
      <c r="N7" s="68">
        <v>3</v>
      </c>
      <c r="O7" s="63" t="s">
        <v>508</v>
      </c>
      <c r="P7" s="63" t="s">
        <v>509</v>
      </c>
      <c r="Q7" s="63">
        <v>23228542.880000003</v>
      </c>
      <c r="R7" s="63">
        <v>708743.15999999992</v>
      </c>
      <c r="S7" s="63">
        <v>105171.95999999999</v>
      </c>
      <c r="T7" s="63">
        <v>338189.88</v>
      </c>
      <c r="U7" s="63">
        <v>24380647.880000003</v>
      </c>
      <c r="V7" s="69">
        <f t="shared" si="0"/>
        <v>0.95274510317893979</v>
      </c>
    </row>
    <row r="8" spans="1:22" x14ac:dyDescent="0.25">
      <c r="A8" s="84"/>
      <c r="B8" s="83"/>
      <c r="C8" s="88">
        <f>B5</f>
        <v>16.7</v>
      </c>
      <c r="D8" s="88">
        <f>$G8*R37/$U37</f>
        <v>0.37361022550492806</v>
      </c>
      <c r="E8" s="88">
        <f>$G8*S37/$U37</f>
        <v>0.65440210319321768</v>
      </c>
      <c r="F8" s="88">
        <f>$G8*T37/$U37</f>
        <v>0.39779291921416476</v>
      </c>
      <c r="G8" s="88">
        <f>C8/V37</f>
        <v>18.125805247912311</v>
      </c>
      <c r="H8" s="82"/>
      <c r="I8" s="82"/>
      <c r="J8" s="82"/>
      <c r="K8" s="82"/>
      <c r="N8" s="70">
        <v>4</v>
      </c>
      <c r="O8" s="71" t="s">
        <v>508</v>
      </c>
      <c r="P8" s="71" t="s">
        <v>509</v>
      </c>
      <c r="Q8" s="71">
        <v>4951278.96</v>
      </c>
      <c r="R8" s="71">
        <v>299999.52</v>
      </c>
      <c r="S8" s="71">
        <v>47854.080000000002</v>
      </c>
      <c r="T8" s="71">
        <v>57462.28</v>
      </c>
      <c r="U8" s="71">
        <v>5356594.8400000008</v>
      </c>
      <c r="V8" s="72">
        <f t="shared" si="0"/>
        <v>0.92433329529175279</v>
      </c>
    </row>
    <row r="9" spans="1:22" x14ac:dyDescent="0.25">
      <c r="A9" s="84">
        <v>5</v>
      </c>
      <c r="B9" s="87">
        <f>G8/B3</f>
        <v>1.812580524791231</v>
      </c>
      <c r="C9" s="82" t="s">
        <v>511</v>
      </c>
      <c r="D9" s="82"/>
      <c r="E9" s="82"/>
      <c r="F9" s="82"/>
      <c r="G9" s="82"/>
      <c r="H9" s="82"/>
      <c r="I9" s="82"/>
      <c r="J9" s="82"/>
      <c r="K9" s="82"/>
      <c r="N9" s="65">
        <v>1</v>
      </c>
      <c r="O9" s="66" t="s">
        <v>508</v>
      </c>
      <c r="P9" s="66" t="s">
        <v>512</v>
      </c>
      <c r="Q9" s="66">
        <v>5744768.2000000002</v>
      </c>
      <c r="R9" s="66">
        <v>371135.83999999997</v>
      </c>
      <c r="S9" s="66">
        <v>119275.2</v>
      </c>
      <c r="T9" s="66">
        <v>235027.40000000002</v>
      </c>
      <c r="U9" s="66">
        <v>6470206.6400000006</v>
      </c>
      <c r="V9" s="67">
        <f t="shared" si="0"/>
        <v>0.88788017441124567</v>
      </c>
    </row>
    <row r="10" spans="1:22" x14ac:dyDescent="0.25">
      <c r="B10" s="81"/>
      <c r="N10" s="68">
        <v>2</v>
      </c>
      <c r="O10" s="63" t="s">
        <v>508</v>
      </c>
      <c r="P10" s="63" t="s">
        <v>512</v>
      </c>
      <c r="Q10" s="63">
        <v>28066632.160000004</v>
      </c>
      <c r="R10" s="63">
        <v>995011.55999999994</v>
      </c>
      <c r="S10" s="63">
        <v>196665.40000000002</v>
      </c>
      <c r="T10" s="63">
        <v>752734.6399999999</v>
      </c>
      <c r="U10" s="63">
        <v>30011043.759999994</v>
      </c>
      <c r="V10" s="69">
        <f t="shared" si="0"/>
        <v>0.93521013079219906</v>
      </c>
    </row>
    <row r="11" spans="1:22" x14ac:dyDescent="0.25">
      <c r="B11" s="81"/>
      <c r="N11" s="68">
        <v>3</v>
      </c>
      <c r="O11" s="63" t="s">
        <v>508</v>
      </c>
      <c r="P11" s="63" t="s">
        <v>512</v>
      </c>
      <c r="Q11" s="63">
        <v>61654591.32</v>
      </c>
      <c r="R11" s="63">
        <v>1642444.9200000002</v>
      </c>
      <c r="S11" s="63">
        <v>265137.32</v>
      </c>
      <c r="T11" s="63">
        <v>835143.6399999999</v>
      </c>
      <c r="U11" s="63">
        <v>64397317.200000003</v>
      </c>
      <c r="V11" s="69">
        <f t="shared" si="0"/>
        <v>0.95740931456070033</v>
      </c>
    </row>
    <row r="12" spans="1:22" x14ac:dyDescent="0.25">
      <c r="B12" s="81"/>
      <c r="N12" s="70">
        <v>4</v>
      </c>
      <c r="O12" s="71" t="s">
        <v>508</v>
      </c>
      <c r="P12" s="71" t="s">
        <v>512</v>
      </c>
      <c r="Q12" s="71">
        <v>10479765.68</v>
      </c>
      <c r="R12" s="71">
        <v>390049.36</v>
      </c>
      <c r="S12" s="71">
        <v>71264.88</v>
      </c>
      <c r="T12" s="71">
        <v>95985.68</v>
      </c>
      <c r="U12" s="71">
        <v>11037065.6</v>
      </c>
      <c r="V12" s="72">
        <f t="shared" si="0"/>
        <v>0.94950651376032413</v>
      </c>
    </row>
    <row r="13" spans="1:22" x14ac:dyDescent="0.25">
      <c r="B13" s="81"/>
      <c r="N13" s="65">
        <v>1</v>
      </c>
      <c r="O13" s="66" t="s">
        <v>508</v>
      </c>
      <c r="P13" s="66" t="s">
        <v>508</v>
      </c>
      <c r="Q13" s="66">
        <v>20400763.600000001</v>
      </c>
      <c r="R13" s="66">
        <v>2251077.48</v>
      </c>
      <c r="S13" s="66">
        <v>589043.43999999994</v>
      </c>
      <c r="T13" s="66">
        <v>1087811.6800000002</v>
      </c>
      <c r="U13" s="66">
        <v>24328696.200000003</v>
      </c>
      <c r="V13" s="67">
        <f t="shared" si="0"/>
        <v>0.83854734476071102</v>
      </c>
    </row>
    <row r="14" spans="1:22" x14ac:dyDescent="0.25">
      <c r="B14" s="81"/>
      <c r="N14" s="68">
        <v>2</v>
      </c>
      <c r="O14" s="63" t="s">
        <v>508</v>
      </c>
      <c r="P14" s="63" t="s">
        <v>508</v>
      </c>
      <c r="Q14" s="63">
        <v>45390764.240000002</v>
      </c>
      <c r="R14" s="63">
        <v>2265942.96</v>
      </c>
      <c r="S14" s="63">
        <v>300674.28000000003</v>
      </c>
      <c r="T14" s="63">
        <v>1245253.52</v>
      </c>
      <c r="U14" s="63">
        <v>49202635.000000007</v>
      </c>
      <c r="V14" s="69">
        <f t="shared" si="0"/>
        <v>0.92252710124163051</v>
      </c>
    </row>
    <row r="15" spans="1:22" x14ac:dyDescent="0.25">
      <c r="B15" s="81"/>
      <c r="N15" s="68">
        <v>3</v>
      </c>
      <c r="O15" s="63" t="s">
        <v>508</v>
      </c>
      <c r="P15" s="63" t="s">
        <v>508</v>
      </c>
      <c r="Q15" s="63">
        <v>84883134.200000003</v>
      </c>
      <c r="R15" s="63">
        <v>2351188.08</v>
      </c>
      <c r="S15" s="63">
        <v>370309.28000000009</v>
      </c>
      <c r="T15" s="63">
        <v>1173333.52</v>
      </c>
      <c r="U15" s="63">
        <v>88777965.079999998</v>
      </c>
      <c r="V15" s="69">
        <f t="shared" si="0"/>
        <v>0.95612840555096901</v>
      </c>
    </row>
    <row r="16" spans="1:22" x14ac:dyDescent="0.25">
      <c r="B16" s="81"/>
      <c r="N16" s="70">
        <v>4</v>
      </c>
      <c r="O16" s="71" t="s">
        <v>508</v>
      </c>
      <c r="P16" s="71" t="s">
        <v>508</v>
      </c>
      <c r="Q16" s="71">
        <v>15431044.640000001</v>
      </c>
      <c r="R16" s="71">
        <v>690048.88</v>
      </c>
      <c r="S16" s="71">
        <v>119118.96</v>
      </c>
      <c r="T16" s="71">
        <v>153447.96</v>
      </c>
      <c r="U16" s="71">
        <v>16393660.440000001</v>
      </c>
      <c r="V16" s="72">
        <f t="shared" si="0"/>
        <v>0.94128121638708284</v>
      </c>
    </row>
    <row r="17" spans="2:23" x14ac:dyDescent="0.25">
      <c r="B17" s="81"/>
    </row>
    <row r="18" spans="2:23" x14ac:dyDescent="0.25">
      <c r="B18" s="81"/>
      <c r="N18" s="73">
        <f>N11</f>
        <v>3</v>
      </c>
      <c r="O18" s="73" t="str">
        <f t="shared" ref="O18:U18" si="1">O11</f>
        <v>All</v>
      </c>
      <c r="P18" s="73" t="str">
        <f t="shared" si="1"/>
        <v>No</v>
      </c>
      <c r="Q18" s="73">
        <f t="shared" si="1"/>
        <v>61654591.32</v>
      </c>
      <c r="R18" s="73">
        <f t="shared" si="1"/>
        <v>1642444.9200000002</v>
      </c>
      <c r="S18" s="73">
        <f t="shared" si="1"/>
        <v>265137.32</v>
      </c>
      <c r="T18" s="73">
        <f t="shared" si="1"/>
        <v>835143.6399999999</v>
      </c>
      <c r="U18" s="73">
        <f t="shared" si="1"/>
        <v>64397317.200000003</v>
      </c>
      <c r="V18" s="74">
        <f>MAX(V5:V16)</f>
        <v>0.95740931456070033</v>
      </c>
      <c r="W18" s="73" t="s">
        <v>513</v>
      </c>
    </row>
    <row r="19" spans="2:23" x14ac:dyDescent="0.25">
      <c r="B19" s="81"/>
      <c r="N19" s="73"/>
      <c r="O19" s="73"/>
      <c r="P19" s="73"/>
      <c r="Q19" s="73"/>
      <c r="R19" s="73"/>
      <c r="S19" s="73"/>
      <c r="T19" s="73"/>
      <c r="U19" s="73"/>
      <c r="V19" s="74"/>
      <c r="W19" s="73"/>
    </row>
    <row r="20" spans="2:23" x14ac:dyDescent="0.25">
      <c r="B20" s="81"/>
    </row>
    <row r="21" spans="2:23" x14ac:dyDescent="0.25">
      <c r="B21" s="81"/>
      <c r="N21" s="63" t="s">
        <v>514</v>
      </c>
    </row>
    <row r="22" spans="2:23" x14ac:dyDescent="0.25">
      <c r="B22" s="81"/>
      <c r="N22" s="63" t="s">
        <v>500</v>
      </c>
      <c r="Q22" s="63" t="s">
        <v>501</v>
      </c>
    </row>
    <row r="23" spans="2:23" x14ac:dyDescent="0.25">
      <c r="B23" s="81"/>
      <c r="N23" s="63" t="s">
        <v>55</v>
      </c>
      <c r="O23" s="63" t="s">
        <v>503</v>
      </c>
      <c r="P23" s="63" t="s">
        <v>504</v>
      </c>
      <c r="Q23" s="63" t="s">
        <v>62</v>
      </c>
      <c r="R23" s="63" t="s">
        <v>63</v>
      </c>
      <c r="S23" s="63" t="s">
        <v>64</v>
      </c>
      <c r="T23" s="63" t="s">
        <v>65</v>
      </c>
      <c r="U23" s="63" t="s">
        <v>505</v>
      </c>
      <c r="V23" s="63" t="s">
        <v>515</v>
      </c>
    </row>
    <row r="24" spans="2:23" x14ac:dyDescent="0.25">
      <c r="N24" s="65">
        <v>1</v>
      </c>
      <c r="O24" s="66" t="s">
        <v>508</v>
      </c>
      <c r="P24" s="66" t="s">
        <v>509</v>
      </c>
      <c r="Q24" s="66">
        <v>1954980</v>
      </c>
      <c r="R24" s="66">
        <v>274636</v>
      </c>
      <c r="S24" s="66">
        <v>568144</v>
      </c>
      <c r="T24" s="66">
        <v>237848</v>
      </c>
      <c r="U24" s="66">
        <v>3035608</v>
      </c>
      <c r="V24" s="67">
        <f>Q24/U24</f>
        <v>0.64401595989996074</v>
      </c>
    </row>
    <row r="25" spans="2:23" x14ac:dyDescent="0.25">
      <c r="N25" s="68">
        <v>2</v>
      </c>
      <c r="O25" s="63" t="s">
        <v>508</v>
      </c>
      <c r="P25" s="63" t="s">
        <v>509</v>
      </c>
      <c r="Q25" s="63">
        <v>2268120</v>
      </c>
      <c r="R25" s="63">
        <v>150392</v>
      </c>
      <c r="S25" s="63">
        <v>109364</v>
      </c>
      <c r="T25" s="63">
        <v>97488</v>
      </c>
      <c r="U25" s="63">
        <v>2625364</v>
      </c>
      <c r="V25" s="69">
        <f t="shared" ref="V25:V35" si="2">Q25/U25</f>
        <v>0.86392591655861817</v>
      </c>
    </row>
    <row r="26" spans="2:23" x14ac:dyDescent="0.25">
      <c r="N26" s="68">
        <v>3</v>
      </c>
      <c r="O26" s="63" t="s">
        <v>508</v>
      </c>
      <c r="P26" s="63" t="s">
        <v>509</v>
      </c>
      <c r="Q26" s="63">
        <v>3009756</v>
      </c>
      <c r="R26" s="63">
        <v>79512</v>
      </c>
      <c r="S26" s="63">
        <v>116492</v>
      </c>
      <c r="T26" s="63">
        <v>73072</v>
      </c>
      <c r="U26" s="63">
        <v>3278832</v>
      </c>
      <c r="V26" s="69">
        <f t="shared" si="2"/>
        <v>0.9179354111464082</v>
      </c>
    </row>
    <row r="27" spans="2:23" x14ac:dyDescent="0.25">
      <c r="N27" s="70">
        <v>4</v>
      </c>
      <c r="O27" s="71" t="s">
        <v>508</v>
      </c>
      <c r="P27" s="71" t="s">
        <v>509</v>
      </c>
      <c r="Q27" s="71">
        <v>696916</v>
      </c>
      <c r="R27" s="71">
        <v>24088</v>
      </c>
      <c r="S27" s="71">
        <v>54896</v>
      </c>
      <c r="T27" s="71">
        <v>18616</v>
      </c>
      <c r="U27" s="71">
        <v>794516</v>
      </c>
      <c r="V27" s="72">
        <f t="shared" si="2"/>
        <v>0.87715791752463135</v>
      </c>
    </row>
    <row r="28" spans="2:23" x14ac:dyDescent="0.25">
      <c r="N28" s="65">
        <v>1</v>
      </c>
      <c r="O28" s="66" t="s">
        <v>508</v>
      </c>
      <c r="P28" s="66" t="s">
        <v>512</v>
      </c>
      <c r="Q28" s="66">
        <v>754392</v>
      </c>
      <c r="R28" s="66">
        <v>56944</v>
      </c>
      <c r="S28" s="66">
        <v>132928</v>
      </c>
      <c r="T28" s="66">
        <v>61368</v>
      </c>
      <c r="U28" s="66">
        <v>1005632</v>
      </c>
      <c r="V28" s="67">
        <f t="shared" si="2"/>
        <v>0.75016705912301918</v>
      </c>
    </row>
    <row r="29" spans="2:23" x14ac:dyDescent="0.25">
      <c r="N29" s="68">
        <v>2</v>
      </c>
      <c r="O29" s="63" t="s">
        <v>508</v>
      </c>
      <c r="P29" s="63" t="s">
        <v>512</v>
      </c>
      <c r="Q29" s="63">
        <v>3705300</v>
      </c>
      <c r="R29" s="63">
        <v>135796</v>
      </c>
      <c r="S29" s="63">
        <v>206124</v>
      </c>
      <c r="T29" s="63">
        <v>155416</v>
      </c>
      <c r="U29" s="63">
        <v>4202636</v>
      </c>
      <c r="V29" s="69">
        <f t="shared" si="2"/>
        <v>0.88166093851573157</v>
      </c>
    </row>
    <row r="30" spans="2:23" x14ac:dyDescent="0.25">
      <c r="N30" s="68">
        <v>3</v>
      </c>
      <c r="O30" s="63" t="s">
        <v>508</v>
      </c>
      <c r="P30" s="63" t="s">
        <v>512</v>
      </c>
      <c r="Q30" s="63">
        <v>7546620</v>
      </c>
      <c r="R30" s="63">
        <v>168832</v>
      </c>
      <c r="S30" s="63">
        <v>295720</v>
      </c>
      <c r="T30" s="63">
        <v>179760</v>
      </c>
      <c r="U30" s="63">
        <v>8190932</v>
      </c>
      <c r="V30" s="69">
        <f t="shared" si="2"/>
        <v>0.92133837761075299</v>
      </c>
    </row>
    <row r="31" spans="2:23" x14ac:dyDescent="0.25">
      <c r="N31" s="70">
        <v>4</v>
      </c>
      <c r="O31" s="71" t="s">
        <v>508</v>
      </c>
      <c r="P31" s="71" t="s">
        <v>512</v>
      </c>
      <c r="Q31" s="71">
        <v>1189404</v>
      </c>
      <c r="R31" s="71">
        <v>24936</v>
      </c>
      <c r="S31" s="71">
        <v>84456</v>
      </c>
      <c r="T31" s="71">
        <v>28600</v>
      </c>
      <c r="U31" s="71">
        <v>1327396</v>
      </c>
      <c r="V31" s="72">
        <f t="shared" si="2"/>
        <v>0.89604307983450304</v>
      </c>
    </row>
    <row r="32" spans="2:23" x14ac:dyDescent="0.25">
      <c r="N32" s="65">
        <v>1</v>
      </c>
      <c r="O32" s="66" t="s">
        <v>508</v>
      </c>
      <c r="P32" s="66" t="s">
        <v>508</v>
      </c>
      <c r="Q32" s="66">
        <v>2709372</v>
      </c>
      <c r="R32" s="66">
        <v>331580</v>
      </c>
      <c r="S32" s="66">
        <v>701072</v>
      </c>
      <c r="T32" s="66">
        <v>299216</v>
      </c>
      <c r="U32" s="66">
        <v>4041240</v>
      </c>
      <c r="V32" s="67">
        <f t="shared" si="2"/>
        <v>0.67043085785550971</v>
      </c>
    </row>
    <row r="33" spans="14:23" x14ac:dyDescent="0.25">
      <c r="N33" s="68">
        <v>2</v>
      </c>
      <c r="O33" s="63" t="s">
        <v>508</v>
      </c>
      <c r="P33" s="63" t="s">
        <v>508</v>
      </c>
      <c r="Q33" s="63">
        <v>5973420</v>
      </c>
      <c r="R33" s="63">
        <v>286188</v>
      </c>
      <c r="S33" s="63">
        <v>315488</v>
      </c>
      <c r="T33" s="63">
        <v>252904</v>
      </c>
      <c r="U33" s="63">
        <v>6828000</v>
      </c>
      <c r="V33" s="69">
        <f t="shared" si="2"/>
        <v>0.87484182776801411</v>
      </c>
    </row>
    <row r="34" spans="14:23" x14ac:dyDescent="0.25">
      <c r="N34" s="68">
        <v>3</v>
      </c>
      <c r="O34" s="63" t="s">
        <v>508</v>
      </c>
      <c r="P34" s="63" t="s">
        <v>508</v>
      </c>
      <c r="Q34" s="63">
        <v>10556376</v>
      </c>
      <c r="R34" s="63">
        <v>248344</v>
      </c>
      <c r="S34" s="63">
        <v>412212</v>
      </c>
      <c r="T34" s="63">
        <v>252832</v>
      </c>
      <c r="U34" s="63">
        <v>11469764</v>
      </c>
      <c r="V34" s="69">
        <f t="shared" si="2"/>
        <v>0.92036558032057159</v>
      </c>
    </row>
    <row r="35" spans="14:23" x14ac:dyDescent="0.25">
      <c r="N35" s="70">
        <v>4</v>
      </c>
      <c r="O35" s="71" t="s">
        <v>508</v>
      </c>
      <c r="P35" s="71" t="s">
        <v>508</v>
      </c>
      <c r="Q35" s="71">
        <v>1886320</v>
      </c>
      <c r="R35" s="71">
        <v>49024</v>
      </c>
      <c r="S35" s="71">
        <v>139352</v>
      </c>
      <c r="T35" s="71">
        <v>47216</v>
      </c>
      <c r="U35" s="71">
        <v>2121912</v>
      </c>
      <c r="V35" s="72">
        <f t="shared" si="2"/>
        <v>0.88897183295065962</v>
      </c>
    </row>
    <row r="37" spans="14:23" x14ac:dyDescent="0.25">
      <c r="N37" s="73">
        <f>N30</f>
        <v>3</v>
      </c>
      <c r="O37" s="73" t="str">
        <f t="shared" ref="O37:T37" si="3">O30</f>
        <v>All</v>
      </c>
      <c r="P37" s="73" t="str">
        <f t="shared" si="3"/>
        <v>No</v>
      </c>
      <c r="Q37" s="73">
        <f t="shared" si="3"/>
        <v>7546620</v>
      </c>
      <c r="R37" s="73">
        <f t="shared" si="3"/>
        <v>168832</v>
      </c>
      <c r="S37" s="73">
        <f t="shared" si="3"/>
        <v>295720</v>
      </c>
      <c r="T37" s="73">
        <f t="shared" si="3"/>
        <v>179760</v>
      </c>
      <c r="U37" s="73">
        <f>U30</f>
        <v>8190932</v>
      </c>
      <c r="V37" s="74">
        <f>MAX(V24:V35)</f>
        <v>0.92133837761075299</v>
      </c>
      <c r="W37" s="73" t="s">
        <v>513</v>
      </c>
    </row>
    <row r="41" spans="14:23" x14ac:dyDescent="0.25">
      <c r="N41" s="63" t="s">
        <v>516</v>
      </c>
    </row>
    <row r="43" spans="14:23" x14ac:dyDescent="0.25">
      <c r="N43" s="75" t="s">
        <v>55</v>
      </c>
      <c r="O43" s="75" t="s">
        <v>503</v>
      </c>
      <c r="P43" s="75" t="s">
        <v>504</v>
      </c>
      <c r="Q43" s="61" t="s">
        <v>62</v>
      </c>
      <c r="R43" s="62" t="s">
        <v>63</v>
      </c>
      <c r="S43" s="62" t="s">
        <v>64</v>
      </c>
      <c r="T43" s="62" t="s">
        <v>65</v>
      </c>
      <c r="U43" s="62" t="s">
        <v>505</v>
      </c>
    </row>
    <row r="44" spans="14:23" x14ac:dyDescent="0.25">
      <c r="N44" s="65">
        <v>1</v>
      </c>
      <c r="O44" s="66" t="s">
        <v>508</v>
      </c>
      <c r="P44" s="76" t="s">
        <v>509</v>
      </c>
      <c r="Q44" s="77">
        <v>7.4967495319645217</v>
      </c>
      <c r="R44" s="77">
        <v>6.8452119896881696</v>
      </c>
      <c r="S44" s="77">
        <v>0.82684713734546167</v>
      </c>
      <c r="T44" s="77">
        <v>3.5854170730886956</v>
      </c>
      <c r="U44" s="77">
        <v>5.8830025352417055</v>
      </c>
    </row>
    <row r="45" spans="14:23" x14ac:dyDescent="0.25">
      <c r="N45" s="68">
        <v>2</v>
      </c>
      <c r="O45" s="63" t="s">
        <v>508</v>
      </c>
      <c r="P45" s="78" t="s">
        <v>509</v>
      </c>
      <c r="Q45" s="77">
        <v>7.6381020757279163</v>
      </c>
      <c r="R45" s="77">
        <v>8.4507912654928443</v>
      </c>
      <c r="S45" s="77">
        <v>0.95103397827438652</v>
      </c>
      <c r="T45" s="77">
        <v>5.0520974889217136</v>
      </c>
      <c r="U45" s="77">
        <v>7.3100687142811429</v>
      </c>
    </row>
    <row r="46" spans="14:23" x14ac:dyDescent="0.25">
      <c r="N46" s="68">
        <v>3</v>
      </c>
      <c r="O46" s="63" t="s">
        <v>508</v>
      </c>
      <c r="P46" s="78" t="s">
        <v>509</v>
      </c>
      <c r="Q46" s="77">
        <v>7.7177495052755116</v>
      </c>
      <c r="R46" s="77">
        <v>8.9136628433443992</v>
      </c>
      <c r="S46" s="77">
        <v>0.90282560175806059</v>
      </c>
      <c r="T46" s="77">
        <v>4.6281733085176269</v>
      </c>
      <c r="U46" s="77">
        <v>7.4357722140079154</v>
      </c>
    </row>
    <row r="47" spans="14:23" x14ac:dyDescent="0.25">
      <c r="N47" s="70">
        <v>4</v>
      </c>
      <c r="O47" s="71" t="s">
        <v>508</v>
      </c>
      <c r="P47" s="79" t="s">
        <v>509</v>
      </c>
      <c r="Q47" s="77">
        <v>7.1045563023377278</v>
      </c>
      <c r="R47" s="77">
        <v>12.454314181335105</v>
      </c>
      <c r="S47" s="77">
        <v>0.87172252987467214</v>
      </c>
      <c r="T47" s="77">
        <v>3.0867146540610229</v>
      </c>
      <c r="U47" s="77">
        <v>6.7419596836312934</v>
      </c>
    </row>
    <row r="48" spans="14:23" x14ac:dyDescent="0.25">
      <c r="N48" s="68">
        <v>1</v>
      </c>
      <c r="O48" s="63" t="s">
        <v>508</v>
      </c>
      <c r="P48" s="78" t="s">
        <v>512</v>
      </c>
      <c r="Q48" s="80">
        <v>7.6150969257362222</v>
      </c>
      <c r="R48" s="80">
        <v>6.5175583028940709</v>
      </c>
      <c r="S48" s="80">
        <v>0.89729176697159363</v>
      </c>
      <c r="T48" s="80">
        <v>3.8298038065441276</v>
      </c>
      <c r="U48" s="80">
        <v>6.4339705180423863</v>
      </c>
    </row>
    <row r="49" spans="14:21" x14ac:dyDescent="0.25">
      <c r="N49" s="68">
        <v>2</v>
      </c>
      <c r="O49" s="63" t="s">
        <v>508</v>
      </c>
      <c r="P49" s="78" t="s">
        <v>512</v>
      </c>
      <c r="Q49" s="77">
        <v>7.5747259763042143</v>
      </c>
      <c r="R49" s="77">
        <v>7.3272523491119026</v>
      </c>
      <c r="S49" s="77">
        <v>0.95411208786943791</v>
      </c>
      <c r="T49" s="77">
        <v>4.8433535800689755</v>
      </c>
      <c r="U49" s="77">
        <v>7.1410047789054287</v>
      </c>
    </row>
    <row r="50" spans="14:21" x14ac:dyDescent="0.25">
      <c r="N50" s="68">
        <v>3</v>
      </c>
      <c r="O50" s="63" t="s">
        <v>508</v>
      </c>
      <c r="P50" s="78" t="s">
        <v>512</v>
      </c>
      <c r="Q50" s="77">
        <v>8.1698285219078208</v>
      </c>
      <c r="R50" s="77">
        <v>9.7282797100075822</v>
      </c>
      <c r="S50" s="77">
        <v>0.89658230758825919</v>
      </c>
      <c r="T50" s="77">
        <v>4.6458813974187798</v>
      </c>
      <c r="U50" s="77">
        <v>7.8620256156442272</v>
      </c>
    </row>
    <row r="51" spans="14:21" x14ac:dyDescent="0.25">
      <c r="N51" s="70">
        <v>4</v>
      </c>
      <c r="O51" s="71" t="s">
        <v>508</v>
      </c>
      <c r="P51" s="79" t="s">
        <v>512</v>
      </c>
      <c r="Q51" s="77">
        <v>8.8109386549902293</v>
      </c>
      <c r="R51" s="77">
        <v>15.642017965992942</v>
      </c>
      <c r="S51" s="77">
        <v>0.84381074168797965</v>
      </c>
      <c r="T51" s="77">
        <v>3.3561426573426569</v>
      </c>
      <c r="U51" s="77">
        <v>8.3148251162426288</v>
      </c>
    </row>
    <row r="52" spans="14:21" x14ac:dyDescent="0.25">
      <c r="N52" s="65">
        <v>1</v>
      </c>
      <c r="O52" s="66" t="s">
        <v>508</v>
      </c>
      <c r="P52" s="76" t="s">
        <v>508</v>
      </c>
      <c r="Q52" s="77">
        <v>7.5297019383089516</v>
      </c>
      <c r="R52" s="77">
        <v>6.7889422763737262</v>
      </c>
      <c r="S52" s="77">
        <v>0.84020391628819857</v>
      </c>
      <c r="T52" s="77">
        <v>3.6355398107053105</v>
      </c>
      <c r="U52" s="77">
        <v>6.0201067494135474</v>
      </c>
    </row>
    <row r="53" spans="14:21" x14ac:dyDescent="0.25">
      <c r="N53" s="68">
        <v>2</v>
      </c>
      <c r="O53" s="63" t="s">
        <v>508</v>
      </c>
      <c r="P53" s="78" t="s">
        <v>508</v>
      </c>
      <c r="Q53" s="77">
        <v>7.5987900130913282</v>
      </c>
      <c r="R53" s="77">
        <v>7.9176728584007714</v>
      </c>
      <c r="S53" s="77">
        <v>0.95304506035094849</v>
      </c>
      <c r="T53" s="77">
        <v>4.9238189985132701</v>
      </c>
      <c r="U53" s="77">
        <v>7.2060098125366148</v>
      </c>
    </row>
    <row r="54" spans="14:21" x14ac:dyDescent="0.25">
      <c r="N54" s="68">
        <v>3</v>
      </c>
      <c r="O54" s="63" t="s">
        <v>508</v>
      </c>
      <c r="P54" s="78" t="s">
        <v>508</v>
      </c>
      <c r="Q54" s="77">
        <v>8.0409350898452274</v>
      </c>
      <c r="R54" s="77">
        <v>9.4674648068807787</v>
      </c>
      <c r="S54" s="77">
        <v>0.89834667598226181</v>
      </c>
      <c r="T54" s="77">
        <v>4.6407635109479815</v>
      </c>
      <c r="U54" s="77">
        <v>7.7401736496060423</v>
      </c>
    </row>
    <row r="55" spans="14:21" x14ac:dyDescent="0.25">
      <c r="N55" s="70">
        <v>4</v>
      </c>
      <c r="O55" s="71" t="s">
        <v>508</v>
      </c>
      <c r="P55" s="79" t="s">
        <v>508</v>
      </c>
      <c r="Q55" s="77">
        <v>8.1805020569150511</v>
      </c>
      <c r="R55" s="77">
        <v>14.075735966057442</v>
      </c>
      <c r="S55" s="77">
        <v>0.85480624605316036</v>
      </c>
      <c r="T55" s="77">
        <v>3.2499144357844796</v>
      </c>
      <c r="U55" s="7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K132"/>
  <sheetViews>
    <sheetView workbookViewId="0"/>
  </sheetViews>
  <sheetFormatPr defaultColWidth="9" defaultRowHeight="15.75" x14ac:dyDescent="0.25"/>
  <cols>
    <col min="1" max="2" width="10.85546875" customWidth="1"/>
    <col min="3" max="3" width="23" customWidth="1"/>
    <col min="4" max="6" width="15.85546875" customWidth="1"/>
    <col min="7" max="7" width="17.5703125" customWidth="1"/>
    <col min="8" max="8" width="11.85546875" customWidth="1"/>
    <col min="9" max="9" width="11.140625" customWidth="1"/>
    <col min="10" max="10" width="12.85546875" customWidth="1"/>
    <col min="11" max="11" width="12" customWidth="1"/>
  </cols>
  <sheetData>
    <row r="1" spans="1:10" x14ac:dyDescent="0.25">
      <c r="A1" t="s">
        <v>517</v>
      </c>
    </row>
    <row r="5" spans="1:10" ht="94.5" x14ac:dyDescent="0.25">
      <c r="A5" t="s">
        <v>78</v>
      </c>
      <c r="B5" t="s">
        <v>79</v>
      </c>
      <c r="C5" t="s">
        <v>80</v>
      </c>
      <c r="D5" s="790" t="s">
        <v>518</v>
      </c>
      <c r="E5" s="790" t="s">
        <v>519</v>
      </c>
      <c r="F5" s="790" t="s">
        <v>520</v>
      </c>
      <c r="G5" s="790" t="s">
        <v>521</v>
      </c>
      <c r="H5" s="790" t="s">
        <v>522</v>
      </c>
      <c r="I5" s="790" t="s">
        <v>523</v>
      </c>
      <c r="J5" s="790" t="s">
        <v>524</v>
      </c>
    </row>
    <row r="6" spans="1:10" x14ac:dyDescent="0.25">
      <c r="A6" t="s">
        <v>435</v>
      </c>
    </row>
    <row r="7" spans="1:10" x14ac:dyDescent="0.25">
      <c r="A7">
        <v>30</v>
      </c>
      <c r="B7" t="s">
        <v>132</v>
      </c>
      <c r="C7" t="s">
        <v>112</v>
      </c>
      <c r="E7" s="2">
        <f>IF(D7&gt;0,VLOOKUP(D7,SurveyTripLengthsAndPassBy!D$3:F$15,3),0)+1</f>
        <v>1</v>
      </c>
      <c r="F7" s="2">
        <v>0.5</v>
      </c>
      <c r="G7" s="2">
        <f>(1-F7)+E7*F7</f>
        <v>1</v>
      </c>
      <c r="H7" s="2">
        <f>G7</f>
        <v>1</v>
      </c>
      <c r="I7" s="138"/>
      <c r="J7" s="2">
        <f>1-IF(I7&gt;0,VLOOKUP(I7,SurveyTripLengthsAndPassBy!D$3:I$15,6),0)</f>
        <v>1</v>
      </c>
    </row>
    <row r="8" spans="1:10" x14ac:dyDescent="0.25">
      <c r="A8" t="s">
        <v>437</v>
      </c>
      <c r="H8" s="2"/>
      <c r="I8" s="138"/>
      <c r="J8" s="2"/>
    </row>
    <row r="9" spans="1:10" x14ac:dyDescent="0.25">
      <c r="A9">
        <v>110</v>
      </c>
      <c r="B9" t="s">
        <v>136</v>
      </c>
      <c r="C9" t="s">
        <v>112</v>
      </c>
      <c r="E9" s="2">
        <f>IF(D9&gt;0,VLOOKUP(D9,SurveyTripLengthsAndPassBy!D$3:F$15,3),0)+1</f>
        <v>1</v>
      </c>
      <c r="F9" s="2">
        <v>0.5</v>
      </c>
      <c r="G9" s="2">
        <f t="shared" ref="G9:G15" si="0">(1-F9)+E9*F9</f>
        <v>1</v>
      </c>
      <c r="H9" s="2">
        <f t="shared" ref="H9:H15" si="1">G9</f>
        <v>1</v>
      </c>
      <c r="I9" s="138"/>
      <c r="J9" s="2">
        <f>1-IF(I9&gt;0,VLOOKUP(I9,SurveyTripLengthsAndPassBy!D$3:I$15,6),0)</f>
        <v>1</v>
      </c>
    </row>
    <row r="10" spans="1:10" x14ac:dyDescent="0.25">
      <c r="A10">
        <v>130</v>
      </c>
      <c r="B10" t="s">
        <v>138</v>
      </c>
      <c r="C10" t="s">
        <v>112</v>
      </c>
      <c r="E10" s="2">
        <f>IF(D10&gt;0,VLOOKUP(D10,SurveyTripLengthsAndPassBy!D$3:F$15,3),0)+1</f>
        <v>1</v>
      </c>
      <c r="F10" s="2">
        <v>0.5</v>
      </c>
      <c r="G10" s="2">
        <f t="shared" si="0"/>
        <v>1</v>
      </c>
      <c r="H10" s="2">
        <f t="shared" si="1"/>
        <v>1</v>
      </c>
      <c r="I10" s="138"/>
      <c r="J10" s="2">
        <f>1-IF(I10&gt;0,VLOOKUP(I10,SurveyTripLengthsAndPassBy!D$3:I$15,6),0)</f>
        <v>1</v>
      </c>
    </row>
    <row r="11" spans="1:10" x14ac:dyDescent="0.25">
      <c r="A11">
        <v>140</v>
      </c>
      <c r="B11" t="s">
        <v>140</v>
      </c>
      <c r="C11" t="s">
        <v>112</v>
      </c>
      <c r="E11" s="2">
        <f>IF(D11&gt;0,VLOOKUP(D11,SurveyTripLengthsAndPassBy!D$3:F$15,3),0)+1</f>
        <v>1</v>
      </c>
      <c r="F11" s="2">
        <v>0.5</v>
      </c>
      <c r="G11" s="2">
        <f t="shared" si="0"/>
        <v>1</v>
      </c>
      <c r="H11" s="2">
        <f t="shared" si="1"/>
        <v>1</v>
      </c>
      <c r="I11" s="138"/>
      <c r="J11" s="2">
        <f>1-IF(I11&gt;0,VLOOKUP(I11,SurveyTripLengthsAndPassBy!D$3:I$15,6),0)</f>
        <v>1</v>
      </c>
    </row>
    <row r="12" spans="1:10" x14ac:dyDescent="0.25">
      <c r="A12">
        <v>150</v>
      </c>
      <c r="B12" t="s">
        <v>142</v>
      </c>
      <c r="C12" t="s">
        <v>112</v>
      </c>
      <c r="E12" s="2">
        <f>IF(D12&gt;0,VLOOKUP(D12,SurveyTripLengthsAndPassBy!D$3:F$15,3),0)+1</f>
        <v>1</v>
      </c>
      <c r="F12" s="2">
        <v>0.5</v>
      </c>
      <c r="G12" s="2">
        <f t="shared" si="0"/>
        <v>1</v>
      </c>
      <c r="H12" s="2">
        <f t="shared" si="1"/>
        <v>1</v>
      </c>
      <c r="I12" s="138"/>
      <c r="J12" s="2">
        <f>1-IF(I12&gt;0,VLOOKUP(I12,SurveyTripLengthsAndPassBy!D$3:I$15,6),0)</f>
        <v>1</v>
      </c>
    </row>
    <row r="13" spans="1:10" x14ac:dyDescent="0.25">
      <c r="A13">
        <v>151</v>
      </c>
      <c r="B13" t="s">
        <v>144</v>
      </c>
      <c r="C13" t="s">
        <v>112</v>
      </c>
      <c r="E13" s="2">
        <f>IF(D13&gt;0,VLOOKUP(D13,SurveyTripLengthsAndPassBy!D$3:F$15,3),0)+1</f>
        <v>1</v>
      </c>
      <c r="F13" s="2">
        <v>0.5</v>
      </c>
      <c r="G13" s="2">
        <f t="shared" si="0"/>
        <v>1</v>
      </c>
      <c r="H13" s="2">
        <f t="shared" si="1"/>
        <v>1</v>
      </c>
      <c r="I13" s="138"/>
      <c r="J13" s="2">
        <f>1-IF(I13&gt;0,VLOOKUP(I13,SurveyTripLengthsAndPassBy!D$3:I$15,6),0)</f>
        <v>1</v>
      </c>
    </row>
    <row r="14" spans="1:10" x14ac:dyDescent="0.25">
      <c r="A14">
        <v>160</v>
      </c>
      <c r="B14" t="s">
        <v>146</v>
      </c>
      <c r="C14" t="s">
        <v>112</v>
      </c>
      <c r="E14" s="2">
        <f>IF(D14&gt;0,VLOOKUP(D14,SurveyTripLengthsAndPassBy!D$3:F$15,3),0)+1</f>
        <v>1</v>
      </c>
      <c r="F14" s="2">
        <v>0.5</v>
      </c>
      <c r="G14" s="2">
        <f t="shared" si="0"/>
        <v>1</v>
      </c>
      <c r="H14" s="2">
        <f t="shared" si="1"/>
        <v>1</v>
      </c>
      <c r="I14" s="138"/>
      <c r="J14" s="2">
        <f>1-IF(I14&gt;0,VLOOKUP(I14,SurveyTripLengthsAndPassBy!D$3:I$15,6),0)</f>
        <v>1</v>
      </c>
    </row>
    <row r="15" spans="1:10" x14ac:dyDescent="0.25">
      <c r="A15">
        <v>170</v>
      </c>
      <c r="B15" t="s">
        <v>148</v>
      </c>
      <c r="C15" t="s">
        <v>112</v>
      </c>
      <c r="E15" s="2">
        <f>IF(D15&gt;0,VLOOKUP(D15,SurveyTripLengthsAndPassBy!D$3:F$15,3),0)+1</f>
        <v>1</v>
      </c>
      <c r="F15" s="2">
        <v>0.5</v>
      </c>
      <c r="G15" s="2">
        <f t="shared" si="0"/>
        <v>1</v>
      </c>
      <c r="H15" s="2">
        <f t="shared" si="1"/>
        <v>1</v>
      </c>
      <c r="I15" s="138"/>
      <c r="J15" s="2">
        <f>1-IF(I15&gt;0,VLOOKUP(I15,SurveyTripLengthsAndPassBy!D$3:I$15,6),0)</f>
        <v>1</v>
      </c>
    </row>
    <row r="16" spans="1:10" x14ac:dyDescent="0.25">
      <c r="A16" t="s">
        <v>438</v>
      </c>
      <c r="H16" s="2"/>
      <c r="I16" s="138"/>
      <c r="J16" s="2"/>
    </row>
    <row r="17" spans="1:11" x14ac:dyDescent="0.25">
      <c r="A17">
        <v>210</v>
      </c>
      <c r="B17" t="s">
        <v>150</v>
      </c>
      <c r="C17" t="s">
        <v>151</v>
      </c>
      <c r="E17" s="2">
        <f>IF(D17&gt;0,VLOOKUP(D17,SurveyTripLengthsAndPassBy!D$3:F$15,3),0)+1</f>
        <v>1</v>
      </c>
      <c r="F17" s="2">
        <v>0.5</v>
      </c>
      <c r="G17" s="2">
        <f t="shared" ref="G17:G30" si="2">(1-F17)+E17*F17</f>
        <v>1</v>
      </c>
      <c r="H17" s="2">
        <f t="shared" ref="H17:H30" si="3">G17</f>
        <v>1</v>
      </c>
      <c r="I17" s="138"/>
      <c r="J17" s="2">
        <f>1-IF(I17&gt;0,VLOOKUP(I17,SurveyTripLengthsAndPassBy!D$3:I$15,6),0)</f>
        <v>1</v>
      </c>
    </row>
    <row r="18" spans="1:11" x14ac:dyDescent="0.25">
      <c r="A18">
        <v>220</v>
      </c>
      <c r="B18" t="s">
        <v>153</v>
      </c>
      <c r="C18" t="s">
        <v>151</v>
      </c>
      <c r="E18" s="2">
        <f>IF(D18&gt;0,VLOOKUP(D18,SurveyTripLengthsAndPassBy!D$3:F$15,3),0)+1</f>
        <v>1</v>
      </c>
      <c r="F18" s="2">
        <v>0.5</v>
      </c>
      <c r="G18" s="2">
        <f t="shared" si="2"/>
        <v>1</v>
      </c>
      <c r="H18" s="2">
        <f t="shared" si="3"/>
        <v>1</v>
      </c>
      <c r="I18" s="138"/>
      <c r="J18" s="2">
        <f>1-IF(I18&gt;0,VLOOKUP(I18,SurveyTripLengthsAndPassBy!D$3:I$15,6),0)</f>
        <v>1</v>
      </c>
    </row>
    <row r="19" spans="1:11" x14ac:dyDescent="0.25">
      <c r="A19">
        <v>221</v>
      </c>
      <c r="B19" t="s">
        <v>155</v>
      </c>
      <c r="C19" t="s">
        <v>151</v>
      </c>
      <c r="E19" s="2">
        <f>IF(D19&gt;0,VLOOKUP(D19,SurveyTripLengthsAndPassBy!D$3:F$15,3),0)+1</f>
        <v>1</v>
      </c>
      <c r="F19" s="2">
        <v>0.5</v>
      </c>
      <c r="G19" s="2">
        <f t="shared" si="2"/>
        <v>1</v>
      </c>
      <c r="H19" s="2">
        <f t="shared" si="3"/>
        <v>1</v>
      </c>
      <c r="I19" s="138"/>
      <c r="J19" s="2">
        <f>1-IF(I19&gt;0,VLOOKUP(I19,SurveyTripLengthsAndPassBy!D$3:I$15,6),0)</f>
        <v>1</v>
      </c>
    </row>
    <row r="20" spans="1:11" x14ac:dyDescent="0.25">
      <c r="A20">
        <v>222</v>
      </c>
      <c r="B20" t="s">
        <v>157</v>
      </c>
      <c r="C20" t="s">
        <v>151</v>
      </c>
      <c r="E20" s="2">
        <f>IF(D20&gt;0,VLOOKUP(D20,SurveyTripLengthsAndPassBy!D$3:F$15,3),0)+1</f>
        <v>1</v>
      </c>
      <c r="F20" s="2">
        <v>0.5</v>
      </c>
      <c r="G20" s="2">
        <f t="shared" si="2"/>
        <v>1</v>
      </c>
      <c r="H20" s="2">
        <f t="shared" si="3"/>
        <v>1</v>
      </c>
      <c r="I20" s="138"/>
      <c r="J20" s="2">
        <f>1-IF(I20&gt;0,VLOOKUP(I20,SurveyTripLengthsAndPassBy!D$3:I$15,6),0)</f>
        <v>1</v>
      </c>
    </row>
    <row r="21" spans="1:11" x14ac:dyDescent="0.25">
      <c r="A21">
        <v>230</v>
      </c>
      <c r="B21" t="s">
        <v>525</v>
      </c>
      <c r="C21" t="s">
        <v>151</v>
      </c>
      <c r="E21" s="2">
        <f>IF(D21&gt;0,VLOOKUP(D21,SurveyTripLengthsAndPassBy!D$3:F$15,3),0)+1</f>
        <v>1</v>
      </c>
      <c r="F21" s="2">
        <v>0.5</v>
      </c>
      <c r="G21" s="2">
        <f t="shared" si="2"/>
        <v>1</v>
      </c>
      <c r="H21" s="2">
        <f t="shared" si="3"/>
        <v>1</v>
      </c>
      <c r="I21" s="138"/>
      <c r="J21" s="2">
        <f>1-IF(I21&gt;0,VLOOKUP(I21,SurveyTripLengthsAndPassBy!D$3:I$15,6),0)</f>
        <v>1</v>
      </c>
    </row>
    <row r="22" spans="1:11" x14ac:dyDescent="0.25">
      <c r="A22">
        <v>231</v>
      </c>
      <c r="B22" t="s">
        <v>526</v>
      </c>
      <c r="C22" t="s">
        <v>151</v>
      </c>
      <c r="E22" s="2">
        <f>IF(D22&gt;0,VLOOKUP(D22,SurveyTripLengthsAndPassBy!D$3:F$15,3),0)+1</f>
        <v>1</v>
      </c>
      <c r="F22" s="2">
        <v>0.5</v>
      </c>
      <c r="G22" s="2">
        <f t="shared" si="2"/>
        <v>1</v>
      </c>
      <c r="H22" s="2">
        <f t="shared" si="3"/>
        <v>1</v>
      </c>
      <c r="I22" s="138"/>
      <c r="J22" s="2">
        <f>1-IF(I22&gt;0,VLOOKUP(I22,SurveyTripLengthsAndPassBy!D$3:I$15,6),0)</f>
        <v>1</v>
      </c>
    </row>
    <row r="23" spans="1:11" x14ac:dyDescent="0.25">
      <c r="A23">
        <v>240</v>
      </c>
      <c r="B23" t="s">
        <v>163</v>
      </c>
      <c r="C23" t="s">
        <v>151</v>
      </c>
      <c r="E23" s="2">
        <f>IF(D23&gt;0,VLOOKUP(D23,SurveyTripLengthsAndPassBy!D$3:F$15,3),0)+1</f>
        <v>1</v>
      </c>
      <c r="F23" s="2">
        <v>0.5</v>
      </c>
      <c r="G23" s="2">
        <f t="shared" si="2"/>
        <v>1</v>
      </c>
      <c r="H23" s="2">
        <f t="shared" si="3"/>
        <v>1</v>
      </c>
      <c r="I23" s="138"/>
      <c r="J23" s="2">
        <f>1-IF(I23&gt;0,VLOOKUP(I23,SurveyTripLengthsAndPassBy!D$3:I$15,6),0)</f>
        <v>1</v>
      </c>
    </row>
    <row r="24" spans="1:11" x14ac:dyDescent="0.25">
      <c r="A24">
        <v>251</v>
      </c>
      <c r="B24" t="s">
        <v>165</v>
      </c>
      <c r="C24" t="s">
        <v>151</v>
      </c>
      <c r="E24" s="2">
        <f>IF(D24&gt;0,VLOOKUP(D24,SurveyTripLengthsAndPassBy!D$3:F$15,3),0)+1</f>
        <v>1</v>
      </c>
      <c r="F24" s="2">
        <v>0.5</v>
      </c>
      <c r="G24" s="2">
        <f t="shared" si="2"/>
        <v>1</v>
      </c>
      <c r="H24" s="2">
        <f t="shared" si="3"/>
        <v>1</v>
      </c>
      <c r="I24" s="138"/>
      <c r="J24" s="2">
        <f>1-IF(I24&gt;0,VLOOKUP(I24,SurveyTripLengthsAndPassBy!D$3:I$15,6),0)</f>
        <v>1</v>
      </c>
    </row>
    <row r="25" spans="1:11" x14ac:dyDescent="0.25">
      <c r="A25">
        <v>252</v>
      </c>
      <c r="B25" t="s">
        <v>167</v>
      </c>
      <c r="C25" t="s">
        <v>151</v>
      </c>
      <c r="E25" s="2">
        <f>IF(D25&gt;0,VLOOKUP(D25,SurveyTripLengthsAndPassBy!D$3:F$15,3),0)+1</f>
        <v>1</v>
      </c>
      <c r="F25" s="2">
        <v>0.5</v>
      </c>
      <c r="G25" s="2">
        <f t="shared" si="2"/>
        <v>1</v>
      </c>
      <c r="H25" s="2">
        <f t="shared" si="3"/>
        <v>1</v>
      </c>
      <c r="I25" s="138"/>
      <c r="J25" s="2">
        <f>1-IF(I25&gt;0,VLOOKUP(I25,SurveyTripLengthsAndPassBy!D$3:I$15,6),0)</f>
        <v>1</v>
      </c>
    </row>
    <row r="26" spans="1:11" x14ac:dyDescent="0.25">
      <c r="A26">
        <v>253</v>
      </c>
      <c r="B26" t="s">
        <v>169</v>
      </c>
      <c r="C26" t="s">
        <v>151</v>
      </c>
      <c r="E26" s="2"/>
      <c r="F26" s="2"/>
      <c r="G26" s="798">
        <f>HillsboroughLength_PassBy!E$12</f>
        <v>0.46525679758308158</v>
      </c>
      <c r="H26" s="798">
        <f t="shared" si="3"/>
        <v>0.46525679758308158</v>
      </c>
      <c r="I26" s="804"/>
      <c r="J26" s="798">
        <f>HillsboroughLength_PassBy!G$12</f>
        <v>0.71599999999999997</v>
      </c>
      <c r="K26" s="424" t="s">
        <v>527</v>
      </c>
    </row>
    <row r="27" spans="1:11" x14ac:dyDescent="0.25">
      <c r="A27">
        <v>254</v>
      </c>
      <c r="B27" t="s">
        <v>171</v>
      </c>
      <c r="C27" t="s">
        <v>172</v>
      </c>
      <c r="E27" s="2"/>
      <c r="F27" s="2"/>
      <c r="G27" s="798">
        <f>HillsboroughLength_PassBy!E$12</f>
        <v>0.46525679758308158</v>
      </c>
      <c r="H27" s="798">
        <f t="shared" ref="H27" si="4">G27</f>
        <v>0.46525679758308158</v>
      </c>
      <c r="I27" s="804"/>
      <c r="J27" s="798">
        <f>HillsboroughLength_PassBy!G$12</f>
        <v>0.71599999999999997</v>
      </c>
      <c r="K27" s="424" t="s">
        <v>527</v>
      </c>
    </row>
    <row r="28" spans="1:11" x14ac:dyDescent="0.25">
      <c r="A28">
        <v>255</v>
      </c>
      <c r="B28" t="s">
        <v>174</v>
      </c>
      <c r="C28" t="s">
        <v>151</v>
      </c>
      <c r="E28" s="2"/>
      <c r="F28" s="2"/>
      <c r="G28" s="798">
        <f>HillsboroughLength_PassBy!E$12</f>
        <v>0.46525679758308158</v>
      </c>
      <c r="H28" s="798">
        <f t="shared" ref="H28" si="5">G28</f>
        <v>0.46525679758308158</v>
      </c>
      <c r="I28" s="804"/>
      <c r="J28" s="798">
        <f>HillsboroughLength_PassBy!G$12</f>
        <v>0.71599999999999997</v>
      </c>
      <c r="K28" s="424" t="s">
        <v>527</v>
      </c>
    </row>
    <row r="29" spans="1:11" x14ac:dyDescent="0.25">
      <c r="A29">
        <v>265</v>
      </c>
      <c r="B29" t="s">
        <v>176</v>
      </c>
      <c r="C29" t="s">
        <v>151</v>
      </c>
      <c r="E29" s="2">
        <f>IF(D29&gt;0,VLOOKUP(D29,SurveyTripLengthsAndPassBy!D$3:F$15,3),0)+1</f>
        <v>1</v>
      </c>
      <c r="F29" s="2">
        <v>0.5</v>
      </c>
      <c r="G29" s="2">
        <f t="shared" si="2"/>
        <v>1</v>
      </c>
      <c r="H29" s="2">
        <f t="shared" si="3"/>
        <v>1</v>
      </c>
      <c r="I29" s="138"/>
      <c r="J29" s="2">
        <f>1-IF(I29&gt;0,VLOOKUP(I29,SurveyTripLengthsAndPassBy!D$3:I$15,6),0)</f>
        <v>1</v>
      </c>
    </row>
    <row r="30" spans="1:11" x14ac:dyDescent="0.25">
      <c r="A30">
        <v>270</v>
      </c>
      <c r="B30" t="s">
        <v>178</v>
      </c>
      <c r="C30" t="s">
        <v>151</v>
      </c>
      <c r="E30" s="2">
        <f>IF(D30&gt;0,VLOOKUP(D30,SurveyTripLengthsAndPassBy!D$3:F$15,3),0)+1</f>
        <v>1</v>
      </c>
      <c r="F30" s="2">
        <v>0.5</v>
      </c>
      <c r="G30" s="2">
        <f t="shared" si="2"/>
        <v>1</v>
      </c>
      <c r="H30" s="2">
        <f t="shared" si="3"/>
        <v>1</v>
      </c>
      <c r="I30" s="138"/>
      <c r="J30" s="2">
        <f>1-IF(I30&gt;0,VLOOKUP(I30,SurveyTripLengthsAndPassBy!D$3:I$15,6),0)</f>
        <v>1</v>
      </c>
    </row>
    <row r="31" spans="1:11" x14ac:dyDescent="0.25">
      <c r="A31" t="s">
        <v>447</v>
      </c>
      <c r="H31" s="2"/>
      <c r="I31" s="138"/>
      <c r="J31" s="2"/>
    </row>
    <row r="32" spans="1:11" x14ac:dyDescent="0.25">
      <c r="A32">
        <v>310</v>
      </c>
      <c r="B32" t="s">
        <v>180</v>
      </c>
      <c r="C32" t="s">
        <v>181</v>
      </c>
      <c r="E32" s="2"/>
      <c r="F32" s="2"/>
      <c r="G32" s="798">
        <f>HillsboroughLength_PassBy!E$13</f>
        <v>0.9441087613293051</v>
      </c>
      <c r="H32" s="798">
        <f t="shared" ref="H32" si="6">G32</f>
        <v>0.9441087613293051</v>
      </c>
      <c r="I32" s="804"/>
      <c r="J32" s="798">
        <f>HillsboroughLength_PassBy!G$13</f>
        <v>0.66300000000000003</v>
      </c>
      <c r="K32" s="424" t="s">
        <v>527</v>
      </c>
    </row>
    <row r="33" spans="1:11" x14ac:dyDescent="0.25">
      <c r="A33">
        <v>311</v>
      </c>
      <c r="B33" t="s">
        <v>183</v>
      </c>
      <c r="C33" t="s">
        <v>181</v>
      </c>
      <c r="E33" s="2"/>
      <c r="F33" s="2"/>
      <c r="G33" s="798">
        <f>HillsboroughLength_PassBy!E$13</f>
        <v>0.9441087613293051</v>
      </c>
      <c r="H33" s="798">
        <f t="shared" ref="H33:H35" si="7">G33</f>
        <v>0.9441087613293051</v>
      </c>
      <c r="I33" s="804"/>
      <c r="J33" s="798">
        <f>HillsboroughLength_PassBy!G$13</f>
        <v>0.66300000000000003</v>
      </c>
      <c r="K33" s="424" t="s">
        <v>527</v>
      </c>
    </row>
    <row r="34" spans="1:11" x14ac:dyDescent="0.25">
      <c r="A34">
        <v>320</v>
      </c>
      <c r="B34" t="s">
        <v>185</v>
      </c>
      <c r="C34" t="s">
        <v>181</v>
      </c>
      <c r="E34" s="2"/>
      <c r="F34" s="2"/>
      <c r="G34" s="798">
        <f>HillsboroughLength_PassBy!E$14</f>
        <v>0.65558912386706947</v>
      </c>
      <c r="H34" s="798">
        <f t="shared" si="7"/>
        <v>0.65558912386706947</v>
      </c>
      <c r="I34" s="804"/>
      <c r="J34" s="798">
        <f>HillsboroughLength_PassBy!G$14</f>
        <v>0.76600000000000001</v>
      </c>
      <c r="K34" s="424" t="s">
        <v>527</v>
      </c>
    </row>
    <row r="35" spans="1:11" x14ac:dyDescent="0.25">
      <c r="A35">
        <v>312</v>
      </c>
      <c r="B35" t="s">
        <v>187</v>
      </c>
      <c r="C35" t="s">
        <v>181</v>
      </c>
      <c r="E35" s="2"/>
      <c r="F35" s="2"/>
      <c r="G35" s="798">
        <f>HillsboroughLength_PassBy!E$13</f>
        <v>0.9441087613293051</v>
      </c>
      <c r="H35" s="798">
        <f t="shared" si="7"/>
        <v>0.9441087613293051</v>
      </c>
      <c r="I35" s="804"/>
      <c r="J35" s="798">
        <f>HillsboroughLength_PassBy!G$13</f>
        <v>0.66300000000000003</v>
      </c>
      <c r="K35" s="424" t="s">
        <v>527</v>
      </c>
    </row>
    <row r="36" spans="1:11" x14ac:dyDescent="0.25">
      <c r="A36" t="s">
        <v>448</v>
      </c>
      <c r="H36" s="2"/>
      <c r="I36" s="138"/>
      <c r="J36" s="2"/>
    </row>
    <row r="37" spans="1:11" x14ac:dyDescent="0.25">
      <c r="A37">
        <v>420</v>
      </c>
      <c r="B37" t="s">
        <v>189</v>
      </c>
      <c r="C37" t="s">
        <v>190</v>
      </c>
      <c r="D37">
        <v>9</v>
      </c>
      <c r="E37" s="2">
        <f>IF(D37&gt;0,VLOOKUP(D37,SurveyTripLengthsAndPassBy!D$3:F$15,3),0)+1</f>
        <v>0.59810617587131787</v>
      </c>
      <c r="F37" s="2">
        <v>0.9</v>
      </c>
      <c r="G37" s="2">
        <f>+G35</f>
        <v>0.9441087613293051</v>
      </c>
      <c r="H37" s="2">
        <f t="shared" ref="H37:H45" si="8">G37</f>
        <v>0.9441087613293051</v>
      </c>
      <c r="I37" s="138"/>
      <c r="J37" s="2">
        <f>1-IF(I37&gt;0,VLOOKUP(I37,SurveyTripLengthsAndPassBy!D$3:I$15,6),0)</f>
        <v>1</v>
      </c>
    </row>
    <row r="38" spans="1:11" x14ac:dyDescent="0.25">
      <c r="A38">
        <v>430</v>
      </c>
      <c r="B38" t="s">
        <v>192</v>
      </c>
      <c r="C38" t="s">
        <v>193</v>
      </c>
      <c r="D38">
        <v>9</v>
      </c>
      <c r="E38" s="2">
        <f>IF(D38&gt;0,VLOOKUP(D38,SurveyTripLengthsAndPassBy!D$3:F$15,3),0)+1</f>
        <v>0.59810617587131787</v>
      </c>
      <c r="F38" s="2">
        <v>0.9</v>
      </c>
      <c r="G38" s="2">
        <f t="shared" ref="G38:G45" si="9">(1-F38)+E38*F38</f>
        <v>0.63829555828418605</v>
      </c>
      <c r="H38" s="2">
        <f t="shared" si="8"/>
        <v>0.63829555828418605</v>
      </c>
      <c r="I38" s="138"/>
      <c r="J38" s="2">
        <f>1-IF(I38&gt;0,VLOOKUP(I38,SurveyTripLengthsAndPassBy!D$3:I$15,6),0)</f>
        <v>1</v>
      </c>
    </row>
    <row r="39" spans="1:11" x14ac:dyDescent="0.25">
      <c r="A39">
        <v>444</v>
      </c>
      <c r="B39" t="s">
        <v>195</v>
      </c>
      <c r="C39" t="s">
        <v>112</v>
      </c>
      <c r="E39" s="2"/>
      <c r="F39" s="2"/>
      <c r="G39" s="798">
        <f>HillsboroughLength_PassBy!E$15</f>
        <v>0.33534743202416922</v>
      </c>
      <c r="H39" s="798">
        <f t="shared" si="8"/>
        <v>0.33534743202416922</v>
      </c>
      <c r="I39" s="804"/>
      <c r="J39" s="798">
        <f>HillsboroughLength_PassBy!G$15</f>
        <v>0.878</v>
      </c>
      <c r="K39" s="424" t="s">
        <v>527</v>
      </c>
    </row>
    <row r="40" spans="1:11" x14ac:dyDescent="0.25">
      <c r="A40">
        <v>444</v>
      </c>
      <c r="B40" t="s">
        <v>195</v>
      </c>
      <c r="C40" t="s">
        <v>197</v>
      </c>
      <c r="E40" s="2"/>
      <c r="F40" s="2"/>
      <c r="G40" s="798">
        <f>HillsboroughLength_PassBy!E$15</f>
        <v>0.33534743202416922</v>
      </c>
      <c r="H40" s="798">
        <f t="shared" si="8"/>
        <v>0.33534743202416922</v>
      </c>
      <c r="I40" s="804"/>
      <c r="J40" s="798">
        <f>HillsboroughLength_PassBy!G$15</f>
        <v>0.878</v>
      </c>
      <c r="K40" s="424" t="s">
        <v>527</v>
      </c>
    </row>
    <row r="41" spans="1:11" x14ac:dyDescent="0.25">
      <c r="A41">
        <v>480</v>
      </c>
      <c r="B41" t="s">
        <v>199</v>
      </c>
      <c r="C41" t="s">
        <v>200</v>
      </c>
      <c r="D41">
        <v>9</v>
      </c>
      <c r="E41" s="2">
        <f>IF(D41&gt;0,VLOOKUP(D41,SurveyTripLengthsAndPassBy!D$3:F$15,3),0)+1</f>
        <v>0.59810617587131787</v>
      </c>
      <c r="F41" s="2">
        <v>0.9</v>
      </c>
      <c r="G41" s="2">
        <f t="shared" si="9"/>
        <v>0.63829555828418605</v>
      </c>
      <c r="H41" s="2">
        <f t="shared" si="8"/>
        <v>0.63829555828418605</v>
      </c>
      <c r="I41" s="138"/>
      <c r="J41" s="2">
        <f>1-IF(I41&gt;0,VLOOKUP(I41,SurveyTripLengthsAndPassBy!D$3:I$15,6),0)</f>
        <v>1</v>
      </c>
    </row>
    <row r="42" spans="1:11" x14ac:dyDescent="0.25">
      <c r="A42">
        <v>490</v>
      </c>
      <c r="B42" t="s">
        <v>202</v>
      </c>
      <c r="C42" t="s">
        <v>203</v>
      </c>
      <c r="D42">
        <v>9</v>
      </c>
      <c r="E42" s="2">
        <f>IF(D42&gt;0,VLOOKUP(D42,SurveyTripLengthsAndPassBy!D$3:F$15,3),0)+1</f>
        <v>0.59810617587131787</v>
      </c>
      <c r="F42" s="2">
        <v>0.9</v>
      </c>
      <c r="G42" s="2">
        <f t="shared" si="9"/>
        <v>0.63829555828418605</v>
      </c>
      <c r="H42" s="2">
        <f t="shared" si="8"/>
        <v>0.63829555828418605</v>
      </c>
      <c r="I42" s="138"/>
      <c r="J42" s="2">
        <f>1-IF(I42&gt;0,VLOOKUP(I42,SurveyTripLengthsAndPassBy!D$3:I$15,6),0)</f>
        <v>1</v>
      </c>
    </row>
    <row r="43" spans="1:11" x14ac:dyDescent="0.25">
      <c r="A43">
        <v>491</v>
      </c>
      <c r="B43" t="s">
        <v>205</v>
      </c>
      <c r="C43" t="s">
        <v>203</v>
      </c>
      <c r="D43">
        <v>9</v>
      </c>
      <c r="E43" s="2">
        <f>IF(D43&gt;0,VLOOKUP(D43,SurveyTripLengthsAndPassBy!D$3:F$15,3),0)+1</f>
        <v>0.59810617587131787</v>
      </c>
      <c r="F43" s="2">
        <v>0.9</v>
      </c>
      <c r="G43" s="2">
        <f t="shared" si="9"/>
        <v>0.63829555828418605</v>
      </c>
      <c r="H43" s="2">
        <f t="shared" si="8"/>
        <v>0.63829555828418605</v>
      </c>
      <c r="I43" s="138"/>
      <c r="J43" s="2">
        <f>1-IF(I43&gt;0,VLOOKUP(I43,SurveyTripLengthsAndPassBy!D$3:I$15,6),0)</f>
        <v>1</v>
      </c>
    </row>
    <row r="44" spans="1:11" x14ac:dyDescent="0.25">
      <c r="A44">
        <v>492</v>
      </c>
      <c r="B44" t="s">
        <v>207</v>
      </c>
      <c r="C44" t="s">
        <v>112</v>
      </c>
      <c r="D44">
        <v>9</v>
      </c>
      <c r="E44" s="2">
        <f>IF(D44&gt;0,VLOOKUP(D44,SurveyTripLengthsAndPassBy!D$3:F$15,3),0)+1</f>
        <v>0.59810617587131787</v>
      </c>
      <c r="F44" s="2">
        <v>0.9</v>
      </c>
      <c r="G44" s="2">
        <f t="shared" ref="G44" si="10">(1-F44)+E44*F44</f>
        <v>0.63829555828418605</v>
      </c>
      <c r="H44" s="2">
        <f t="shared" ref="H44" si="11">G44</f>
        <v>0.63829555828418605</v>
      </c>
      <c r="I44" s="138"/>
      <c r="J44" s="798">
        <f>HillsboroughLength_PassBy!G$16</f>
        <v>0.94</v>
      </c>
      <c r="K44" s="424" t="s">
        <v>528</v>
      </c>
    </row>
    <row r="45" spans="1:11" x14ac:dyDescent="0.25">
      <c r="A45">
        <v>495</v>
      </c>
      <c r="B45" t="s">
        <v>209</v>
      </c>
      <c r="C45" t="s">
        <v>112</v>
      </c>
      <c r="D45">
        <v>9</v>
      </c>
      <c r="E45" s="2">
        <f>IF(D45&gt;0,VLOOKUP(D45,SurveyTripLengthsAndPassBy!D$3:F$15,3),0)+1</f>
        <v>0.59810617587131787</v>
      </c>
      <c r="F45" s="2">
        <v>0.9</v>
      </c>
      <c r="G45" s="2">
        <f t="shared" si="9"/>
        <v>0.63829555828418605</v>
      </c>
      <c r="H45" s="2">
        <f t="shared" si="8"/>
        <v>0.63829555828418605</v>
      </c>
      <c r="I45" s="138"/>
      <c r="J45" s="2">
        <f>1-IF(I45&gt;0,VLOOKUP(I45,SurveyTripLengthsAndPassBy!D$3:I$15,6),0)</f>
        <v>1</v>
      </c>
    </row>
    <row r="46" spans="1:11" x14ac:dyDescent="0.25">
      <c r="A46" t="s">
        <v>452</v>
      </c>
      <c r="H46" s="2"/>
      <c r="I46" s="138"/>
      <c r="J46" s="2"/>
    </row>
    <row r="47" spans="1:11" x14ac:dyDescent="0.25">
      <c r="A47">
        <v>520</v>
      </c>
      <c r="B47" t="s">
        <v>211</v>
      </c>
      <c r="C47" t="s">
        <v>212</v>
      </c>
      <c r="D47">
        <v>3</v>
      </c>
      <c r="E47" s="2">
        <f>IF(D47&gt;0,VLOOKUP(D47,SurveyTripLengthsAndPassBy!D$3:F$15,3),0)+1</f>
        <v>0.74027238011404195</v>
      </c>
      <c r="F47" s="2">
        <v>0.5</v>
      </c>
      <c r="G47" s="2">
        <f t="shared" ref="G47:G54" si="12">(1-F47)+E47*F47</f>
        <v>0.87013619005702103</v>
      </c>
      <c r="H47" s="2">
        <f t="shared" ref="H47:H55" si="13">G47</f>
        <v>0.87013619005702103</v>
      </c>
      <c r="I47" s="138">
        <v>3</v>
      </c>
      <c r="J47" s="2">
        <f>1-IF(I47&gt;0,VLOOKUP(I47,SurveyTripLengthsAndPassBy!D$3:I$15,6),0)</f>
        <v>0.53561452513966479</v>
      </c>
    </row>
    <row r="48" spans="1:11" x14ac:dyDescent="0.25">
      <c r="A48">
        <v>530</v>
      </c>
      <c r="B48" t="s">
        <v>214</v>
      </c>
      <c r="C48" t="s">
        <v>212</v>
      </c>
      <c r="D48">
        <v>3</v>
      </c>
      <c r="E48" s="2">
        <f>IF(D48&gt;0,VLOOKUP(D48,SurveyTripLengthsAndPassBy!D$3:F$15,3),0)+1</f>
        <v>0.74027238011404195</v>
      </c>
      <c r="F48" s="2">
        <v>0.5</v>
      </c>
      <c r="G48" s="2">
        <f t="shared" si="12"/>
        <v>0.87013619005702103</v>
      </c>
      <c r="H48" s="2">
        <f t="shared" si="13"/>
        <v>0.87013619005702103</v>
      </c>
      <c r="I48" s="138">
        <v>3</v>
      </c>
      <c r="J48" s="2">
        <f>1-IF(I48&gt;0,VLOOKUP(I48,SurveyTripLengthsAndPassBy!D$3:I$15,6),0)</f>
        <v>0.53561452513966479</v>
      </c>
    </row>
    <row r="49" spans="1:11" x14ac:dyDescent="0.25">
      <c r="A49">
        <v>534</v>
      </c>
      <c r="B49" t="s">
        <v>216</v>
      </c>
      <c r="C49" t="s">
        <v>212</v>
      </c>
      <c r="D49">
        <v>3</v>
      </c>
      <c r="E49" s="2">
        <f>IF(D49&gt;0,VLOOKUP(D49,SurveyTripLengthsAndPassBy!D$3:F$15,3),0)+1</f>
        <v>0.74027238011404195</v>
      </c>
      <c r="F49" s="2">
        <v>0.9</v>
      </c>
      <c r="G49" s="2">
        <f t="shared" si="12"/>
        <v>0.76624514210263772</v>
      </c>
      <c r="H49" s="2">
        <f t="shared" si="13"/>
        <v>0.76624514210263772</v>
      </c>
      <c r="I49" s="138">
        <v>3</v>
      </c>
      <c r="J49" s="2">
        <f>1-IF(I49&gt;0,VLOOKUP(I49,SurveyTripLengthsAndPassBy!D$3:I$15,6),0)</f>
        <v>0.53561452513966479</v>
      </c>
    </row>
    <row r="50" spans="1:11" x14ac:dyDescent="0.25">
      <c r="A50">
        <v>536</v>
      </c>
      <c r="B50" t="s">
        <v>218</v>
      </c>
      <c r="C50" t="s">
        <v>212</v>
      </c>
      <c r="D50">
        <v>3</v>
      </c>
      <c r="E50" s="2">
        <f>IF(D50&gt;0,VLOOKUP(D50,SurveyTripLengthsAndPassBy!D$3:F$15,3),0)+1</f>
        <v>0.74027238011404195</v>
      </c>
      <c r="F50" s="2">
        <v>0.9</v>
      </c>
      <c r="G50" s="2">
        <f t="shared" si="12"/>
        <v>0.76624514210263772</v>
      </c>
      <c r="H50" s="2">
        <f t="shared" si="13"/>
        <v>0.76624514210263772</v>
      </c>
      <c r="I50" s="138">
        <v>3</v>
      </c>
      <c r="J50" s="2">
        <f>1-IF(I50&gt;0,VLOOKUP(I50,SurveyTripLengthsAndPassBy!D$3:I$15,6),0)</f>
        <v>0.53561452513966479</v>
      </c>
    </row>
    <row r="51" spans="1:11" x14ac:dyDescent="0.25">
      <c r="A51">
        <v>537</v>
      </c>
      <c r="B51" t="s">
        <v>220</v>
      </c>
      <c r="C51" t="s">
        <v>212</v>
      </c>
      <c r="E51" s="2">
        <f>IF(D51&gt;0,VLOOKUP(D51,SurveyTripLengthsAndPassBy!D$3:F$15,3),0)+1</f>
        <v>1</v>
      </c>
      <c r="F51" s="2">
        <v>0.5</v>
      </c>
      <c r="G51" s="2">
        <f t="shared" si="12"/>
        <v>1</v>
      </c>
      <c r="H51" s="2">
        <f t="shared" si="13"/>
        <v>1</v>
      </c>
      <c r="I51" s="138"/>
      <c r="J51" s="2">
        <f>1-IF(I51&gt;0,VLOOKUP(I51,SurveyTripLengthsAndPassBy!D$3:I$15,6),0)</f>
        <v>1</v>
      </c>
    </row>
    <row r="52" spans="1:11" x14ac:dyDescent="0.25">
      <c r="A52">
        <v>540</v>
      </c>
      <c r="B52" t="s">
        <v>222</v>
      </c>
      <c r="C52" t="s">
        <v>212</v>
      </c>
      <c r="D52">
        <v>3</v>
      </c>
      <c r="E52" s="2">
        <f>IF(D52&gt;0,VLOOKUP(D52,SurveyTripLengthsAndPassBy!D$3:F$15,3),0)+1</f>
        <v>0.74027238011404195</v>
      </c>
      <c r="F52" s="2">
        <v>0.9</v>
      </c>
      <c r="G52" s="2">
        <f t="shared" si="12"/>
        <v>0.76624514210263772</v>
      </c>
      <c r="H52" s="2">
        <f t="shared" si="13"/>
        <v>0.76624514210263772</v>
      </c>
      <c r="I52" s="138">
        <v>3</v>
      </c>
      <c r="J52" s="2">
        <f>1-IF(I52&gt;0,VLOOKUP(I52,SurveyTripLengthsAndPassBy!D$3:I$15,6),0)</f>
        <v>0.53561452513966479</v>
      </c>
    </row>
    <row r="53" spans="1:11" x14ac:dyDescent="0.25">
      <c r="A53">
        <v>550</v>
      </c>
      <c r="B53" t="s">
        <v>224</v>
      </c>
      <c r="C53" t="s">
        <v>212</v>
      </c>
      <c r="D53">
        <v>3</v>
      </c>
      <c r="E53" s="2">
        <f>IF(D53&gt;0,VLOOKUP(D53,SurveyTripLengthsAndPassBy!D$3:F$15,3),0)+1</f>
        <v>0.74027238011404195</v>
      </c>
      <c r="F53" s="2">
        <v>0.9</v>
      </c>
      <c r="G53" s="2">
        <f t="shared" si="12"/>
        <v>0.76624514210263772</v>
      </c>
      <c r="H53" s="2">
        <f t="shared" si="13"/>
        <v>0.76624514210263772</v>
      </c>
      <c r="I53" s="138">
        <v>3</v>
      </c>
      <c r="J53" s="2">
        <f>1-IF(I53&gt;0,VLOOKUP(I53,SurveyTripLengthsAndPassBy!D$3:I$15,6),0)</f>
        <v>0.53561452513966479</v>
      </c>
    </row>
    <row r="54" spans="1:11" x14ac:dyDescent="0.25">
      <c r="A54">
        <v>560</v>
      </c>
      <c r="B54" t="s">
        <v>226</v>
      </c>
      <c r="C54" t="s">
        <v>112</v>
      </c>
      <c r="D54">
        <v>12</v>
      </c>
      <c r="E54" s="2">
        <f>IF(D54&gt;0,VLOOKUP(D54,SurveyTripLengthsAndPassBy!D$3:F$15,3),0)+1</f>
        <v>0.89000409178252249</v>
      </c>
      <c r="F54" s="2">
        <v>0.9</v>
      </c>
      <c r="G54" s="2">
        <f t="shared" si="12"/>
        <v>0.90100368260427022</v>
      </c>
      <c r="H54" s="2">
        <f t="shared" si="13"/>
        <v>0.90100368260427022</v>
      </c>
      <c r="I54" s="138"/>
      <c r="J54" s="2">
        <f>1-IF(I54&gt;0,VLOOKUP(I54,SurveyTripLengthsAndPassBy!D$3:I$15,6),0)</f>
        <v>1</v>
      </c>
    </row>
    <row r="55" spans="1:11" x14ac:dyDescent="0.25">
      <c r="A55">
        <v>565</v>
      </c>
      <c r="B55" t="s">
        <v>228</v>
      </c>
      <c r="C55" t="s">
        <v>112</v>
      </c>
      <c r="E55" s="2"/>
      <c r="F55" s="2"/>
      <c r="G55" s="798">
        <f>HillsboroughLength_PassBy!E$17</f>
        <v>0.30664652567975825</v>
      </c>
      <c r="H55" s="798">
        <f t="shared" si="13"/>
        <v>0.30664652567975825</v>
      </c>
      <c r="I55" s="804"/>
      <c r="J55" s="798">
        <f>HillsboroughLength_PassBy!G$17</f>
        <v>0.73199999999999998</v>
      </c>
      <c r="K55" s="424" t="s">
        <v>527</v>
      </c>
    </row>
    <row r="56" spans="1:11" x14ac:dyDescent="0.25">
      <c r="A56" t="s">
        <v>453</v>
      </c>
      <c r="H56" s="2"/>
      <c r="I56" s="138"/>
      <c r="J56" s="2"/>
    </row>
    <row r="57" spans="1:11" x14ac:dyDescent="0.25">
      <c r="A57">
        <v>610</v>
      </c>
      <c r="B57" t="s">
        <v>230</v>
      </c>
      <c r="C57" t="s">
        <v>112</v>
      </c>
      <c r="E57" s="2">
        <f>IF(D57&gt;0,VLOOKUP(D57,SurveyTripLengthsAndPassBy!D$3:F$15,3),0)+1</f>
        <v>1</v>
      </c>
      <c r="F57" s="2">
        <v>0.9</v>
      </c>
      <c r="G57" s="2">
        <f>(1-F57)+E57*F57</f>
        <v>1</v>
      </c>
      <c r="H57" s="2">
        <f>G57</f>
        <v>1</v>
      </c>
      <c r="I57" s="138"/>
      <c r="J57" s="2">
        <f>1-IF(I57&gt;0,VLOOKUP(I57,SurveyTripLengthsAndPassBy!D$3:I$15,6),0)</f>
        <v>1</v>
      </c>
    </row>
    <row r="58" spans="1:11" x14ac:dyDescent="0.25">
      <c r="A58">
        <v>620</v>
      </c>
      <c r="B58" t="s">
        <v>232</v>
      </c>
      <c r="C58" t="s">
        <v>172</v>
      </c>
      <c r="E58" s="2"/>
      <c r="F58" s="2"/>
      <c r="G58" s="798">
        <f>HillsboroughLength_PassBy!E$18</f>
        <v>0.39123867069486401</v>
      </c>
      <c r="H58" s="798">
        <f t="shared" ref="H58" si="14">G58</f>
        <v>0.39123867069486401</v>
      </c>
      <c r="I58" s="804"/>
      <c r="J58" s="798">
        <f>HillsboroughLength_PassBy!G$18</f>
        <v>0.89</v>
      </c>
      <c r="K58" s="424" t="s">
        <v>527</v>
      </c>
    </row>
    <row r="59" spans="1:11" x14ac:dyDescent="0.25">
      <c r="A59">
        <v>630</v>
      </c>
      <c r="B59" t="s">
        <v>234</v>
      </c>
      <c r="C59" t="s">
        <v>112</v>
      </c>
      <c r="E59" s="2"/>
      <c r="F59" s="2"/>
      <c r="G59" s="798">
        <f>HillsboroughLength_PassBy!E$19</f>
        <v>0.7703927492447129</v>
      </c>
      <c r="H59" s="798">
        <f t="shared" ref="H59" si="15">G59</f>
        <v>0.7703927492447129</v>
      </c>
      <c r="I59" s="804"/>
      <c r="J59" s="798">
        <f>HillsboroughLength_PassBy!G$19</f>
        <v>0.93</v>
      </c>
      <c r="K59" s="424" t="s">
        <v>527</v>
      </c>
    </row>
    <row r="60" spans="1:11" x14ac:dyDescent="0.25">
      <c r="A60">
        <v>640</v>
      </c>
      <c r="B60" t="s">
        <v>236</v>
      </c>
      <c r="C60" t="s">
        <v>112</v>
      </c>
      <c r="D60">
        <v>7</v>
      </c>
      <c r="E60" s="2">
        <f>IF(D60&gt;0,VLOOKUP(D60,SurveyTripLengthsAndPassBy!D$3:F$15,3),0)+1</f>
        <v>0.56941201361337035</v>
      </c>
      <c r="F60" s="2">
        <v>0.9</v>
      </c>
      <c r="G60" s="2">
        <f>(1-F60)+E60*F60</f>
        <v>0.61247081225203326</v>
      </c>
      <c r="H60" s="2">
        <f>G60</f>
        <v>0.61247081225203326</v>
      </c>
      <c r="I60" s="138"/>
      <c r="J60" s="2">
        <f>1-IF(I60&gt;0,VLOOKUP(I60,SurveyTripLengthsAndPassBy!D$3:I$15,6),0)</f>
        <v>1</v>
      </c>
    </row>
    <row r="61" spans="1:11" x14ac:dyDescent="0.25">
      <c r="A61">
        <v>650</v>
      </c>
      <c r="B61" t="s">
        <v>238</v>
      </c>
      <c r="C61" t="s">
        <v>112</v>
      </c>
      <c r="D61">
        <v>7</v>
      </c>
      <c r="E61" s="2">
        <f>IF(D61&gt;0,VLOOKUP(D61,SurveyTripLengthsAndPassBy!D$3:F$15,3),0)+1</f>
        <v>0.56941201361337035</v>
      </c>
      <c r="F61" s="2">
        <v>0.9</v>
      </c>
      <c r="G61" s="2">
        <f>(1-F61)+E61*F61</f>
        <v>0.61247081225203326</v>
      </c>
      <c r="H61" s="2">
        <f>G61</f>
        <v>0.61247081225203326</v>
      </c>
      <c r="I61" s="138"/>
      <c r="J61" s="2">
        <f>1-IF(I61&gt;0,VLOOKUP(I61,SurveyTripLengthsAndPassBy!D$3:I$15,6),0)</f>
        <v>1</v>
      </c>
    </row>
    <row r="62" spans="1:11" x14ac:dyDescent="0.25">
      <c r="A62" t="s">
        <v>454</v>
      </c>
      <c r="H62" s="2"/>
      <c r="I62" s="138"/>
      <c r="J62" s="2"/>
    </row>
    <row r="63" spans="1:11" x14ac:dyDescent="0.25">
      <c r="A63">
        <v>710</v>
      </c>
      <c r="B63" t="s">
        <v>240</v>
      </c>
      <c r="C63" t="s">
        <v>112</v>
      </c>
      <c r="D63">
        <v>1</v>
      </c>
      <c r="E63" s="2">
        <f>IF(D63&gt;0,VLOOKUP(D63,SurveyTripLengthsAndPassBy!D$3:F$15,3),0)+1</f>
        <v>1.4810939708444968</v>
      </c>
      <c r="F63" s="2">
        <v>0.5</v>
      </c>
      <c r="G63" s="2">
        <f t="shared" ref="G63:G82" si="16">(1-F63)+E63*F63</f>
        <v>1.2405469854222484</v>
      </c>
      <c r="H63" s="2">
        <f t="shared" ref="H63:H82" si="17">G63</f>
        <v>1.2405469854222484</v>
      </c>
      <c r="I63" s="138"/>
      <c r="J63" s="2">
        <f>1-IF(I63&gt;0,VLOOKUP(I63,SurveyTripLengthsAndPassBy!D$3:I$15,6),0)</f>
        <v>1</v>
      </c>
    </row>
    <row r="64" spans="1:11" x14ac:dyDescent="0.25">
      <c r="A64">
        <v>710</v>
      </c>
      <c r="B64" t="s">
        <v>242</v>
      </c>
      <c r="C64" t="s">
        <v>112</v>
      </c>
      <c r="D64">
        <v>1</v>
      </c>
      <c r="E64" s="2">
        <f>IF(D64&gt;0,VLOOKUP(D64,SurveyTripLengthsAndPassBy!D$3:F$15,3),0)+1</f>
        <v>1.4810939708444968</v>
      </c>
      <c r="F64" s="2">
        <v>0.5</v>
      </c>
      <c r="G64" s="2">
        <f t="shared" si="16"/>
        <v>1.2405469854222484</v>
      </c>
      <c r="H64" s="2">
        <f t="shared" si="17"/>
        <v>1.2405469854222484</v>
      </c>
      <c r="I64" s="138"/>
      <c r="J64" s="2">
        <f>1-IF(I64&gt;0,VLOOKUP(I64,SurveyTripLengthsAndPassBy!D$3:I$15,6),0)</f>
        <v>1</v>
      </c>
    </row>
    <row r="65" spans="1:11" x14ac:dyDescent="0.25">
      <c r="A65">
        <v>710</v>
      </c>
      <c r="B65" t="s">
        <v>244</v>
      </c>
      <c r="C65" t="s">
        <v>112</v>
      </c>
      <c r="D65">
        <v>1</v>
      </c>
      <c r="E65" s="2">
        <f>IF(D65&gt;0,VLOOKUP(D65,SurveyTripLengthsAndPassBy!D$3:F$15,3),0)+1</f>
        <v>1.4810939708444968</v>
      </c>
      <c r="F65" s="2">
        <v>0.5</v>
      </c>
      <c r="G65" s="2">
        <f t="shared" si="16"/>
        <v>1.2405469854222484</v>
      </c>
      <c r="H65" s="2">
        <f t="shared" si="17"/>
        <v>1.2405469854222484</v>
      </c>
      <c r="I65" s="138"/>
      <c r="J65" s="2">
        <f>1-IF(I65&gt;0,VLOOKUP(I65,SurveyTripLengthsAndPassBy!D$3:I$15,6),0)</f>
        <v>1</v>
      </c>
    </row>
    <row r="66" spans="1:11" x14ac:dyDescent="0.25">
      <c r="A66">
        <v>710</v>
      </c>
      <c r="B66" t="s">
        <v>246</v>
      </c>
      <c r="C66" t="s">
        <v>112</v>
      </c>
      <c r="D66">
        <v>1</v>
      </c>
      <c r="E66" s="2">
        <f>IF(D66&gt;0,VLOOKUP(D66,SurveyTripLengthsAndPassBy!D$3:F$15,3),0)+1</f>
        <v>1.4810939708444968</v>
      </c>
      <c r="F66" s="2">
        <v>0.5</v>
      </c>
      <c r="G66" s="2">
        <f t="shared" si="16"/>
        <v>1.2405469854222484</v>
      </c>
      <c r="H66" s="2">
        <f t="shared" si="17"/>
        <v>1.2405469854222484</v>
      </c>
      <c r="I66" s="138"/>
      <c r="J66" s="2">
        <f>1-IF(I66&gt;0,VLOOKUP(I66,SurveyTripLengthsAndPassBy!D$3:I$15,6),0)</f>
        <v>1</v>
      </c>
    </row>
    <row r="67" spans="1:11" x14ac:dyDescent="0.25">
      <c r="A67">
        <v>710</v>
      </c>
      <c r="B67" t="s">
        <v>248</v>
      </c>
      <c r="C67" t="s">
        <v>112</v>
      </c>
      <c r="D67">
        <v>1</v>
      </c>
      <c r="E67" s="2">
        <f>IF(D67&gt;0,VLOOKUP(D67,SurveyTripLengthsAndPassBy!D$3:F$15,3),0)+1</f>
        <v>1.4810939708444968</v>
      </c>
      <c r="F67" s="2">
        <v>0.5</v>
      </c>
      <c r="G67" s="2">
        <f t="shared" si="16"/>
        <v>1.2405469854222484</v>
      </c>
      <c r="H67" s="2">
        <f t="shared" si="17"/>
        <v>1.2405469854222484</v>
      </c>
      <c r="I67" s="138"/>
      <c r="J67" s="2">
        <f>1-IF(I67&gt;0,VLOOKUP(I67,SurveyTripLengthsAndPassBy!D$3:I$15,6),0)</f>
        <v>1</v>
      </c>
    </row>
    <row r="68" spans="1:11" x14ac:dyDescent="0.25">
      <c r="A68">
        <v>710</v>
      </c>
      <c r="B68" t="s">
        <v>250</v>
      </c>
      <c r="C68" t="s">
        <v>112</v>
      </c>
      <c r="D68">
        <v>1</v>
      </c>
      <c r="E68" s="2">
        <f>IF(D68&gt;0,VLOOKUP(D68,SurveyTripLengthsAndPassBy!D$3:F$15,3),0)+1</f>
        <v>1.4810939708444968</v>
      </c>
      <c r="F68" s="2">
        <v>0.5</v>
      </c>
      <c r="G68" s="2">
        <f t="shared" si="16"/>
        <v>1.2405469854222484</v>
      </c>
      <c r="H68" s="2">
        <f t="shared" si="17"/>
        <v>1.2405469854222484</v>
      </c>
      <c r="I68" s="138"/>
      <c r="J68" s="2">
        <f>1-IF(I68&gt;0,VLOOKUP(I68,SurveyTripLengthsAndPassBy!D$3:I$15,6),0)</f>
        <v>1</v>
      </c>
    </row>
    <row r="69" spans="1:11" x14ac:dyDescent="0.25">
      <c r="A69">
        <v>710</v>
      </c>
      <c r="B69" t="s">
        <v>252</v>
      </c>
      <c r="C69" t="s">
        <v>112</v>
      </c>
      <c r="D69">
        <v>1</v>
      </c>
      <c r="E69" s="2">
        <f>IF(D69&gt;0,VLOOKUP(D69,SurveyTripLengthsAndPassBy!D$3:F$15,3),0)+1</f>
        <v>1.4810939708444968</v>
      </c>
      <c r="F69" s="2">
        <v>0.5</v>
      </c>
      <c r="G69" s="2">
        <f t="shared" si="16"/>
        <v>1.2405469854222484</v>
      </c>
      <c r="H69" s="2">
        <f t="shared" si="17"/>
        <v>1.2405469854222484</v>
      </c>
      <c r="I69" s="138"/>
      <c r="J69" s="2">
        <f>1-IF(I69&gt;0,VLOOKUP(I69,SurveyTripLengthsAndPassBy!D$3:I$15,6),0)</f>
        <v>1</v>
      </c>
    </row>
    <row r="70" spans="1:11" x14ac:dyDescent="0.25">
      <c r="A70">
        <v>710</v>
      </c>
      <c r="B70" t="s">
        <v>254</v>
      </c>
      <c r="C70" t="s">
        <v>112</v>
      </c>
      <c r="D70">
        <v>1</v>
      </c>
      <c r="E70" s="2">
        <f>IF(D70&gt;0,VLOOKUP(D70,SurveyTripLengthsAndPassBy!D$3:F$15,3),0)+1</f>
        <v>1.4810939708444968</v>
      </c>
      <c r="F70" s="2">
        <v>0.5</v>
      </c>
      <c r="G70" s="2">
        <f t="shared" si="16"/>
        <v>1.2405469854222484</v>
      </c>
      <c r="H70" s="2">
        <f t="shared" si="17"/>
        <v>1.2405469854222484</v>
      </c>
      <c r="I70" s="138"/>
      <c r="J70" s="2">
        <f>1-IF(I70&gt;0,VLOOKUP(I70,SurveyTripLengthsAndPassBy!D$3:I$15,6),0)</f>
        <v>1</v>
      </c>
    </row>
    <row r="71" spans="1:11" x14ac:dyDescent="0.25">
      <c r="A71">
        <v>710</v>
      </c>
      <c r="B71" t="s">
        <v>256</v>
      </c>
      <c r="C71" t="s">
        <v>112</v>
      </c>
      <c r="D71">
        <v>1</v>
      </c>
      <c r="E71" s="2">
        <f>IF(D71&gt;0,VLOOKUP(D71,SurveyTripLengthsAndPassBy!D$3:F$15,3),0)+1</f>
        <v>1.4810939708444968</v>
      </c>
      <c r="F71" s="2">
        <v>0.5</v>
      </c>
      <c r="G71" s="2">
        <f t="shared" si="16"/>
        <v>1.2405469854222484</v>
      </c>
      <c r="H71" s="2">
        <f t="shared" si="17"/>
        <v>1.2405469854222484</v>
      </c>
      <c r="I71" s="138"/>
      <c r="J71" s="2">
        <f>1-IF(I71&gt;0,VLOOKUP(I71,SurveyTripLengthsAndPassBy!D$3:I$15,6),0)</f>
        <v>1</v>
      </c>
    </row>
    <row r="72" spans="1:11" x14ac:dyDescent="0.25">
      <c r="A72">
        <v>710</v>
      </c>
      <c r="B72" t="s">
        <v>258</v>
      </c>
      <c r="C72" t="s">
        <v>112</v>
      </c>
      <c r="D72">
        <v>1</v>
      </c>
      <c r="E72" s="2">
        <f>IF(D72&gt;0,VLOOKUP(D72,SurveyTripLengthsAndPassBy!D$3:F$15,3),0)+1</f>
        <v>1.4810939708444968</v>
      </c>
      <c r="F72" s="2">
        <v>0.5</v>
      </c>
      <c r="G72" s="2">
        <f t="shared" si="16"/>
        <v>1.2405469854222484</v>
      </c>
      <c r="H72" s="2">
        <f t="shared" si="17"/>
        <v>1.2405469854222484</v>
      </c>
      <c r="I72" s="138"/>
      <c r="J72" s="2">
        <f>1-IF(I72&gt;0,VLOOKUP(I72,SurveyTripLengthsAndPassBy!D$3:I$15,6),0)</f>
        <v>1</v>
      </c>
    </row>
    <row r="73" spans="1:11" x14ac:dyDescent="0.25">
      <c r="A73">
        <v>712</v>
      </c>
      <c r="B73" t="s">
        <v>260</v>
      </c>
      <c r="C73" t="s">
        <v>112</v>
      </c>
      <c r="D73">
        <v>1</v>
      </c>
      <c r="E73" s="2">
        <f>IF(D73&gt;0,VLOOKUP(D73,SurveyTripLengthsAndPassBy!D$3:F$15,3),0)+1</f>
        <v>1.4810939708444968</v>
      </c>
      <c r="F73" s="2">
        <v>0.5</v>
      </c>
      <c r="G73" s="2">
        <f t="shared" si="16"/>
        <v>1.2405469854222484</v>
      </c>
      <c r="H73" s="2">
        <f t="shared" si="17"/>
        <v>1.2405469854222484</v>
      </c>
      <c r="I73" s="138"/>
      <c r="J73" s="2">
        <f>1-IF(I73&gt;0,VLOOKUP(I73,SurveyTripLengthsAndPassBy!D$3:I$15,6),0)</f>
        <v>1</v>
      </c>
    </row>
    <row r="74" spans="1:11" x14ac:dyDescent="0.25">
      <c r="A74">
        <v>714</v>
      </c>
      <c r="B74" t="s">
        <v>529</v>
      </c>
      <c r="C74" t="s">
        <v>112</v>
      </c>
      <c r="D74">
        <v>1</v>
      </c>
      <c r="E74" s="2">
        <f>IF(D74&gt;0,VLOOKUP(D74,SurveyTripLengthsAndPassBy!D$3:F$15,3),0)+1</f>
        <v>1.4810939708444968</v>
      </c>
      <c r="F74" s="2">
        <v>0.5</v>
      </c>
      <c r="G74" s="2">
        <f t="shared" si="16"/>
        <v>1.2405469854222484</v>
      </c>
      <c r="H74" s="2">
        <f t="shared" si="17"/>
        <v>1.2405469854222484</v>
      </c>
      <c r="I74" s="138"/>
      <c r="J74" s="2">
        <f>1-IF(I74&gt;0,VLOOKUP(I74,SurveyTripLengthsAndPassBy!D$3:I$15,6),0)</f>
        <v>1</v>
      </c>
    </row>
    <row r="75" spans="1:11" x14ac:dyDescent="0.25">
      <c r="A75">
        <v>715</v>
      </c>
      <c r="B75" t="s">
        <v>264</v>
      </c>
      <c r="C75" t="s">
        <v>112</v>
      </c>
      <c r="D75">
        <v>1</v>
      </c>
      <c r="E75" s="2">
        <f>IF(D75&gt;0,VLOOKUP(D75,SurveyTripLengthsAndPassBy!D$3:F$15,3),0)+1</f>
        <v>1.4810939708444968</v>
      </c>
      <c r="F75" s="2">
        <v>0.5</v>
      </c>
      <c r="G75" s="2">
        <f t="shared" si="16"/>
        <v>1.2405469854222484</v>
      </c>
      <c r="H75" s="2">
        <f t="shared" si="17"/>
        <v>1.2405469854222484</v>
      </c>
      <c r="I75" s="138"/>
      <c r="J75" s="2">
        <f>1-IF(I75&gt;0,VLOOKUP(I75,SurveyTripLengthsAndPassBy!D$3:I$15,6),0)</f>
        <v>1</v>
      </c>
    </row>
    <row r="76" spans="1:11" x14ac:dyDescent="0.25">
      <c r="A76">
        <v>720</v>
      </c>
      <c r="B76" t="s">
        <v>266</v>
      </c>
      <c r="C76" t="s">
        <v>112</v>
      </c>
      <c r="E76" s="2"/>
      <c r="F76" s="2"/>
      <c r="G76" s="798">
        <f>HillsboroughLength_PassBy!E$20</f>
        <v>0.892749244712991</v>
      </c>
      <c r="H76" s="798">
        <f t="shared" si="17"/>
        <v>0.892749244712991</v>
      </c>
      <c r="I76" s="804"/>
      <c r="J76" s="798">
        <f>HillsboroughLength_PassBy!G$20</f>
        <v>0.91800000000000004</v>
      </c>
      <c r="K76" s="424" t="s">
        <v>527</v>
      </c>
    </row>
    <row r="77" spans="1:11" x14ac:dyDescent="0.25">
      <c r="A77">
        <v>730</v>
      </c>
      <c r="B77" t="s">
        <v>268</v>
      </c>
      <c r="C77" t="s">
        <v>112</v>
      </c>
      <c r="D77">
        <v>1</v>
      </c>
      <c r="E77" s="2">
        <f>IF(D77&gt;0,VLOOKUP(D77,SurveyTripLengthsAndPassBy!D$3:F$15,3),0)+1</f>
        <v>1.4810939708444968</v>
      </c>
      <c r="F77" s="2">
        <v>0.5</v>
      </c>
      <c r="G77" s="2">
        <f t="shared" si="16"/>
        <v>1.2405469854222484</v>
      </c>
      <c r="H77" s="2">
        <f t="shared" si="17"/>
        <v>1.2405469854222484</v>
      </c>
      <c r="I77" s="138"/>
      <c r="J77" s="2">
        <f>1-IF(I77&gt;0,VLOOKUP(I77,SurveyTripLengthsAndPassBy!D$3:I$15,6),0)</f>
        <v>1</v>
      </c>
    </row>
    <row r="78" spans="1:11" x14ac:dyDescent="0.25">
      <c r="A78">
        <v>731</v>
      </c>
      <c r="B78" t="s">
        <v>270</v>
      </c>
      <c r="C78" t="s">
        <v>112</v>
      </c>
      <c r="D78">
        <v>7</v>
      </c>
      <c r="E78" s="2">
        <f>IF(D78&gt;0,VLOOKUP(D78,SurveyTripLengthsAndPassBy!D$3:F$15,3),0)+1</f>
        <v>0.56941201361337035</v>
      </c>
      <c r="F78" s="2">
        <v>0.9</v>
      </c>
      <c r="G78" s="2">
        <f t="shared" si="16"/>
        <v>0.61247081225203326</v>
      </c>
      <c r="H78" s="2">
        <f t="shared" si="17"/>
        <v>0.61247081225203326</v>
      </c>
      <c r="I78" s="138"/>
      <c r="J78" s="2">
        <f>1-IF(I78&gt;0,VLOOKUP(I78,SurveyTripLengthsAndPassBy!D$3:I$15,6),0)</f>
        <v>1</v>
      </c>
    </row>
    <row r="79" spans="1:11" x14ac:dyDescent="0.25">
      <c r="A79">
        <v>733</v>
      </c>
      <c r="B79" t="s">
        <v>272</v>
      </c>
      <c r="C79" t="s">
        <v>112</v>
      </c>
      <c r="D79">
        <v>1</v>
      </c>
      <c r="E79" s="2">
        <f>IF(D79&gt;0,VLOOKUP(D79,SurveyTripLengthsAndPassBy!D$3:F$15,3),0)+1</f>
        <v>1.4810939708444968</v>
      </c>
      <c r="F79" s="2">
        <v>0.5</v>
      </c>
      <c r="G79" s="2">
        <f t="shared" si="16"/>
        <v>1.2405469854222484</v>
      </c>
      <c r="H79" s="2">
        <f t="shared" si="17"/>
        <v>1.2405469854222484</v>
      </c>
      <c r="I79" s="138"/>
      <c r="J79" s="2">
        <f>1-IF(I79&gt;0,VLOOKUP(I79,SurveyTripLengthsAndPassBy!D$3:I$15,6),0)</f>
        <v>1</v>
      </c>
    </row>
    <row r="80" spans="1:11" x14ac:dyDescent="0.25">
      <c r="A80">
        <v>750</v>
      </c>
      <c r="B80" t="s">
        <v>274</v>
      </c>
      <c r="C80" t="s">
        <v>112</v>
      </c>
      <c r="D80">
        <v>1</v>
      </c>
      <c r="E80" s="2">
        <f>IF(D80&gt;0,VLOOKUP(D80,SurveyTripLengthsAndPassBy!D$3:F$15,3),0)+1</f>
        <v>1.4810939708444968</v>
      </c>
      <c r="F80" s="2">
        <v>0.5</v>
      </c>
      <c r="G80" s="2">
        <f t="shared" si="16"/>
        <v>1.2405469854222484</v>
      </c>
      <c r="H80" s="2">
        <f t="shared" si="17"/>
        <v>1.2405469854222484</v>
      </c>
      <c r="I80" s="138"/>
      <c r="J80" s="2">
        <f>1-IF(I80&gt;0,VLOOKUP(I80,SurveyTripLengthsAndPassBy!D$3:I$15,6),0)</f>
        <v>1</v>
      </c>
    </row>
    <row r="81" spans="1:11" x14ac:dyDescent="0.25">
      <c r="A81">
        <v>760</v>
      </c>
      <c r="B81" t="s">
        <v>276</v>
      </c>
      <c r="C81" t="s">
        <v>112</v>
      </c>
      <c r="D81">
        <v>1</v>
      </c>
      <c r="E81" s="2">
        <f>IF(D81&gt;0,VLOOKUP(D81,SurveyTripLengthsAndPassBy!D$3:F$15,3),0)+1</f>
        <v>1.4810939708444968</v>
      </c>
      <c r="F81" s="2">
        <v>0.5</v>
      </c>
      <c r="G81" s="2">
        <f t="shared" si="16"/>
        <v>1.2405469854222484</v>
      </c>
      <c r="H81" s="2">
        <f t="shared" si="17"/>
        <v>1.2405469854222484</v>
      </c>
      <c r="I81" s="138"/>
      <c r="J81" s="2">
        <f>1-IF(I81&gt;0,VLOOKUP(I81,SurveyTripLengthsAndPassBy!D$3:I$15,6),0)</f>
        <v>1</v>
      </c>
    </row>
    <row r="82" spans="1:11" x14ac:dyDescent="0.25">
      <c r="A82">
        <v>770</v>
      </c>
      <c r="B82" t="s">
        <v>278</v>
      </c>
      <c r="C82" t="s">
        <v>112</v>
      </c>
      <c r="D82">
        <v>1</v>
      </c>
      <c r="E82" s="2">
        <f>IF(D82&gt;0,VLOOKUP(D82,SurveyTripLengthsAndPassBy!D$3:F$15,3),0)+1</f>
        <v>1.4810939708444968</v>
      </c>
      <c r="F82" s="2">
        <v>0.5</v>
      </c>
      <c r="G82" s="2">
        <f t="shared" si="16"/>
        <v>1.2405469854222484</v>
      </c>
      <c r="H82" s="2">
        <f t="shared" si="17"/>
        <v>1.2405469854222484</v>
      </c>
      <c r="I82" s="138"/>
      <c r="J82" s="2">
        <f>1-IF(I82&gt;0,VLOOKUP(I82,SurveyTripLengthsAndPassBy!D$3:I$15,6),0)</f>
        <v>1</v>
      </c>
    </row>
    <row r="83" spans="1:11" x14ac:dyDescent="0.25">
      <c r="A83" t="s">
        <v>465</v>
      </c>
      <c r="H83" s="2"/>
      <c r="I83" s="138"/>
      <c r="J83" s="2"/>
    </row>
    <row r="84" spans="1:11" x14ac:dyDescent="0.25">
      <c r="A84">
        <v>812</v>
      </c>
      <c r="B84" t="s">
        <v>280</v>
      </c>
      <c r="C84" t="s">
        <v>112</v>
      </c>
      <c r="D84">
        <v>6</v>
      </c>
      <c r="E84" s="2">
        <f>IF(D84&gt;0,VLOOKUP(D84,SurveyTripLengthsAndPassBy!D$3:F$15,3),0)+1</f>
        <v>0.84385239633600306</v>
      </c>
      <c r="F84" s="2">
        <v>0.8</v>
      </c>
      <c r="G84" s="2">
        <f t="shared" ref="G84:G121" si="18">(1-F84)+E84*F84</f>
        <v>0.87508191706880245</v>
      </c>
      <c r="H84" s="2">
        <f t="shared" ref="H84:H121" si="19">G84</f>
        <v>0.87508191706880245</v>
      </c>
      <c r="I84" s="138"/>
      <c r="J84" s="2">
        <f>1-IF(I84&gt;0,VLOOKUP(I84,SurveyTripLengthsAndPassBy!D$3:I$15,6),0)</f>
        <v>1</v>
      </c>
    </row>
    <row r="85" spans="1:11" x14ac:dyDescent="0.25">
      <c r="A85">
        <v>813</v>
      </c>
      <c r="B85" t="s">
        <v>282</v>
      </c>
      <c r="C85" t="s">
        <v>112</v>
      </c>
      <c r="D85">
        <v>6</v>
      </c>
      <c r="E85" s="2">
        <f>IF(D85&gt;0,VLOOKUP(D85,SurveyTripLengthsAndPassBy!D$3:F$15,3),0)+1</f>
        <v>0.84385239633600306</v>
      </c>
      <c r="F85" s="2">
        <v>0.9</v>
      </c>
      <c r="G85" s="2">
        <f t="shared" si="18"/>
        <v>0.8594671567024027</v>
      </c>
      <c r="H85" s="2">
        <f t="shared" si="19"/>
        <v>0.8594671567024027</v>
      </c>
      <c r="I85" s="138"/>
      <c r="J85" s="2">
        <f>1-IF(I85&gt;0,VLOOKUP(I85,SurveyTripLengthsAndPassBy!D$3:I$15,6),0)</f>
        <v>1</v>
      </c>
    </row>
    <row r="86" spans="1:11" x14ac:dyDescent="0.25">
      <c r="A86">
        <v>816</v>
      </c>
      <c r="B86" t="s">
        <v>284</v>
      </c>
      <c r="C86" t="s">
        <v>112</v>
      </c>
      <c r="D86">
        <v>6</v>
      </c>
      <c r="E86" s="2">
        <f>IF(D86&gt;0,VLOOKUP(D86,SurveyTripLengthsAndPassBy!D$3:F$15,3),0)+1</f>
        <v>0.84385239633600306</v>
      </c>
      <c r="F86" s="2">
        <v>0.9</v>
      </c>
      <c r="G86" s="2">
        <f t="shared" si="18"/>
        <v>0.8594671567024027</v>
      </c>
      <c r="H86" s="2">
        <f t="shared" si="19"/>
        <v>0.8594671567024027</v>
      </c>
      <c r="I86" s="138"/>
      <c r="J86" s="2">
        <f>1-IF(I86&gt;0,VLOOKUP(I86,SurveyTripLengthsAndPassBy!D$3:I$15,6),0)</f>
        <v>1</v>
      </c>
    </row>
    <row r="87" spans="1:11" x14ac:dyDescent="0.25">
      <c r="A87">
        <v>817</v>
      </c>
      <c r="B87" t="s">
        <v>286</v>
      </c>
      <c r="C87" t="s">
        <v>112</v>
      </c>
      <c r="D87">
        <v>6</v>
      </c>
      <c r="E87" s="2">
        <f>IF(D87&gt;0,VLOOKUP(D87,SurveyTripLengthsAndPassBy!D$3:F$15,3),0)+1</f>
        <v>0.84385239633600306</v>
      </c>
      <c r="F87" s="2">
        <v>0.9</v>
      </c>
      <c r="G87" s="2">
        <f t="shared" si="18"/>
        <v>0.8594671567024027</v>
      </c>
      <c r="H87" s="2">
        <f t="shared" si="19"/>
        <v>0.8594671567024027</v>
      </c>
      <c r="I87" s="138"/>
      <c r="J87" s="2">
        <f>1-IF(I87&gt;0,VLOOKUP(I87,SurveyTripLengthsAndPassBy!D$3:I$15,6),0)</f>
        <v>1</v>
      </c>
    </row>
    <row r="88" spans="1:11" x14ac:dyDescent="0.25">
      <c r="A88">
        <v>820</v>
      </c>
      <c r="B88" t="s">
        <v>387</v>
      </c>
      <c r="C88" s="574" t="s">
        <v>112</v>
      </c>
      <c r="D88" s="574">
        <v>6</v>
      </c>
      <c r="E88" s="781">
        <f>IF(D88&gt;0,VLOOKUP(D88,SurveyTripLengthsAndPassBy!D$3:F$15,3),0)+1</f>
        <v>0.84385239633600306</v>
      </c>
      <c r="F88" s="781">
        <v>0.9</v>
      </c>
      <c r="G88" s="781">
        <f t="shared" si="18"/>
        <v>0.8594671567024027</v>
      </c>
      <c r="H88" s="781">
        <f t="shared" si="19"/>
        <v>0.8594671567024027</v>
      </c>
      <c r="I88" s="782"/>
      <c r="J88" s="781">
        <f>1-IF(I88&gt;0,VLOOKUP(I88,SurveyTripLengthsAndPassBy!D$3:I$15,6),0)</f>
        <v>1</v>
      </c>
    </row>
    <row r="89" spans="1:11" x14ac:dyDescent="0.25">
      <c r="A89">
        <v>820</v>
      </c>
      <c r="B89" t="s">
        <v>288</v>
      </c>
      <c r="C89" t="s">
        <v>112</v>
      </c>
      <c r="E89" s="2"/>
      <c r="F89" s="2"/>
      <c r="G89" s="798">
        <f>HillsboroughLength_PassBy!$E37</f>
        <v>0.30211480362537763</v>
      </c>
      <c r="H89" s="798">
        <f t="shared" ref="H89" si="20">G89</f>
        <v>0.30211480362537763</v>
      </c>
      <c r="I89" s="804"/>
      <c r="J89" s="798">
        <f>HillsboroughLength_PassBy!$G37</f>
        <v>0.4</v>
      </c>
      <c r="K89" s="424" t="s">
        <v>527</v>
      </c>
    </row>
    <row r="90" spans="1:11" x14ac:dyDescent="0.25">
      <c r="A90">
        <v>820</v>
      </c>
      <c r="B90" t="s">
        <v>290</v>
      </c>
      <c r="C90" t="s">
        <v>112</v>
      </c>
      <c r="E90" s="2"/>
      <c r="F90" s="2"/>
      <c r="G90" s="798">
        <f>HillsboroughLength_PassBy!$E38</f>
        <v>0.34743202416918428</v>
      </c>
      <c r="H90" s="798">
        <f t="shared" ref="H90:H100" si="21">G90</f>
        <v>0.34743202416918428</v>
      </c>
      <c r="I90" s="804"/>
      <c r="J90" s="798">
        <f>HillsboroughLength_PassBy!$G38</f>
        <v>0.5</v>
      </c>
    </row>
    <row r="91" spans="1:11" x14ac:dyDescent="0.25">
      <c r="A91">
        <v>820</v>
      </c>
      <c r="B91" t="s">
        <v>242</v>
      </c>
      <c r="C91" t="s">
        <v>112</v>
      </c>
      <c r="E91" s="2"/>
      <c r="F91" s="2"/>
      <c r="G91" s="798">
        <f>HillsboroughLength_PassBy!$E39</f>
        <v>0.36253776435045315</v>
      </c>
      <c r="H91" s="798">
        <f t="shared" si="21"/>
        <v>0.36253776435045315</v>
      </c>
      <c r="I91" s="804"/>
      <c r="J91" s="798">
        <f>HillsboroughLength_PassBy!$G39</f>
        <v>0.6</v>
      </c>
    </row>
    <row r="92" spans="1:11" x14ac:dyDescent="0.25">
      <c r="A92">
        <v>820</v>
      </c>
      <c r="B92" t="s">
        <v>293</v>
      </c>
      <c r="C92" t="s">
        <v>112</v>
      </c>
      <c r="E92" s="2"/>
      <c r="F92" s="2"/>
      <c r="G92" s="798">
        <f>HillsboroughLength_PassBy!$E40</f>
        <v>0.37764350453172207</v>
      </c>
      <c r="H92" s="798">
        <f t="shared" si="21"/>
        <v>0.37764350453172207</v>
      </c>
      <c r="I92" s="804"/>
      <c r="J92" s="798">
        <f>HillsboroughLength_PassBy!$G40</f>
        <v>0.67700000000000005</v>
      </c>
    </row>
    <row r="93" spans="1:11" x14ac:dyDescent="0.25">
      <c r="A93">
        <v>820</v>
      </c>
      <c r="B93" t="s">
        <v>248</v>
      </c>
      <c r="C93" t="s">
        <v>112</v>
      </c>
      <c r="E93" s="2"/>
      <c r="F93" s="2"/>
      <c r="G93" s="798">
        <f>HillsboroughLength_PassBy!$E41</f>
        <v>0.39274924471299094</v>
      </c>
      <c r="H93" s="798">
        <f t="shared" si="21"/>
        <v>0.39274924471299094</v>
      </c>
      <c r="I93" s="804"/>
      <c r="J93" s="798">
        <f>HillsboroughLength_PassBy!$G41</f>
        <v>0.7</v>
      </c>
    </row>
    <row r="94" spans="1:11" x14ac:dyDescent="0.25">
      <c r="A94">
        <v>820</v>
      </c>
      <c r="B94" t="s">
        <v>250</v>
      </c>
      <c r="C94" t="s">
        <v>112</v>
      </c>
      <c r="E94" s="2"/>
      <c r="F94" s="2"/>
      <c r="G94" s="798">
        <f>HillsboroughLength_PassBy!$E42</f>
        <v>0.40785498489425986</v>
      </c>
      <c r="H94" s="798">
        <f t="shared" si="21"/>
        <v>0.40785498489425986</v>
      </c>
      <c r="I94" s="804"/>
      <c r="J94" s="798">
        <f>HillsboroughLength_PassBy!$G42</f>
        <v>0.72</v>
      </c>
    </row>
    <row r="95" spans="1:11" x14ac:dyDescent="0.25">
      <c r="A95">
        <v>820</v>
      </c>
      <c r="B95" t="s">
        <v>252</v>
      </c>
      <c r="C95" t="s">
        <v>112</v>
      </c>
      <c r="E95" s="2"/>
      <c r="F95" s="2"/>
      <c r="G95" s="798">
        <f>HillsboroughLength_PassBy!$E43</f>
        <v>0.42296072507552868</v>
      </c>
      <c r="H95" s="798">
        <f t="shared" si="21"/>
        <v>0.42296072507552868</v>
      </c>
      <c r="I95" s="804"/>
      <c r="J95" s="798">
        <f>HillsboroughLength_PassBy!$G43</f>
        <v>0.74</v>
      </c>
    </row>
    <row r="96" spans="1:11" x14ac:dyDescent="0.25">
      <c r="A96">
        <v>820</v>
      </c>
      <c r="B96" t="s">
        <v>254</v>
      </c>
      <c r="C96" t="s">
        <v>112</v>
      </c>
      <c r="E96" s="2"/>
      <c r="F96" s="2"/>
      <c r="G96" s="798">
        <f>HillsboroughLength_PassBy!$E44</f>
        <v>0.43806646525679754</v>
      </c>
      <c r="H96" s="798">
        <f t="shared" si="21"/>
        <v>0.43806646525679754</v>
      </c>
      <c r="I96" s="804"/>
      <c r="J96" s="798">
        <f>HillsboroughLength_PassBy!$G44</f>
        <v>0.76</v>
      </c>
    </row>
    <row r="97" spans="1:11" x14ac:dyDescent="0.25">
      <c r="A97">
        <v>820</v>
      </c>
      <c r="B97" t="s">
        <v>299</v>
      </c>
      <c r="C97" t="s">
        <v>112</v>
      </c>
      <c r="E97" s="2"/>
      <c r="F97" s="2"/>
      <c r="G97" s="798">
        <f>HillsboroughLength_PassBy!$E45</f>
        <v>0.45317220543806647</v>
      </c>
      <c r="H97" s="798">
        <f t="shared" si="21"/>
        <v>0.45317220543806647</v>
      </c>
      <c r="I97" s="804"/>
      <c r="J97" s="798">
        <f>HillsboroughLength_PassBy!$G45</f>
        <v>0.78</v>
      </c>
    </row>
    <row r="98" spans="1:11" x14ac:dyDescent="0.25">
      <c r="A98">
        <v>820</v>
      </c>
      <c r="B98" t="s">
        <v>301</v>
      </c>
      <c r="C98" t="s">
        <v>112</v>
      </c>
      <c r="E98" s="2"/>
      <c r="F98" s="2"/>
      <c r="G98" s="798">
        <f>HillsboroughLength_PassBy!$E46</f>
        <v>0.49848942598187307</v>
      </c>
      <c r="H98" s="798">
        <f t="shared" si="21"/>
        <v>0.49848942598187307</v>
      </c>
      <c r="I98" s="804"/>
      <c r="J98" s="798">
        <f>HillsboroughLength_PassBy!$G46</f>
        <v>0.8</v>
      </c>
    </row>
    <row r="99" spans="1:11" x14ac:dyDescent="0.25">
      <c r="A99">
        <v>820</v>
      </c>
      <c r="B99" t="s">
        <v>303</v>
      </c>
      <c r="C99" t="s">
        <v>112</v>
      </c>
      <c r="E99" s="2"/>
      <c r="F99" s="2"/>
      <c r="G99" s="798">
        <f>HillsboroughLength_PassBy!$E47</f>
        <v>0.51359516616314194</v>
      </c>
      <c r="H99" s="798">
        <f t="shared" si="21"/>
        <v>0.51359516616314194</v>
      </c>
      <c r="I99" s="804"/>
      <c r="J99" s="798">
        <f>HillsboroughLength_PassBy!$G47</f>
        <v>0.81</v>
      </c>
    </row>
    <row r="100" spans="1:11" x14ac:dyDescent="0.25">
      <c r="A100">
        <v>820</v>
      </c>
      <c r="B100" t="s">
        <v>305</v>
      </c>
      <c r="C100" t="s">
        <v>112</v>
      </c>
      <c r="E100" s="2"/>
      <c r="F100" s="2"/>
      <c r="G100" s="798">
        <f>HillsboroughLength_PassBy!$E48</f>
        <v>0.52870090634441091</v>
      </c>
      <c r="H100" s="798">
        <f t="shared" si="21"/>
        <v>0.52870090634441091</v>
      </c>
      <c r="I100" s="804"/>
      <c r="J100" s="798">
        <f>HillsboroughLength_PassBy!$G48</f>
        <v>0.82</v>
      </c>
    </row>
    <row r="101" spans="1:11" x14ac:dyDescent="0.25">
      <c r="A101">
        <v>823</v>
      </c>
      <c r="B101" t="s">
        <v>307</v>
      </c>
      <c r="C101" t="s">
        <v>112</v>
      </c>
      <c r="E101" s="2"/>
      <c r="F101" s="2"/>
      <c r="G101" s="2">
        <f t="shared" si="18"/>
        <v>1</v>
      </c>
      <c r="H101" s="2">
        <f t="shared" si="19"/>
        <v>1</v>
      </c>
      <c r="I101" s="138"/>
      <c r="J101" s="2">
        <f>1-IF(I101&gt;0,VLOOKUP(I101,SurveyTripLengthsAndPassBy!D$3:I$15,6),0)</f>
        <v>1</v>
      </c>
    </row>
    <row r="102" spans="1:11" x14ac:dyDescent="0.25">
      <c r="A102">
        <v>840</v>
      </c>
      <c r="B102" t="s">
        <v>309</v>
      </c>
      <c r="C102" t="s">
        <v>112</v>
      </c>
      <c r="E102" s="2"/>
      <c r="F102" s="2"/>
      <c r="G102" s="798">
        <f>HillsboroughLength_PassBy!E$21</f>
        <v>0.69486404833836857</v>
      </c>
      <c r="H102" s="798">
        <f t="shared" si="19"/>
        <v>0.69486404833836857</v>
      </c>
      <c r="I102" s="804"/>
      <c r="J102" s="798">
        <f>HillsboroughLength_PassBy!G$21</f>
        <v>0.78500000000000003</v>
      </c>
      <c r="K102" s="424" t="s">
        <v>527</v>
      </c>
    </row>
    <row r="103" spans="1:11" x14ac:dyDescent="0.25">
      <c r="A103">
        <v>843</v>
      </c>
      <c r="B103" t="s">
        <v>530</v>
      </c>
      <c r="C103" t="s">
        <v>112</v>
      </c>
      <c r="E103" s="2"/>
      <c r="F103" s="2"/>
      <c r="G103" s="798">
        <f>HillsboroughLength_PassBy!E$21</f>
        <v>0.69486404833836857</v>
      </c>
      <c r="H103" s="798">
        <f t="shared" si="19"/>
        <v>0.69486404833836857</v>
      </c>
      <c r="I103" s="804"/>
      <c r="J103" s="798">
        <f>HillsboroughLength_PassBy!G$21</f>
        <v>0.78500000000000003</v>
      </c>
      <c r="K103" s="424" t="s">
        <v>527</v>
      </c>
    </row>
    <row r="104" spans="1:11" x14ac:dyDescent="0.25">
      <c r="A104">
        <v>848</v>
      </c>
      <c r="B104" t="s">
        <v>313</v>
      </c>
      <c r="C104" t="s">
        <v>112</v>
      </c>
      <c r="D104">
        <v>6</v>
      </c>
      <c r="E104" s="2">
        <f>IF(D104&gt;0,VLOOKUP(D104,SurveyTripLengthsAndPassBy!D$3:F$15,3),0)+1</f>
        <v>0.84385239633600306</v>
      </c>
      <c r="F104" s="2">
        <v>0.9</v>
      </c>
      <c r="G104" s="2">
        <f t="shared" si="18"/>
        <v>0.8594671567024027</v>
      </c>
      <c r="H104" s="2">
        <f t="shared" si="19"/>
        <v>0.8594671567024027</v>
      </c>
      <c r="I104" s="138"/>
      <c r="J104" s="2">
        <f>1-IF(I104&gt;0,VLOOKUP(I104,SurveyTripLengthsAndPassBy!D$3:I$15,6),0)</f>
        <v>1</v>
      </c>
    </row>
    <row r="105" spans="1:11" x14ac:dyDescent="0.25">
      <c r="A105">
        <v>850</v>
      </c>
      <c r="B105" t="s">
        <v>315</v>
      </c>
      <c r="C105" t="s">
        <v>112</v>
      </c>
      <c r="E105" s="2"/>
      <c r="F105" s="2"/>
      <c r="G105" s="798">
        <f>HillsboroughLength_PassBy!E$22</f>
        <v>0.31419939577039274</v>
      </c>
      <c r="H105" s="798">
        <f t="shared" ref="H105:H107" si="22">G105</f>
        <v>0.31419939577039274</v>
      </c>
      <c r="I105" s="804"/>
      <c r="J105" s="798">
        <f>HillsboroughLength_PassBy!G$22</f>
        <v>0.56000000000000005</v>
      </c>
      <c r="K105" s="424" t="s">
        <v>527</v>
      </c>
    </row>
    <row r="106" spans="1:11" x14ac:dyDescent="0.25">
      <c r="A106">
        <v>851</v>
      </c>
      <c r="B106" t="s">
        <v>317</v>
      </c>
      <c r="C106" t="s">
        <v>112</v>
      </c>
      <c r="E106" s="2"/>
      <c r="F106" s="2"/>
      <c r="G106" s="798">
        <f>HillsboroughLength_PassBy!E$31</f>
        <v>0.32930513595166166</v>
      </c>
      <c r="H106" s="798">
        <f t="shared" si="22"/>
        <v>0.32930513595166166</v>
      </c>
      <c r="I106" s="804"/>
      <c r="J106" s="798">
        <f>HillsboroughLength_PassBy!G$31</f>
        <v>0.67700000000000005</v>
      </c>
      <c r="K106" s="424" t="s">
        <v>531</v>
      </c>
    </row>
    <row r="107" spans="1:11" x14ac:dyDescent="0.25">
      <c r="A107">
        <v>853</v>
      </c>
      <c r="B107" t="s">
        <v>319</v>
      </c>
      <c r="C107" t="s">
        <v>112</v>
      </c>
      <c r="E107" s="2"/>
      <c r="F107" s="2"/>
      <c r="G107" s="798">
        <f>HillsboroughLength_PassBy!E$31</f>
        <v>0.32930513595166166</v>
      </c>
      <c r="H107" s="798">
        <f t="shared" si="22"/>
        <v>0.32930513595166166</v>
      </c>
      <c r="I107" s="804"/>
      <c r="J107" s="798">
        <f>HillsboroughLength_PassBy!G$31</f>
        <v>0.67700000000000005</v>
      </c>
      <c r="K107" s="424" t="s">
        <v>531</v>
      </c>
    </row>
    <row r="108" spans="1:11" x14ac:dyDescent="0.25">
      <c r="A108">
        <v>857</v>
      </c>
      <c r="B108" t="s">
        <v>321</v>
      </c>
      <c r="C108" t="s">
        <v>112</v>
      </c>
      <c r="D108">
        <v>6</v>
      </c>
      <c r="E108" s="2">
        <f>IF(D108&gt;0,VLOOKUP(D108,SurveyTripLengthsAndPassBy!D$3:F$15,3),0)+1</f>
        <v>0.84385239633600306</v>
      </c>
      <c r="F108" s="2">
        <v>0.9</v>
      </c>
      <c r="G108" s="2">
        <f t="shared" si="18"/>
        <v>0.8594671567024027</v>
      </c>
      <c r="H108" s="2">
        <f t="shared" si="19"/>
        <v>0.8594671567024027</v>
      </c>
      <c r="I108" s="138"/>
      <c r="J108" s="2">
        <f>1-IF(I108&gt;0,VLOOKUP(I108,SurveyTripLengthsAndPassBy!D$3:I$15,6),0)</f>
        <v>1</v>
      </c>
    </row>
    <row r="109" spans="1:11" x14ac:dyDescent="0.25">
      <c r="A109">
        <v>861</v>
      </c>
      <c r="B109" t="s">
        <v>323</v>
      </c>
      <c r="C109" t="s">
        <v>112</v>
      </c>
      <c r="D109">
        <v>6</v>
      </c>
      <c r="E109" s="2">
        <f>IF(D109&gt;0,VLOOKUP(D109,SurveyTripLengthsAndPassBy!D$3:F$15,3),0)+1</f>
        <v>0.84385239633600306</v>
      </c>
      <c r="F109" s="2">
        <v>0.9</v>
      </c>
      <c r="G109" s="2">
        <f t="shared" si="18"/>
        <v>0.8594671567024027</v>
      </c>
      <c r="H109" s="2">
        <f t="shared" si="19"/>
        <v>0.8594671567024027</v>
      </c>
      <c r="I109" s="138"/>
      <c r="J109" s="2">
        <f>1-IF(I109&gt;0,VLOOKUP(I109,SurveyTripLengthsAndPassBy!D$3:I$15,6),0)</f>
        <v>1</v>
      </c>
    </row>
    <row r="110" spans="1:11" x14ac:dyDescent="0.25">
      <c r="A110">
        <v>862</v>
      </c>
      <c r="B110" t="s">
        <v>325</v>
      </c>
      <c r="C110" t="s">
        <v>112</v>
      </c>
      <c r="D110">
        <v>6</v>
      </c>
      <c r="E110" s="2">
        <f>IF(D110&gt;0,VLOOKUP(D110,SurveyTripLengthsAndPassBy!D$3:F$15,3),0)+1</f>
        <v>0.84385239633600306</v>
      </c>
      <c r="F110" s="2">
        <v>0.9</v>
      </c>
      <c r="G110" s="2">
        <f t="shared" si="18"/>
        <v>0.8594671567024027</v>
      </c>
      <c r="H110" s="2">
        <f t="shared" si="19"/>
        <v>0.8594671567024027</v>
      </c>
      <c r="I110" s="138"/>
      <c r="J110" s="2">
        <f>1-IF(I110&gt;0,VLOOKUP(I110,SurveyTripLengthsAndPassBy!D$3:I$15,6),0)</f>
        <v>1</v>
      </c>
    </row>
    <row r="111" spans="1:11" x14ac:dyDescent="0.25">
      <c r="A111">
        <v>863</v>
      </c>
      <c r="B111" t="s">
        <v>327</v>
      </c>
      <c r="C111" t="s">
        <v>112</v>
      </c>
      <c r="D111">
        <v>6</v>
      </c>
      <c r="E111" s="2">
        <f>IF(D111&gt;0,VLOOKUP(D111,SurveyTripLengthsAndPassBy!D$3:F$15,3),0)+1</f>
        <v>0.84385239633600306</v>
      </c>
      <c r="F111" s="2">
        <v>0.9</v>
      </c>
      <c r="G111" s="2">
        <f t="shared" si="18"/>
        <v>0.8594671567024027</v>
      </c>
      <c r="H111" s="2">
        <f t="shared" si="19"/>
        <v>0.8594671567024027</v>
      </c>
      <c r="I111" s="138"/>
      <c r="J111" s="2">
        <f>1-IF(I111&gt;0,VLOOKUP(I111,SurveyTripLengthsAndPassBy!D$3:I$15,6),0)</f>
        <v>1</v>
      </c>
    </row>
    <row r="112" spans="1:11" x14ac:dyDescent="0.25">
      <c r="A112">
        <v>868</v>
      </c>
      <c r="B112" t="s">
        <v>329</v>
      </c>
      <c r="C112" t="s">
        <v>112</v>
      </c>
      <c r="D112">
        <v>6</v>
      </c>
      <c r="E112" s="2">
        <f>IF(D112&gt;0,VLOOKUP(D112,SurveyTripLengthsAndPassBy!D$3:F$15,3),0)+1</f>
        <v>0.84385239633600306</v>
      </c>
      <c r="F112" s="2">
        <v>0.9</v>
      </c>
      <c r="G112" s="2">
        <f t="shared" si="18"/>
        <v>0.8594671567024027</v>
      </c>
      <c r="H112" s="2">
        <f t="shared" si="19"/>
        <v>0.8594671567024027</v>
      </c>
      <c r="I112" s="138"/>
      <c r="J112" s="2">
        <f>1-IF(I112&gt;0,VLOOKUP(I112,SurveyTripLengthsAndPassBy!D$3:I$15,6),0)</f>
        <v>1</v>
      </c>
    </row>
    <row r="113" spans="1:11" x14ac:dyDescent="0.25">
      <c r="A113">
        <v>869</v>
      </c>
      <c r="B113" t="s">
        <v>331</v>
      </c>
      <c r="C113" t="s">
        <v>112</v>
      </c>
      <c r="D113">
        <v>6</v>
      </c>
      <c r="E113" s="2">
        <f>IF(D113&gt;0,VLOOKUP(D113,SurveyTripLengthsAndPassBy!D$3:F$15,3),0)+1</f>
        <v>0.84385239633600306</v>
      </c>
      <c r="F113" s="2">
        <v>0.9</v>
      </c>
      <c r="G113" s="2">
        <f t="shared" si="18"/>
        <v>0.8594671567024027</v>
      </c>
      <c r="H113" s="2">
        <f t="shared" si="19"/>
        <v>0.8594671567024027</v>
      </c>
      <c r="I113" s="138"/>
      <c r="J113" s="2">
        <f>1-IF(I113&gt;0,VLOOKUP(I113,SurveyTripLengthsAndPassBy!D$3:I$15,6),0)</f>
        <v>1</v>
      </c>
    </row>
    <row r="114" spans="1:11" x14ac:dyDescent="0.25">
      <c r="A114">
        <v>875</v>
      </c>
      <c r="B114" t="s">
        <v>333</v>
      </c>
      <c r="C114" t="s">
        <v>112</v>
      </c>
      <c r="D114">
        <v>6</v>
      </c>
      <c r="E114" s="2">
        <f>IF(D114&gt;0,VLOOKUP(D114,SurveyTripLengthsAndPassBy!D$3:F$15,3),0)+1</f>
        <v>0.84385239633600306</v>
      </c>
      <c r="F114" s="2">
        <v>0.9</v>
      </c>
      <c r="G114" s="2">
        <f t="shared" si="18"/>
        <v>0.8594671567024027</v>
      </c>
      <c r="H114" s="2">
        <f t="shared" si="19"/>
        <v>0.8594671567024027</v>
      </c>
      <c r="I114" s="138"/>
      <c r="J114" s="2">
        <f>1-IF(I114&gt;0,VLOOKUP(I114,SurveyTripLengthsAndPassBy!D$3:I$15,6),0)</f>
        <v>1</v>
      </c>
    </row>
    <row r="115" spans="1:11" x14ac:dyDescent="0.25">
      <c r="A115">
        <v>876</v>
      </c>
      <c r="B115" t="s">
        <v>335</v>
      </c>
      <c r="C115" t="s">
        <v>112</v>
      </c>
      <c r="D115">
        <v>6</v>
      </c>
      <c r="E115" s="2">
        <f>IF(D115&gt;0,VLOOKUP(D115,SurveyTripLengthsAndPassBy!D$3:F$15,3),0)+1</f>
        <v>0.84385239633600306</v>
      </c>
      <c r="F115" s="2">
        <v>0.9</v>
      </c>
      <c r="G115" s="2">
        <f t="shared" si="18"/>
        <v>0.8594671567024027</v>
      </c>
      <c r="H115" s="2">
        <f t="shared" si="19"/>
        <v>0.8594671567024027</v>
      </c>
      <c r="I115" s="138"/>
      <c r="J115" s="2">
        <f>1-IF(I115&gt;0,VLOOKUP(I115,SurveyTripLengthsAndPassBy!D$3:I$15,6),0)</f>
        <v>1</v>
      </c>
    </row>
    <row r="116" spans="1:11" x14ac:dyDescent="0.25">
      <c r="A116">
        <v>879</v>
      </c>
      <c r="B116" t="s">
        <v>337</v>
      </c>
      <c r="C116" t="s">
        <v>112</v>
      </c>
      <c r="D116">
        <v>6</v>
      </c>
      <c r="E116" s="2">
        <f>IF(D116&gt;0,VLOOKUP(D116,SurveyTripLengthsAndPassBy!D$3:F$15,3),0)+1</f>
        <v>0.84385239633600306</v>
      </c>
      <c r="F116" s="2">
        <v>0.9</v>
      </c>
      <c r="G116" s="2">
        <f t="shared" si="18"/>
        <v>0.8594671567024027</v>
      </c>
      <c r="H116" s="2">
        <f t="shared" si="19"/>
        <v>0.8594671567024027</v>
      </c>
      <c r="I116" s="138"/>
      <c r="J116" s="2">
        <f>1-IF(I116&gt;0,VLOOKUP(I116,SurveyTripLengthsAndPassBy!D$3:I$15,6),0)</f>
        <v>1</v>
      </c>
    </row>
    <row r="117" spans="1:11" x14ac:dyDescent="0.25">
      <c r="A117">
        <v>880</v>
      </c>
      <c r="B117" t="s">
        <v>339</v>
      </c>
      <c r="C117" t="s">
        <v>112</v>
      </c>
      <c r="D117">
        <v>7</v>
      </c>
      <c r="E117" s="2"/>
      <c r="F117" s="2"/>
      <c r="G117" s="798">
        <f>HillsboroughLength_PassBy!E$23</f>
        <v>0.31419939577039274</v>
      </c>
      <c r="H117" s="798">
        <f t="shared" si="19"/>
        <v>0.31419939577039274</v>
      </c>
      <c r="I117" s="804"/>
      <c r="J117" s="798">
        <f>HillsboroughLength_PassBy!G$23</f>
        <v>0.32400000000000001</v>
      </c>
      <c r="K117" s="424" t="s">
        <v>527</v>
      </c>
    </row>
    <row r="118" spans="1:11" x14ac:dyDescent="0.25">
      <c r="A118">
        <v>881</v>
      </c>
      <c r="B118" t="s">
        <v>341</v>
      </c>
      <c r="C118" t="s">
        <v>112</v>
      </c>
      <c r="D118">
        <v>7</v>
      </c>
      <c r="E118" s="2"/>
      <c r="F118" s="2"/>
      <c r="G118" s="798">
        <f>HillsboroughLength_PassBy!E$23</f>
        <v>0.31419939577039274</v>
      </c>
      <c r="H118" s="798">
        <f t="shared" si="19"/>
        <v>0.31419939577039274</v>
      </c>
      <c r="I118" s="804"/>
      <c r="J118" s="798">
        <f>HillsboroughLength_PassBy!G$23</f>
        <v>0.32400000000000001</v>
      </c>
      <c r="K118" s="424" t="s">
        <v>527</v>
      </c>
    </row>
    <row r="119" spans="1:11" x14ac:dyDescent="0.25">
      <c r="A119">
        <v>882</v>
      </c>
      <c r="B119" t="s">
        <v>343</v>
      </c>
      <c r="C119" t="s">
        <v>112</v>
      </c>
      <c r="D119">
        <v>6</v>
      </c>
      <c r="E119" s="2">
        <f>IF(D119&gt;0,VLOOKUP(D119,SurveyTripLengthsAndPassBy!D$3:F$15,3),0)+1</f>
        <v>0.84385239633600306</v>
      </c>
      <c r="F119" s="2">
        <v>0.9</v>
      </c>
      <c r="G119" s="2">
        <f t="shared" si="18"/>
        <v>0.8594671567024027</v>
      </c>
      <c r="H119" s="2">
        <f t="shared" si="19"/>
        <v>0.8594671567024027</v>
      </c>
      <c r="I119" s="138"/>
      <c r="J119" s="2">
        <f>1-IF(I119&gt;0,VLOOKUP(I119,SurveyTripLengthsAndPassBy!D$3:I$15,6),0)</f>
        <v>1</v>
      </c>
    </row>
    <row r="120" spans="1:11" x14ac:dyDescent="0.25">
      <c r="A120">
        <v>890</v>
      </c>
      <c r="B120" t="s">
        <v>345</v>
      </c>
      <c r="C120" t="s">
        <v>112</v>
      </c>
      <c r="E120" s="2"/>
      <c r="F120" s="2"/>
      <c r="G120" s="798">
        <f>HillsboroughLength_PassBy!E$24</f>
        <v>0.91993957703927487</v>
      </c>
      <c r="H120" s="798">
        <f t="shared" si="19"/>
        <v>0.91993957703927487</v>
      </c>
      <c r="I120" s="804"/>
      <c r="J120" s="798">
        <f>HillsboroughLength_PassBy!G$24</f>
        <v>0.54200000000000004</v>
      </c>
      <c r="K120" s="424" t="s">
        <v>527</v>
      </c>
    </row>
    <row r="121" spans="1:11" x14ac:dyDescent="0.25">
      <c r="A121">
        <v>899</v>
      </c>
      <c r="B121" t="s">
        <v>347</v>
      </c>
      <c r="C121" t="s">
        <v>112</v>
      </c>
      <c r="D121">
        <v>7</v>
      </c>
      <c r="E121" s="2">
        <f>IF(D121&gt;0,VLOOKUP(D121,SurveyTripLengthsAndPassBy!D$3:F$15,3),0)+1</f>
        <v>0.56941201361337035</v>
      </c>
      <c r="F121" s="2">
        <v>0.9</v>
      </c>
      <c r="G121" s="2">
        <f t="shared" si="18"/>
        <v>0.61247081225203326</v>
      </c>
      <c r="H121" s="2">
        <f t="shared" si="19"/>
        <v>0.61247081225203326</v>
      </c>
      <c r="I121" s="138"/>
      <c r="J121" s="2">
        <f>1-IF(I121&gt;0,VLOOKUP(I121,SurveyTripLengthsAndPassBy!D$3:I$15,6),0)</f>
        <v>1</v>
      </c>
    </row>
    <row r="122" spans="1:11" x14ac:dyDescent="0.25">
      <c r="A122" t="s">
        <v>483</v>
      </c>
      <c r="H122" s="2"/>
      <c r="I122" s="138"/>
      <c r="J122" s="2"/>
    </row>
    <row r="123" spans="1:11" x14ac:dyDescent="0.25">
      <c r="A123">
        <v>911</v>
      </c>
      <c r="B123" t="s">
        <v>349</v>
      </c>
      <c r="C123" t="s">
        <v>112</v>
      </c>
      <c r="E123" s="2"/>
      <c r="F123" s="2"/>
      <c r="G123" s="798">
        <f>HillsboroughLength_PassBy!E$25</f>
        <v>0.37160120845921452</v>
      </c>
      <c r="H123" s="798">
        <f>G124</f>
        <v>0.37160120845921452</v>
      </c>
      <c r="I123" s="804"/>
      <c r="J123" s="798">
        <f>HillsboroughLength_PassBy!G$25</f>
        <v>0.46200000000000002</v>
      </c>
      <c r="K123" s="424" t="s">
        <v>527</v>
      </c>
    </row>
    <row r="124" spans="1:11" x14ac:dyDescent="0.25">
      <c r="A124">
        <v>912</v>
      </c>
      <c r="B124" t="s">
        <v>351</v>
      </c>
      <c r="C124" t="s">
        <v>112</v>
      </c>
      <c r="E124" s="2"/>
      <c r="F124" s="2"/>
      <c r="G124" s="798">
        <f>HillsboroughLength_PassBy!E$25</f>
        <v>0.37160120845921452</v>
      </c>
      <c r="H124" s="798">
        <f t="shared" ref="H124" si="23">G124</f>
        <v>0.37160120845921452</v>
      </c>
      <c r="I124" s="804"/>
      <c r="J124" s="798">
        <f>HillsboroughLength_PassBy!G$25</f>
        <v>0.46200000000000002</v>
      </c>
      <c r="K124" s="424" t="s">
        <v>527</v>
      </c>
    </row>
    <row r="125" spans="1:11" x14ac:dyDescent="0.25">
      <c r="A125">
        <v>931</v>
      </c>
      <c r="B125" t="s">
        <v>353</v>
      </c>
      <c r="C125" t="s">
        <v>112</v>
      </c>
      <c r="E125" s="2"/>
      <c r="F125" s="2"/>
      <c r="G125" s="798">
        <f>HillsboroughLength_PassBy!E$26</f>
        <v>0.47432024169184289</v>
      </c>
      <c r="H125" s="798">
        <f t="shared" ref="H125:H129" si="24">G125</f>
        <v>0.47432024169184289</v>
      </c>
      <c r="I125" s="804"/>
      <c r="J125" s="798">
        <f>HillsboroughLength_PassBy!G$26</f>
        <v>0.76700000000000002</v>
      </c>
      <c r="K125" s="424" t="s">
        <v>527</v>
      </c>
    </row>
    <row r="126" spans="1:11" x14ac:dyDescent="0.25">
      <c r="A126">
        <v>931</v>
      </c>
      <c r="B126" t="s">
        <v>355</v>
      </c>
      <c r="C126" t="s">
        <v>356</v>
      </c>
      <c r="E126" s="2"/>
      <c r="F126" s="2"/>
      <c r="G126" s="798">
        <f>HillsboroughLength_PassBy!E$26</f>
        <v>0.47432024169184289</v>
      </c>
      <c r="H126" s="798">
        <f t="shared" si="24"/>
        <v>0.47432024169184289</v>
      </c>
      <c r="I126" s="804"/>
      <c r="J126" s="798">
        <f>HillsboroughLength_PassBy!G$26</f>
        <v>0.76700000000000002</v>
      </c>
      <c r="K126" s="424" t="s">
        <v>527</v>
      </c>
    </row>
    <row r="127" spans="1:11" x14ac:dyDescent="0.25">
      <c r="A127">
        <v>932</v>
      </c>
      <c r="B127" t="s">
        <v>358</v>
      </c>
      <c r="C127" t="s">
        <v>112</v>
      </c>
      <c r="E127" s="2"/>
      <c r="F127" s="2"/>
      <c r="G127" s="798">
        <f>HillsboroughLength_PassBy!E$27</f>
        <v>0.47885196374622352</v>
      </c>
      <c r="H127" s="798">
        <f t="shared" si="24"/>
        <v>0.47885196374622352</v>
      </c>
      <c r="I127" s="804"/>
      <c r="J127" s="798">
        <f>HillsboroughLength_PassBy!G$27</f>
        <v>0.70799999999999996</v>
      </c>
      <c r="K127" s="424" t="s">
        <v>527</v>
      </c>
    </row>
    <row r="128" spans="1:11" x14ac:dyDescent="0.25">
      <c r="A128">
        <v>932</v>
      </c>
      <c r="B128" t="s">
        <v>358</v>
      </c>
      <c r="C128" t="s">
        <v>356</v>
      </c>
      <c r="E128" s="2"/>
      <c r="F128" s="2"/>
      <c r="G128" s="798">
        <f>HillsboroughLength_PassBy!E$27</f>
        <v>0.47885196374622352</v>
      </c>
      <c r="H128" s="798">
        <f t="shared" si="24"/>
        <v>0.47885196374622352</v>
      </c>
      <c r="I128" s="804"/>
      <c r="J128" s="798">
        <f>HillsboroughLength_PassBy!G$27</f>
        <v>0.70799999999999996</v>
      </c>
      <c r="K128" s="424" t="s">
        <v>527</v>
      </c>
    </row>
    <row r="129" spans="1:11" x14ac:dyDescent="0.25">
      <c r="A129">
        <v>933</v>
      </c>
      <c r="B129" t="s">
        <v>361</v>
      </c>
      <c r="C129" t="s">
        <v>112</v>
      </c>
      <c r="E129" s="2"/>
      <c r="F129" s="2"/>
      <c r="G129" s="798">
        <f>HillsboroughLength_PassBy!E$28</f>
        <v>0.30966767371601206</v>
      </c>
      <c r="H129" s="798">
        <f t="shared" si="24"/>
        <v>0.30966767371601206</v>
      </c>
      <c r="I129" s="804"/>
      <c r="J129" s="798">
        <f>HillsboroughLength_PassBy!G$28</f>
        <v>0.57899999999999996</v>
      </c>
      <c r="K129" s="424" t="s">
        <v>527</v>
      </c>
    </row>
    <row r="130" spans="1:11" x14ac:dyDescent="0.25">
      <c r="A130">
        <v>934</v>
      </c>
      <c r="B130" t="s">
        <v>363</v>
      </c>
      <c r="C130" t="s">
        <v>112</v>
      </c>
      <c r="E130" s="2"/>
      <c r="F130" s="2"/>
      <c r="G130" s="798">
        <f>HillsboroughLength_PassBy!E$28</f>
        <v>0.30966767371601206</v>
      </c>
      <c r="H130" s="798">
        <f t="shared" ref="H130" si="25">G130</f>
        <v>0.30966767371601206</v>
      </c>
      <c r="I130" s="804"/>
      <c r="J130" s="798">
        <f>HillsboroughLength_PassBy!G$28</f>
        <v>0.57899999999999996</v>
      </c>
      <c r="K130" s="424" t="s">
        <v>527</v>
      </c>
    </row>
    <row r="131" spans="1:11" x14ac:dyDescent="0.25">
      <c r="A131">
        <v>937</v>
      </c>
      <c r="B131" t="s">
        <v>365</v>
      </c>
      <c r="C131" t="s">
        <v>112</v>
      </c>
      <c r="E131" s="2"/>
      <c r="F131" s="2"/>
      <c r="G131" s="798">
        <f>HillsboroughLength_PassBy!E$28</f>
        <v>0.30966767371601206</v>
      </c>
      <c r="H131" s="798">
        <f t="shared" ref="H131" si="26">G131</f>
        <v>0.30966767371601206</v>
      </c>
      <c r="I131" s="804"/>
      <c r="J131" s="798">
        <f>HillsboroughLength_PassBy!G$28</f>
        <v>0.57899999999999996</v>
      </c>
      <c r="K131" s="424" t="s">
        <v>532</v>
      </c>
    </row>
    <row r="132" spans="1:11" x14ac:dyDescent="0.25">
      <c r="A132">
        <v>944</v>
      </c>
      <c r="B132" t="s">
        <v>367</v>
      </c>
      <c r="C132" t="s">
        <v>368</v>
      </c>
      <c r="E132" s="2"/>
      <c r="F132" s="2"/>
      <c r="G132" s="798">
        <f>HillsboroughLength_PassBy!E$31</f>
        <v>0.32930513595166166</v>
      </c>
      <c r="H132" s="798">
        <f t="shared" ref="H132" si="27">G132</f>
        <v>0.32930513595166166</v>
      </c>
      <c r="I132" s="804"/>
      <c r="J132" s="798">
        <f>HillsboroughLength_PassBy!G$31</f>
        <v>0.67700000000000005</v>
      </c>
      <c r="K132" s="424" t="s">
        <v>527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66175-AE74-49BC-9DDE-194C3DC44812}">
  <sheetPr>
    <tabColor theme="5" tint="0.39997558519241921"/>
  </sheetPr>
  <dimension ref="B3:Q48"/>
  <sheetViews>
    <sheetView workbookViewId="0"/>
  </sheetViews>
  <sheetFormatPr defaultColWidth="9" defaultRowHeight="15.75" x14ac:dyDescent="0.25"/>
  <cols>
    <col min="3" max="3" width="34.42578125" customWidth="1"/>
    <col min="4" max="7" width="11.85546875" customWidth="1"/>
    <col min="9" max="9" width="22.140625" bestFit="1" customWidth="1"/>
  </cols>
  <sheetData>
    <row r="3" spans="2:16" x14ac:dyDescent="0.25">
      <c r="B3" s="803" t="s">
        <v>533</v>
      </c>
    </row>
    <row r="5" spans="2:16" x14ac:dyDescent="0.25">
      <c r="B5" t="s">
        <v>534</v>
      </c>
      <c r="M5" t="s">
        <v>535</v>
      </c>
    </row>
    <row r="6" spans="2:16" x14ac:dyDescent="0.25">
      <c r="B6" t="s">
        <v>536</v>
      </c>
    </row>
    <row r="7" spans="2:16" x14ac:dyDescent="0.25">
      <c r="B7">
        <v>6.62</v>
      </c>
      <c r="C7" t="s">
        <v>537</v>
      </c>
    </row>
    <row r="10" spans="2:16" ht="31.5" x14ac:dyDescent="0.25">
      <c r="B10" t="s">
        <v>538</v>
      </c>
      <c r="D10" s="802" t="s">
        <v>539</v>
      </c>
      <c r="E10" s="802" t="s">
        <v>540</v>
      </c>
      <c r="F10" s="802"/>
      <c r="G10" s="802" t="s">
        <v>541</v>
      </c>
      <c r="I10" s="802" t="s">
        <v>542</v>
      </c>
      <c r="M10" t="s">
        <v>543</v>
      </c>
      <c r="N10" t="s">
        <v>544</v>
      </c>
      <c r="O10" t="s">
        <v>545</v>
      </c>
      <c r="P10" t="s">
        <v>546</v>
      </c>
    </row>
    <row r="11" spans="2:16" x14ac:dyDescent="0.25">
      <c r="M11">
        <v>1</v>
      </c>
      <c r="P11" s="2">
        <v>0.66</v>
      </c>
    </row>
    <row r="12" spans="2:16" x14ac:dyDescent="0.25">
      <c r="B12">
        <v>253</v>
      </c>
      <c r="C12" t="s">
        <v>547</v>
      </c>
      <c r="D12">
        <v>3.08</v>
      </c>
      <c r="E12" s="2">
        <f>D12/B$7</f>
        <v>0.46525679758308158</v>
      </c>
      <c r="G12" s="2">
        <v>0.71599999999999997</v>
      </c>
      <c r="I12" s="576">
        <f>G12*E12</f>
        <v>0.33312386706948638</v>
      </c>
      <c r="M12">
        <v>2</v>
      </c>
      <c r="O12">
        <v>1.7</v>
      </c>
      <c r="P12" s="2"/>
    </row>
    <row r="13" spans="2:16" x14ac:dyDescent="0.25">
      <c r="B13">
        <v>310</v>
      </c>
      <c r="C13" t="s">
        <v>548</v>
      </c>
      <c r="D13">
        <v>6.25</v>
      </c>
      <c r="E13" s="2">
        <f>D13/B$7</f>
        <v>0.9441087613293051</v>
      </c>
      <c r="G13" s="2">
        <v>0.66300000000000003</v>
      </c>
      <c r="I13" s="576">
        <f t="shared" ref="I13:I31" si="0">G13*E13</f>
        <v>0.62594410876132933</v>
      </c>
      <c r="M13">
        <v>3</v>
      </c>
      <c r="P13" s="2">
        <v>0.76</v>
      </c>
    </row>
    <row r="14" spans="2:16" x14ac:dyDescent="0.25">
      <c r="B14">
        <v>320</v>
      </c>
      <c r="C14" t="s">
        <v>185</v>
      </c>
      <c r="D14">
        <v>4.34</v>
      </c>
      <c r="E14" s="2">
        <f>D14/B$7</f>
        <v>0.65558912386706947</v>
      </c>
      <c r="G14" s="2">
        <v>0.76600000000000001</v>
      </c>
      <c r="I14" s="576">
        <f t="shared" si="0"/>
        <v>0.50218126888217518</v>
      </c>
      <c r="M14">
        <v>4</v>
      </c>
      <c r="O14">
        <v>2.5</v>
      </c>
      <c r="P14" s="2"/>
    </row>
    <row r="15" spans="2:16" x14ac:dyDescent="0.25">
      <c r="B15">
        <v>444</v>
      </c>
      <c r="C15" t="s">
        <v>549</v>
      </c>
      <c r="D15">
        <v>2.2200000000000002</v>
      </c>
      <c r="E15" s="2">
        <f>D15/B$7</f>
        <v>0.33534743202416922</v>
      </c>
      <c r="G15" s="2">
        <v>0.878</v>
      </c>
      <c r="I15" s="576">
        <f t="shared" si="0"/>
        <v>0.29443504531722059</v>
      </c>
      <c r="M15">
        <v>5</v>
      </c>
      <c r="N15">
        <v>1192</v>
      </c>
      <c r="O15">
        <v>3.6</v>
      </c>
      <c r="P15" s="2">
        <v>0.78</v>
      </c>
    </row>
    <row r="16" spans="2:16" x14ac:dyDescent="0.25">
      <c r="B16">
        <v>492</v>
      </c>
      <c r="C16" t="s">
        <v>550</v>
      </c>
      <c r="E16" s="2"/>
      <c r="G16" s="2">
        <v>0.94</v>
      </c>
      <c r="I16" s="576">
        <f t="shared" si="0"/>
        <v>0</v>
      </c>
      <c r="M16">
        <v>6</v>
      </c>
      <c r="N16">
        <v>132.30000000000001</v>
      </c>
      <c r="O16">
        <v>1.8</v>
      </c>
      <c r="P16" s="2">
        <v>0.92</v>
      </c>
    </row>
    <row r="17" spans="2:17" x14ac:dyDescent="0.25">
      <c r="B17">
        <v>565</v>
      </c>
      <c r="C17" t="s">
        <v>228</v>
      </c>
      <c r="D17">
        <v>2.0299999999999998</v>
      </c>
      <c r="E17" s="2">
        <f t="shared" ref="E17:E31" si="1">D17/B$7</f>
        <v>0.30664652567975825</v>
      </c>
      <c r="G17" s="2">
        <v>0.73199999999999998</v>
      </c>
      <c r="I17" s="576">
        <f t="shared" si="0"/>
        <v>0.22446525679758303</v>
      </c>
      <c r="M17">
        <v>7</v>
      </c>
      <c r="N17">
        <v>425</v>
      </c>
      <c r="O17">
        <v>2.2999999999999998</v>
      </c>
      <c r="P17" s="2">
        <v>0.75</v>
      </c>
    </row>
    <row r="18" spans="2:17" x14ac:dyDescent="0.25">
      <c r="B18">
        <v>620</v>
      </c>
      <c r="C18" t="s">
        <v>232</v>
      </c>
      <c r="D18">
        <v>2.59</v>
      </c>
      <c r="E18" s="2">
        <f t="shared" si="1"/>
        <v>0.39123867069486401</v>
      </c>
      <c r="G18" s="2">
        <v>0.89</v>
      </c>
      <c r="I18" s="576">
        <f t="shared" si="0"/>
        <v>0.34820241691842896</v>
      </c>
      <c r="M18">
        <v>8</v>
      </c>
      <c r="N18">
        <v>80.5</v>
      </c>
      <c r="O18">
        <v>1.4</v>
      </c>
      <c r="P18" s="2">
        <v>0.76</v>
      </c>
    </row>
    <row r="19" spans="2:17" x14ac:dyDescent="0.25">
      <c r="B19">
        <v>630</v>
      </c>
      <c r="C19" t="s">
        <v>234</v>
      </c>
      <c r="D19">
        <v>5.0999999999999996</v>
      </c>
      <c r="E19" s="2">
        <f t="shared" si="1"/>
        <v>0.7703927492447129</v>
      </c>
      <c r="G19" s="2">
        <v>0.93</v>
      </c>
      <c r="I19" s="576">
        <f t="shared" si="0"/>
        <v>0.71646525679758299</v>
      </c>
      <c r="M19">
        <v>9</v>
      </c>
      <c r="N19">
        <v>696</v>
      </c>
      <c r="O19">
        <v>3.2</v>
      </c>
      <c r="P19" s="2">
        <v>0.8</v>
      </c>
    </row>
    <row r="20" spans="2:17" x14ac:dyDescent="0.25">
      <c r="B20">
        <v>720</v>
      </c>
      <c r="C20" t="s">
        <v>551</v>
      </c>
      <c r="D20">
        <v>5.91</v>
      </c>
      <c r="E20" s="2">
        <f t="shared" si="1"/>
        <v>0.892749244712991</v>
      </c>
      <c r="G20" s="2">
        <v>0.91800000000000004</v>
      </c>
      <c r="I20" s="576">
        <f t="shared" si="0"/>
        <v>0.81954380664652582</v>
      </c>
      <c r="M20">
        <v>10</v>
      </c>
      <c r="N20">
        <v>425</v>
      </c>
      <c r="P20" s="2">
        <v>0.87</v>
      </c>
    </row>
    <row r="21" spans="2:17" x14ac:dyDescent="0.25">
      <c r="B21" t="s">
        <v>552</v>
      </c>
      <c r="C21" t="s">
        <v>553</v>
      </c>
      <c r="D21">
        <v>4.5999999999999996</v>
      </c>
      <c r="E21" s="2">
        <f t="shared" si="1"/>
        <v>0.69486404833836857</v>
      </c>
      <c r="G21" s="2">
        <v>0.78500000000000003</v>
      </c>
      <c r="I21" s="576">
        <f t="shared" si="0"/>
        <v>0.54546827794561936</v>
      </c>
      <c r="M21">
        <v>11</v>
      </c>
      <c r="N21">
        <v>134</v>
      </c>
      <c r="O21">
        <v>1.3</v>
      </c>
      <c r="P21" s="2">
        <v>0.74</v>
      </c>
    </row>
    <row r="22" spans="2:17" x14ac:dyDescent="0.25">
      <c r="B22">
        <v>850</v>
      </c>
      <c r="C22" t="s">
        <v>554</v>
      </c>
      <c r="D22">
        <v>2.08</v>
      </c>
      <c r="E22" s="2">
        <f t="shared" si="1"/>
        <v>0.31419939577039274</v>
      </c>
      <c r="G22" s="2">
        <v>0.56000000000000005</v>
      </c>
      <c r="I22" s="576">
        <f t="shared" si="0"/>
        <v>0.17595166163141995</v>
      </c>
      <c r="M22">
        <v>12</v>
      </c>
      <c r="N22">
        <v>151</v>
      </c>
      <c r="O22">
        <v>1.3</v>
      </c>
      <c r="P22" s="2">
        <v>0.73</v>
      </c>
    </row>
    <row r="23" spans="2:17" x14ac:dyDescent="0.25">
      <c r="B23" t="s">
        <v>555</v>
      </c>
      <c r="C23" t="s">
        <v>556</v>
      </c>
      <c r="D23">
        <v>2.08</v>
      </c>
      <c r="E23" s="2">
        <f t="shared" si="1"/>
        <v>0.31419939577039274</v>
      </c>
      <c r="G23" s="2">
        <v>0.32400000000000001</v>
      </c>
      <c r="I23" s="576">
        <f t="shared" si="0"/>
        <v>0.10180060422960725</v>
      </c>
      <c r="M23">
        <v>13</v>
      </c>
      <c r="O23">
        <v>3.33</v>
      </c>
      <c r="P23" s="2">
        <v>0.94099999999999995</v>
      </c>
    </row>
    <row r="24" spans="2:17" x14ac:dyDescent="0.25">
      <c r="B24">
        <v>890</v>
      </c>
      <c r="C24" t="s">
        <v>557</v>
      </c>
      <c r="D24">
        <v>6.09</v>
      </c>
      <c r="E24" s="2">
        <f t="shared" si="1"/>
        <v>0.91993957703927487</v>
      </c>
      <c r="G24" s="2">
        <v>0.54200000000000004</v>
      </c>
      <c r="I24" s="576">
        <f t="shared" si="0"/>
        <v>0.498607250755287</v>
      </c>
      <c r="M24">
        <v>14</v>
      </c>
      <c r="O24">
        <v>2.64</v>
      </c>
      <c r="P24" s="2">
        <v>0.74</v>
      </c>
      <c r="Q24" s="2"/>
    </row>
    <row r="25" spans="2:17" x14ac:dyDescent="0.25">
      <c r="B25">
        <v>912</v>
      </c>
      <c r="C25" t="s">
        <v>558</v>
      </c>
      <c r="D25">
        <v>2.46</v>
      </c>
      <c r="E25" s="2">
        <f t="shared" si="1"/>
        <v>0.37160120845921452</v>
      </c>
      <c r="G25" s="2">
        <v>0.46200000000000002</v>
      </c>
      <c r="I25" s="576">
        <f t="shared" si="0"/>
        <v>0.17167975830815713</v>
      </c>
      <c r="M25">
        <v>15</v>
      </c>
      <c r="N25">
        <v>109</v>
      </c>
      <c r="P25" s="2">
        <v>0.61599999999999999</v>
      </c>
      <c r="Q25" s="2"/>
    </row>
    <row r="26" spans="2:17" x14ac:dyDescent="0.25">
      <c r="B26">
        <v>931</v>
      </c>
      <c r="C26" t="s">
        <v>353</v>
      </c>
      <c r="D26">
        <v>3.14</v>
      </c>
      <c r="E26" s="2">
        <f t="shared" si="1"/>
        <v>0.47432024169184289</v>
      </c>
      <c r="G26" s="2">
        <v>0.76700000000000002</v>
      </c>
      <c r="I26" s="576">
        <f t="shared" si="0"/>
        <v>0.36380362537764349</v>
      </c>
      <c r="M26">
        <v>16</v>
      </c>
      <c r="N26">
        <v>133.4</v>
      </c>
      <c r="P26" s="2">
        <v>0.64</v>
      </c>
      <c r="Q26" s="2"/>
    </row>
    <row r="27" spans="2:17" x14ac:dyDescent="0.25">
      <c r="B27">
        <v>932</v>
      </c>
      <c r="C27" t="s">
        <v>559</v>
      </c>
      <c r="D27">
        <v>3.17</v>
      </c>
      <c r="E27" s="2">
        <f t="shared" si="1"/>
        <v>0.47885196374622352</v>
      </c>
      <c r="G27" s="2">
        <v>0.70799999999999996</v>
      </c>
      <c r="I27" s="576">
        <f t="shared" si="0"/>
        <v>0.33902719033232626</v>
      </c>
      <c r="M27">
        <v>17</v>
      </c>
      <c r="N27">
        <v>99.1</v>
      </c>
      <c r="O27">
        <v>3.2</v>
      </c>
      <c r="P27" s="2">
        <v>0.7</v>
      </c>
      <c r="Q27" s="2"/>
    </row>
    <row r="28" spans="2:17" x14ac:dyDescent="0.25">
      <c r="B28">
        <v>934</v>
      </c>
      <c r="C28" t="s">
        <v>560</v>
      </c>
      <c r="D28">
        <v>2.0499999999999998</v>
      </c>
      <c r="E28" s="2">
        <f t="shared" si="1"/>
        <v>0.30966767371601206</v>
      </c>
      <c r="G28" s="2">
        <v>0.57899999999999996</v>
      </c>
      <c r="I28" s="576">
        <f t="shared" si="0"/>
        <v>0.17929758308157098</v>
      </c>
      <c r="M28">
        <v>18</v>
      </c>
      <c r="N28">
        <v>314.7</v>
      </c>
      <c r="O28">
        <v>8.5</v>
      </c>
      <c r="P28" s="2">
        <v>0.84</v>
      </c>
      <c r="Q28" s="2"/>
    </row>
    <row r="29" spans="2:17" x14ac:dyDescent="0.25">
      <c r="B29">
        <v>942</v>
      </c>
      <c r="C29" t="s">
        <v>561</v>
      </c>
      <c r="D29">
        <v>3.62</v>
      </c>
      <c r="E29" s="2">
        <f t="shared" si="1"/>
        <v>0.54682779456193353</v>
      </c>
      <c r="G29" s="2">
        <v>0.72199999999999998</v>
      </c>
      <c r="I29" s="576">
        <f t="shared" si="0"/>
        <v>0.394809667673716</v>
      </c>
      <c r="M29">
        <v>19</v>
      </c>
      <c r="N29">
        <v>110</v>
      </c>
      <c r="O29">
        <v>3.2</v>
      </c>
      <c r="P29" s="2">
        <v>0</v>
      </c>
      <c r="Q29" s="2"/>
    </row>
    <row r="30" spans="2:17" x14ac:dyDescent="0.25">
      <c r="B30" t="s">
        <v>562</v>
      </c>
      <c r="C30" t="s">
        <v>563</v>
      </c>
      <c r="D30">
        <v>1.9</v>
      </c>
      <c r="E30" s="2">
        <f t="shared" si="1"/>
        <v>0.28700906344410876</v>
      </c>
      <c r="G30" s="2">
        <v>0.23</v>
      </c>
      <c r="I30" s="576">
        <f t="shared" si="0"/>
        <v>6.6012084592145012E-2</v>
      </c>
      <c r="M30">
        <v>20</v>
      </c>
      <c r="N30">
        <v>146.1</v>
      </c>
      <c r="O30">
        <v>2.8</v>
      </c>
      <c r="P30" s="2">
        <v>0</v>
      </c>
      <c r="Q30" s="2"/>
    </row>
    <row r="31" spans="2:17" x14ac:dyDescent="0.25">
      <c r="B31">
        <v>947</v>
      </c>
      <c r="C31" t="s">
        <v>564</v>
      </c>
      <c r="D31">
        <v>2.1800000000000002</v>
      </c>
      <c r="E31" s="2">
        <f t="shared" si="1"/>
        <v>0.32930513595166166</v>
      </c>
      <c r="G31" s="2">
        <v>0.67700000000000005</v>
      </c>
      <c r="I31" s="576">
        <f t="shared" si="0"/>
        <v>0.22293957703927497</v>
      </c>
      <c r="M31">
        <v>21</v>
      </c>
      <c r="N31">
        <v>157.5</v>
      </c>
      <c r="O31">
        <v>3.4</v>
      </c>
      <c r="P31" s="2">
        <v>0</v>
      </c>
      <c r="Q31" s="2"/>
    </row>
    <row r="32" spans="2:17" x14ac:dyDescent="0.25">
      <c r="E32" s="2"/>
      <c r="G32" s="2"/>
      <c r="M32">
        <v>22</v>
      </c>
      <c r="N32">
        <v>191</v>
      </c>
      <c r="O32">
        <v>5.9</v>
      </c>
      <c r="P32" s="2">
        <v>0</v>
      </c>
      <c r="Q32" s="2"/>
    </row>
    <row r="33" spans="2:17" x14ac:dyDescent="0.25">
      <c r="E33" s="2"/>
      <c r="G33" s="2"/>
      <c r="M33">
        <v>23</v>
      </c>
      <c r="N33">
        <v>107.8</v>
      </c>
      <c r="O33">
        <v>4.68</v>
      </c>
      <c r="P33" s="2">
        <v>0.54500000000000004</v>
      </c>
      <c r="Q33" s="2"/>
    </row>
    <row r="34" spans="2:17" x14ac:dyDescent="0.25">
      <c r="B34" t="s">
        <v>565</v>
      </c>
      <c r="E34" s="2"/>
      <c r="G34" s="2"/>
      <c r="M34">
        <v>24</v>
      </c>
      <c r="N34">
        <v>88</v>
      </c>
      <c r="O34">
        <v>1.8</v>
      </c>
      <c r="P34" s="2">
        <v>0.57100000000000006</v>
      </c>
      <c r="Q34" s="2"/>
    </row>
    <row r="35" spans="2:17" x14ac:dyDescent="0.25">
      <c r="B35" t="s">
        <v>566</v>
      </c>
      <c r="M35">
        <v>25</v>
      </c>
      <c r="N35">
        <v>191.9</v>
      </c>
      <c r="O35">
        <v>2.4</v>
      </c>
      <c r="P35" s="2">
        <v>0.50900000000000001</v>
      </c>
      <c r="Q35" s="2"/>
    </row>
    <row r="36" spans="2:17" x14ac:dyDescent="0.25">
      <c r="D36" t="s">
        <v>567</v>
      </c>
      <c r="M36">
        <v>26</v>
      </c>
      <c r="N36">
        <v>51.3</v>
      </c>
      <c r="O36">
        <v>2.7</v>
      </c>
      <c r="P36" s="2">
        <v>0.51800000000000002</v>
      </c>
      <c r="Q36" s="2"/>
    </row>
    <row r="37" spans="2:17" x14ac:dyDescent="0.25">
      <c r="B37" t="s">
        <v>466</v>
      </c>
      <c r="D37" s="424">
        <v>2</v>
      </c>
      <c r="E37" s="2">
        <f t="shared" ref="E37:E48" si="2">D37/B$7</f>
        <v>0.30211480362537763</v>
      </c>
      <c r="G37" s="2">
        <v>0.4</v>
      </c>
      <c r="M37">
        <v>27</v>
      </c>
      <c r="N37">
        <v>67.8</v>
      </c>
      <c r="O37">
        <v>3.4</v>
      </c>
      <c r="P37" s="2">
        <v>0.71200000000000008</v>
      </c>
      <c r="Q37" s="2"/>
    </row>
    <row r="38" spans="2:17" x14ac:dyDescent="0.25">
      <c r="B38" t="s">
        <v>467</v>
      </c>
      <c r="D38" s="424">
        <v>2.2999999999999998</v>
      </c>
      <c r="E38" s="2">
        <f t="shared" si="2"/>
        <v>0.34743202416918428</v>
      </c>
      <c r="G38" s="2">
        <v>0.5</v>
      </c>
      <c r="M38">
        <v>28</v>
      </c>
      <c r="N38">
        <v>72.3</v>
      </c>
      <c r="O38">
        <v>4.5</v>
      </c>
      <c r="P38" s="2">
        <v>0.59</v>
      </c>
      <c r="Q38" s="2"/>
    </row>
    <row r="39" spans="2:17" x14ac:dyDescent="0.25">
      <c r="B39" t="s">
        <v>468</v>
      </c>
      <c r="D39" s="424">
        <v>2.4</v>
      </c>
      <c r="E39" s="2">
        <f t="shared" si="2"/>
        <v>0.36253776435045315</v>
      </c>
      <c r="G39" s="2">
        <v>0.6</v>
      </c>
      <c r="M39">
        <v>29</v>
      </c>
      <c r="N39">
        <v>65.599999999999994</v>
      </c>
      <c r="O39">
        <v>1.46</v>
      </c>
      <c r="P39" s="2">
        <v>0.46899999999999997</v>
      </c>
      <c r="Q39" s="2"/>
    </row>
    <row r="40" spans="2:17" x14ac:dyDescent="0.25">
      <c r="B40" t="s">
        <v>469</v>
      </c>
      <c r="D40" s="424">
        <v>2.5</v>
      </c>
      <c r="E40" s="2">
        <f t="shared" si="2"/>
        <v>0.37764350453172207</v>
      </c>
      <c r="G40" s="2">
        <v>0.67700000000000005</v>
      </c>
      <c r="M40">
        <v>30</v>
      </c>
      <c r="N40">
        <v>75.8</v>
      </c>
      <c r="O40">
        <v>2.36</v>
      </c>
      <c r="P40" s="2">
        <v>0.58200000000000007</v>
      </c>
      <c r="Q40" s="2"/>
    </row>
    <row r="41" spans="2:17" x14ac:dyDescent="0.25">
      <c r="B41" t="s">
        <v>470</v>
      </c>
      <c r="D41" s="424">
        <v>2.6</v>
      </c>
      <c r="E41" s="2">
        <f t="shared" si="2"/>
        <v>0.39274924471299094</v>
      </c>
      <c r="G41" s="2">
        <v>0.7</v>
      </c>
      <c r="M41">
        <v>31</v>
      </c>
      <c r="N41">
        <v>185</v>
      </c>
      <c r="O41">
        <v>2.4</v>
      </c>
      <c r="P41" s="2">
        <v>0.88099999999999989</v>
      </c>
      <c r="Q41" s="2"/>
    </row>
    <row r="42" spans="2:17" x14ac:dyDescent="0.25">
      <c r="B42" t="s">
        <v>471</v>
      </c>
      <c r="D42">
        <v>2.7</v>
      </c>
      <c r="E42" s="2">
        <f t="shared" si="2"/>
        <v>0.40785498489425986</v>
      </c>
      <c r="G42" s="2">
        <v>0.72</v>
      </c>
      <c r="M42">
        <v>32</v>
      </c>
      <c r="N42">
        <v>91.3</v>
      </c>
      <c r="O42">
        <v>1.6</v>
      </c>
      <c r="P42" s="2">
        <v>0.88</v>
      </c>
      <c r="Q42" s="2"/>
    </row>
    <row r="43" spans="2:17" x14ac:dyDescent="0.25">
      <c r="B43" t="s">
        <v>472</v>
      </c>
      <c r="D43">
        <v>2.8</v>
      </c>
      <c r="E43" s="2">
        <f t="shared" si="2"/>
        <v>0.42296072507552868</v>
      </c>
      <c r="G43" s="2">
        <v>0.74</v>
      </c>
      <c r="M43">
        <v>33</v>
      </c>
      <c r="N43">
        <v>104.3</v>
      </c>
      <c r="O43">
        <v>3.35</v>
      </c>
      <c r="P43" s="2">
        <v>0.49</v>
      </c>
      <c r="Q43" s="2"/>
    </row>
    <row r="44" spans="2:17" x14ac:dyDescent="0.25">
      <c r="B44" t="s">
        <v>473</v>
      </c>
      <c r="D44">
        <v>2.9</v>
      </c>
      <c r="E44" s="2">
        <f t="shared" si="2"/>
        <v>0.43806646525679754</v>
      </c>
      <c r="G44" s="2">
        <v>0.76</v>
      </c>
      <c r="M44">
        <v>34</v>
      </c>
      <c r="N44">
        <v>159.9</v>
      </c>
      <c r="O44">
        <v>1.56</v>
      </c>
      <c r="P44" s="2">
        <v>0.54</v>
      </c>
      <c r="Q44" s="2"/>
    </row>
    <row r="45" spans="2:17" x14ac:dyDescent="0.25">
      <c r="B45" t="s">
        <v>474</v>
      </c>
      <c r="D45">
        <v>3</v>
      </c>
      <c r="E45" s="2">
        <f t="shared" si="2"/>
        <v>0.45317220543806647</v>
      </c>
      <c r="G45" s="2">
        <v>0.78</v>
      </c>
      <c r="M45">
        <v>35</v>
      </c>
      <c r="N45">
        <v>35.9</v>
      </c>
      <c r="O45">
        <v>1.39</v>
      </c>
      <c r="P45" s="2">
        <v>0.74</v>
      </c>
      <c r="Q45" s="2"/>
    </row>
    <row r="46" spans="2:17" x14ac:dyDescent="0.25">
      <c r="B46" t="s">
        <v>475</v>
      </c>
      <c r="D46">
        <v>3.3</v>
      </c>
      <c r="E46" s="2">
        <f t="shared" si="2"/>
        <v>0.49848942598187307</v>
      </c>
      <c r="G46" s="2">
        <v>0.8</v>
      </c>
    </row>
    <row r="47" spans="2:17" x14ac:dyDescent="0.25">
      <c r="B47" t="s">
        <v>476</v>
      </c>
      <c r="D47">
        <v>3.4</v>
      </c>
      <c r="E47" s="2">
        <f t="shared" si="2"/>
        <v>0.51359516616314194</v>
      </c>
      <c r="G47" s="2">
        <v>0.81</v>
      </c>
    </row>
    <row r="48" spans="2:17" x14ac:dyDescent="0.25">
      <c r="B48" t="s">
        <v>477</v>
      </c>
      <c r="D48">
        <v>3.5</v>
      </c>
      <c r="E48" s="2">
        <f t="shared" si="2"/>
        <v>0.52870090634441091</v>
      </c>
      <c r="G48" s="2">
        <v>0.82</v>
      </c>
    </row>
  </sheetData>
  <hyperlinks>
    <hyperlink ref="B3" r:id="rId1" display="https://www.hillsboroughcounty.org/library/hillsborough/media-center/documents/public-works/mobility-fees/mobility-fee-report-5-6-20.pdf" xr:uid="{638A610A-BD1F-47CD-AC1E-CF3E1466714E}"/>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4495-3EEE-4250-8FBD-37101791F7EB}">
  <sheetPr>
    <tabColor theme="5" tint="0.39997558519241921"/>
  </sheetPr>
  <dimension ref="B2:F19"/>
  <sheetViews>
    <sheetView workbookViewId="0"/>
  </sheetViews>
  <sheetFormatPr defaultColWidth="9" defaultRowHeight="15.75" x14ac:dyDescent="0.25"/>
  <cols>
    <col min="2" max="2" width="54.85546875" customWidth="1"/>
    <col min="5" max="5" width="12.140625" customWidth="1"/>
  </cols>
  <sheetData>
    <row r="2" spans="2:6" x14ac:dyDescent="0.25">
      <c r="B2" t="s">
        <v>568</v>
      </c>
    </row>
    <row r="3" spans="2:6" x14ac:dyDescent="0.25">
      <c r="B3" t="s">
        <v>569</v>
      </c>
    </row>
    <row r="4" spans="2:6" x14ac:dyDescent="0.25">
      <c r="B4" t="s">
        <v>570</v>
      </c>
    </row>
    <row r="6" spans="2:6" x14ac:dyDescent="0.25">
      <c r="B6" t="s">
        <v>571</v>
      </c>
    </row>
    <row r="7" spans="2:6" ht="31.5" x14ac:dyDescent="0.25">
      <c r="C7" t="s">
        <v>572</v>
      </c>
      <c r="D7" t="s">
        <v>573</v>
      </c>
      <c r="E7" s="802" t="s">
        <v>574</v>
      </c>
      <c r="F7" t="s">
        <v>575</v>
      </c>
    </row>
    <row r="8" spans="2:6" x14ac:dyDescent="0.25">
      <c r="B8" t="s">
        <v>466</v>
      </c>
      <c r="C8" t="s">
        <v>576</v>
      </c>
      <c r="D8">
        <v>5</v>
      </c>
      <c r="E8" s="801">
        <f>EXP(-0.29*LN(D8)+5)</f>
        <v>93.06172711448292</v>
      </c>
      <c r="F8" s="800">
        <f>E8/100</f>
        <v>0.93061727114482917</v>
      </c>
    </row>
    <row r="9" spans="2:6" x14ac:dyDescent="0.25">
      <c r="B9" t="s">
        <v>467</v>
      </c>
      <c r="C9" t="s">
        <v>576</v>
      </c>
      <c r="D9">
        <v>30</v>
      </c>
      <c r="E9" s="801">
        <f t="shared" ref="E9:E10" si="0">EXP(-0.29*LN(D9)+5)</f>
        <v>55.348677159848172</v>
      </c>
      <c r="F9" s="800">
        <f t="shared" ref="F9:F10" si="1">E9/100</f>
        <v>0.5534867715984817</v>
      </c>
    </row>
    <row r="10" spans="2:6" x14ac:dyDescent="0.25">
      <c r="B10" t="s">
        <v>468</v>
      </c>
      <c r="C10" t="s">
        <v>576</v>
      </c>
      <c r="D10">
        <v>75</v>
      </c>
      <c r="E10" s="801">
        <f t="shared" si="0"/>
        <v>42.433088501311182</v>
      </c>
      <c r="F10" s="800">
        <f t="shared" si="1"/>
        <v>0.42433088501311184</v>
      </c>
    </row>
    <row r="11" spans="2:6" x14ac:dyDescent="0.25">
      <c r="B11" t="s">
        <v>469</v>
      </c>
      <c r="C11" t="s">
        <v>576</v>
      </c>
      <c r="D11">
        <v>159</v>
      </c>
      <c r="E11" s="801">
        <f>EXP(-0.29*LN(D11)+5)</f>
        <v>34.124574390569812</v>
      </c>
      <c r="F11" s="800">
        <f t="shared" ref="F11:F19" si="2">E11/100</f>
        <v>0.34124574390569812</v>
      </c>
    </row>
    <row r="12" spans="2:6" x14ac:dyDescent="0.25">
      <c r="B12" t="s">
        <v>470</v>
      </c>
      <c r="C12" t="s">
        <v>576</v>
      </c>
      <c r="D12">
        <v>250</v>
      </c>
      <c r="E12" s="801">
        <f>EXP(-0.29*LN(D12)+5)</f>
        <v>29.927456415912015</v>
      </c>
      <c r="F12" s="800">
        <f t="shared" si="2"/>
        <v>0.29927456415912013</v>
      </c>
    </row>
    <row r="13" spans="2:6" x14ac:dyDescent="0.25">
      <c r="B13" t="s">
        <v>471</v>
      </c>
      <c r="C13" t="s">
        <v>576</v>
      </c>
      <c r="D13">
        <v>350</v>
      </c>
      <c r="E13" s="801">
        <f t="shared" ref="E13:E19" si="3">EXP(-0.29*LN(D13)+5)</f>
        <v>27.145176927408066</v>
      </c>
      <c r="F13" s="800">
        <f t="shared" si="2"/>
        <v>0.27145176927408066</v>
      </c>
    </row>
    <row r="14" spans="2:6" x14ac:dyDescent="0.25">
      <c r="B14" t="s">
        <v>472</v>
      </c>
      <c r="C14" t="s">
        <v>576</v>
      </c>
      <c r="D14">
        <f t="shared" ref="D14:D15" si="4">D13+100</f>
        <v>450</v>
      </c>
      <c r="E14" s="801">
        <f t="shared" si="3"/>
        <v>25.237177400169156</v>
      </c>
      <c r="F14" s="800">
        <f t="shared" si="2"/>
        <v>0.25237177400169153</v>
      </c>
    </row>
    <row r="15" spans="2:6" x14ac:dyDescent="0.25">
      <c r="B15" t="s">
        <v>473</v>
      </c>
      <c r="C15" t="s">
        <v>576</v>
      </c>
      <c r="D15">
        <f t="shared" si="4"/>
        <v>550</v>
      </c>
      <c r="E15" s="801">
        <f t="shared" si="3"/>
        <v>23.810429508071888</v>
      </c>
      <c r="F15" s="800">
        <f t="shared" si="2"/>
        <v>0.23810429508071887</v>
      </c>
    </row>
    <row r="16" spans="2:6" x14ac:dyDescent="0.25">
      <c r="B16" t="s">
        <v>474</v>
      </c>
      <c r="C16" t="s">
        <v>576</v>
      </c>
      <c r="D16">
        <v>700</v>
      </c>
      <c r="E16" s="801">
        <f t="shared" si="3"/>
        <v>22.202096088842247</v>
      </c>
      <c r="F16" s="800">
        <f t="shared" si="2"/>
        <v>0.22202096088842246</v>
      </c>
    </row>
    <row r="17" spans="2:6" x14ac:dyDescent="0.25">
      <c r="B17" t="s">
        <v>475</v>
      </c>
      <c r="C17" t="s">
        <v>576</v>
      </c>
      <c r="D17">
        <f>D16+200</f>
        <v>900</v>
      </c>
      <c r="E17" s="801">
        <f t="shared" si="3"/>
        <v>20.641539347786257</v>
      </c>
      <c r="F17" s="800">
        <f t="shared" si="2"/>
        <v>0.20641539347786256</v>
      </c>
    </row>
    <row r="18" spans="2:6" x14ac:dyDescent="0.25">
      <c r="B18" t="s">
        <v>476</v>
      </c>
      <c r="C18" t="s">
        <v>576</v>
      </c>
      <c r="D18">
        <f>D17+200</f>
        <v>1100</v>
      </c>
      <c r="E18" s="801">
        <f t="shared" si="3"/>
        <v>19.474599309796929</v>
      </c>
      <c r="F18" s="800">
        <f t="shared" si="2"/>
        <v>0.19474599309796928</v>
      </c>
    </row>
    <row r="19" spans="2:6" x14ac:dyDescent="0.25">
      <c r="B19" t="s">
        <v>477</v>
      </c>
      <c r="C19" s="799" t="s">
        <v>577</v>
      </c>
      <c r="D19">
        <f>D18+200</f>
        <v>1300</v>
      </c>
      <c r="E19" s="801">
        <f t="shared" si="3"/>
        <v>18.553627683744487</v>
      </c>
      <c r="F19" s="800">
        <f t="shared" si="2"/>
        <v>0.18553627683744486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M18"/>
  <sheetViews>
    <sheetView workbookViewId="0"/>
  </sheetViews>
  <sheetFormatPr defaultColWidth="9" defaultRowHeight="15.75" x14ac:dyDescent="0.25"/>
  <cols>
    <col min="1" max="1" width="101.42578125" customWidth="1"/>
    <col min="2" max="4" width="13.140625" style="135" customWidth="1"/>
  </cols>
  <sheetData>
    <row r="1" spans="1:13" ht="18" x14ac:dyDescent="0.25">
      <c r="A1" s="552" t="s">
        <v>578</v>
      </c>
      <c r="E1" t="s">
        <v>579</v>
      </c>
      <c r="I1" t="s">
        <v>580</v>
      </c>
    </row>
    <row r="2" spans="1:13" ht="66" x14ac:dyDescent="0.3">
      <c r="A2" s="553" t="s">
        <v>581</v>
      </c>
      <c r="B2" s="670" t="s">
        <v>582</v>
      </c>
      <c r="C2" s="669" t="s">
        <v>583</v>
      </c>
      <c r="D2" s="381" t="s">
        <v>584</v>
      </c>
      <c r="E2" s="671" t="s">
        <v>585</v>
      </c>
      <c r="F2" s="677" t="s">
        <v>586</v>
      </c>
      <c r="G2" s="677" t="s">
        <v>587</v>
      </c>
      <c r="H2" s="381"/>
      <c r="I2" s="381" t="s">
        <v>588</v>
      </c>
      <c r="L2" s="802" t="s">
        <v>589</v>
      </c>
      <c r="M2" s="802" t="s">
        <v>590</v>
      </c>
    </row>
    <row r="3" spans="1:13" x14ac:dyDescent="0.25">
      <c r="A3" t="s">
        <v>591</v>
      </c>
      <c r="B3" s="135">
        <v>9.2977268014515193</v>
      </c>
      <c r="C3" s="135">
        <v>9.3588550898203522</v>
      </c>
      <c r="D3">
        <v>1</v>
      </c>
      <c r="E3" s="554">
        <f t="shared" ref="E3:E18" si="0">(B3+C3)/4</f>
        <v>4.6641454728179674</v>
      </c>
      <c r="F3" s="2">
        <f>E3/E$18-1</f>
        <v>0.48109397084449679</v>
      </c>
      <c r="G3" s="2">
        <v>0.64187283512647819</v>
      </c>
    </row>
    <row r="4" spans="1:13" x14ac:dyDescent="0.25">
      <c r="A4" t="s">
        <v>592</v>
      </c>
      <c r="B4" s="135">
        <v>6.5393292109154499</v>
      </c>
      <c r="C4" s="135">
        <v>6.1306306049822386</v>
      </c>
      <c r="D4">
        <v>2</v>
      </c>
      <c r="E4" s="554">
        <f t="shared" si="0"/>
        <v>3.1674899539744219</v>
      </c>
      <c r="F4" s="2">
        <f t="shared" ref="F4:F18" si="1">E4/E$18-1</f>
        <v>5.8327513330378444E-3</v>
      </c>
      <c r="G4" s="2">
        <v>-0.21757414224737814</v>
      </c>
    </row>
    <row r="5" spans="1:13" x14ac:dyDescent="0.25">
      <c r="A5" t="s">
        <v>593</v>
      </c>
      <c r="B5" s="135">
        <v>4.4807183098591654</v>
      </c>
      <c r="C5" s="135">
        <v>4.8441135734072089</v>
      </c>
      <c r="D5">
        <v>3</v>
      </c>
      <c r="E5" s="554">
        <f t="shared" si="0"/>
        <v>2.3312079708165934</v>
      </c>
      <c r="F5" s="2">
        <f t="shared" si="1"/>
        <v>-0.25972761988595805</v>
      </c>
      <c r="G5" s="2">
        <v>-0.53952703114572231</v>
      </c>
      <c r="I5" s="2">
        <v>0.46438547486033521</v>
      </c>
    </row>
    <row r="6" spans="1:13" x14ac:dyDescent="0.25">
      <c r="A6" t="s">
        <v>594</v>
      </c>
      <c r="B6" s="135">
        <v>7.4633644859813106</v>
      </c>
      <c r="C6" s="135">
        <v>7.0479629629629628</v>
      </c>
      <c r="D6">
        <v>4</v>
      </c>
      <c r="E6" s="554">
        <f t="shared" si="0"/>
        <v>3.6278318622360683</v>
      </c>
      <c r="F6" s="2">
        <f t="shared" si="1"/>
        <v>0.15201378895865925</v>
      </c>
      <c r="G6" s="2">
        <v>0.32460464188904647</v>
      </c>
      <c r="I6" s="2">
        <v>0.77209302325581397</v>
      </c>
      <c r="K6" s="2"/>
      <c r="L6" s="2">
        <v>0.5950413223140496</v>
      </c>
      <c r="M6" s="2">
        <v>0.4</v>
      </c>
    </row>
    <row r="7" spans="1:13" x14ac:dyDescent="0.25">
      <c r="A7" t="s">
        <v>595</v>
      </c>
      <c r="B7" s="135">
        <v>4.8759979939819473</v>
      </c>
      <c r="C7" s="135">
        <v>5.0794528875379958</v>
      </c>
      <c r="D7">
        <v>5</v>
      </c>
      <c r="E7" s="554">
        <f t="shared" si="0"/>
        <v>2.488862720379986</v>
      </c>
      <c r="F7" s="2">
        <f t="shared" si="1"/>
        <v>-0.209664537502667</v>
      </c>
      <c r="G7" s="2">
        <v>-0.46875738727229055</v>
      </c>
      <c r="I7" s="2">
        <v>0.78629032258064513</v>
      </c>
      <c r="K7" s="2"/>
      <c r="L7" s="2">
        <v>0.67917077986179664</v>
      </c>
      <c r="M7" s="2">
        <v>0.4</v>
      </c>
    </row>
    <row r="8" spans="1:13" x14ac:dyDescent="0.25">
      <c r="A8" t="s">
        <v>596</v>
      </c>
      <c r="B8" s="135">
        <v>5.1462704918032838</v>
      </c>
      <c r="C8" s="135">
        <v>5.4833057851239682</v>
      </c>
      <c r="D8">
        <v>6</v>
      </c>
      <c r="E8" s="554">
        <f t="shared" si="0"/>
        <v>2.6573940692318132</v>
      </c>
      <c r="F8" s="2">
        <f t="shared" si="1"/>
        <v>-0.15614760366399694</v>
      </c>
      <c r="G8" s="2">
        <v>-0.59001115405340321</v>
      </c>
      <c r="I8" s="2">
        <v>0.83127572016460904</v>
      </c>
      <c r="K8" s="2"/>
      <c r="L8" s="2">
        <v>0.73015873015873012</v>
      </c>
      <c r="M8" s="2">
        <v>0.35</v>
      </c>
    </row>
    <row r="9" spans="1:13" x14ac:dyDescent="0.25">
      <c r="A9" t="s">
        <v>597</v>
      </c>
      <c r="B9" s="135">
        <v>3.2888085399449074</v>
      </c>
      <c r="C9" s="135">
        <v>3.8837828492392825</v>
      </c>
      <c r="D9">
        <v>7</v>
      </c>
      <c r="E9" s="554">
        <f t="shared" si="0"/>
        <v>1.7931478472960474</v>
      </c>
      <c r="F9" s="2">
        <f t="shared" si="1"/>
        <v>-0.43058798638662965</v>
      </c>
      <c r="G9" s="2">
        <v>-0.68374592535434731</v>
      </c>
      <c r="I9" s="2">
        <v>0.81538992408557631</v>
      </c>
      <c r="K9" s="2"/>
      <c r="L9" s="2">
        <v>0.71505739365293719</v>
      </c>
      <c r="M9" s="2">
        <v>0.55000000000000004</v>
      </c>
    </row>
    <row r="10" spans="1:13" x14ac:dyDescent="0.25">
      <c r="A10" t="s">
        <v>598</v>
      </c>
      <c r="B10" s="135">
        <v>6.5510123456790179</v>
      </c>
      <c r="C10" s="135">
        <v>6.8532563510392581</v>
      </c>
      <c r="D10">
        <v>8</v>
      </c>
      <c r="E10" s="554">
        <f t="shared" si="0"/>
        <v>3.351067174179569</v>
      </c>
      <c r="F10" s="2">
        <f t="shared" si="1"/>
        <v>6.412748412274305E-2</v>
      </c>
      <c r="G10" s="2">
        <v>-0.11528498054952552</v>
      </c>
      <c r="I10" s="2">
        <v>0.75059665871121717</v>
      </c>
      <c r="K10" s="2"/>
      <c r="L10" s="2">
        <v>0.6172043010752688</v>
      </c>
      <c r="M10" s="2">
        <v>0.6172043010752688</v>
      </c>
    </row>
    <row r="11" spans="1:13" x14ac:dyDescent="0.25">
      <c r="A11" t="s">
        <v>599</v>
      </c>
      <c r="B11" s="135">
        <v>3.570014224751068</v>
      </c>
      <c r="C11" s="135">
        <v>3.9640228245363773</v>
      </c>
      <c r="D11">
        <v>9</v>
      </c>
      <c r="E11" s="554">
        <f t="shared" si="0"/>
        <v>1.8835092623218612</v>
      </c>
      <c r="F11" s="2">
        <f t="shared" si="1"/>
        <v>-0.40189382412868213</v>
      </c>
      <c r="G11" s="2">
        <v>-0.62166888892247396</v>
      </c>
      <c r="I11" s="2">
        <v>0.70441595441595439</v>
      </c>
      <c r="K11" s="2"/>
      <c r="L11" s="2">
        <v>0.44089012517385257</v>
      </c>
      <c r="M11" s="2">
        <v>0.3</v>
      </c>
    </row>
    <row r="12" spans="1:13" x14ac:dyDescent="0.25">
      <c r="A12" t="s">
        <v>600</v>
      </c>
      <c r="B12" s="135">
        <v>6.1089090909090915</v>
      </c>
      <c r="C12" s="135">
        <v>6.3509174311926593</v>
      </c>
      <c r="D12">
        <v>10</v>
      </c>
      <c r="E12" s="554">
        <f t="shared" si="0"/>
        <v>3.1149566305254375</v>
      </c>
      <c r="F12" s="2">
        <f t="shared" si="1"/>
        <v>-1.0849144435900349E-2</v>
      </c>
      <c r="G12" s="2">
        <v>-0.5347823473022002</v>
      </c>
      <c r="I12" s="2">
        <v>0.77625570776255703</v>
      </c>
      <c r="K12" s="2"/>
      <c r="L12" s="2">
        <v>0.5663716814159292</v>
      </c>
      <c r="M12" s="2">
        <v>0.3</v>
      </c>
    </row>
    <row r="13" spans="1:13" x14ac:dyDescent="0.25">
      <c r="A13" t="s">
        <v>601</v>
      </c>
      <c r="B13" s="135">
        <v>4.1406226650062248</v>
      </c>
      <c r="C13" s="135">
        <v>3.9757763975155296</v>
      </c>
      <c r="D13">
        <v>11</v>
      </c>
      <c r="E13" s="554">
        <f t="shared" si="0"/>
        <v>2.0290997656304386</v>
      </c>
      <c r="F13" s="2">
        <f t="shared" si="1"/>
        <v>-0.35566172911380056</v>
      </c>
      <c r="G13" s="2">
        <v>-0.50622213585907516</v>
      </c>
      <c r="I13" s="2">
        <v>0.76679104477611937</v>
      </c>
      <c r="K13" s="2"/>
      <c r="L13" s="2">
        <v>0.57212121212121214</v>
      </c>
      <c r="M13" s="2">
        <v>0.4</v>
      </c>
    </row>
    <row r="14" spans="1:13" x14ac:dyDescent="0.25">
      <c r="A14" t="s">
        <v>602</v>
      </c>
      <c r="B14" s="135">
        <v>5.3947457627118638</v>
      </c>
      <c r="C14" s="135">
        <v>5.8161797752808972</v>
      </c>
      <c r="D14">
        <v>12</v>
      </c>
      <c r="E14" s="554">
        <f t="shared" si="0"/>
        <v>2.8027313844981903</v>
      </c>
      <c r="F14" s="2">
        <f t="shared" si="1"/>
        <v>-0.10999590821747751</v>
      </c>
      <c r="G14" s="2">
        <v>-0.62666519903024709</v>
      </c>
      <c r="I14" s="2">
        <v>0.72957746478873242</v>
      </c>
      <c r="K14" s="2"/>
      <c r="L14" s="2">
        <v>0.50276243093922657</v>
      </c>
      <c r="M14" s="2">
        <v>0.2</v>
      </c>
    </row>
    <row r="15" spans="1:13" x14ac:dyDescent="0.25">
      <c r="A15" t="s">
        <v>603</v>
      </c>
      <c r="B15" s="135">
        <v>4.7618817204301154</v>
      </c>
      <c r="C15" s="135">
        <v>4.557560321715818</v>
      </c>
      <c r="D15">
        <v>13</v>
      </c>
      <c r="E15" s="554">
        <f t="shared" si="0"/>
        <v>2.3298605105364834</v>
      </c>
      <c r="F15" s="2">
        <f t="shared" si="1"/>
        <v>-0.2601555043309125</v>
      </c>
      <c r="G15" s="2">
        <v>7.6017830300085576E-2</v>
      </c>
    </row>
    <row r="16" spans="1:13" x14ac:dyDescent="0.25">
      <c r="A16" t="s">
        <v>604</v>
      </c>
      <c r="B16" s="135">
        <v>5.4739045553145331</v>
      </c>
      <c r="C16" s="135">
        <v>5.8512361809045226</v>
      </c>
      <c r="D16"/>
      <c r="E16" s="554">
        <f t="shared" si="0"/>
        <v>2.8312851840547637</v>
      </c>
      <c r="F16" s="2">
        <f t="shared" si="1"/>
        <v>-0.1009286823741995</v>
      </c>
      <c r="G16" s="2">
        <v>1.8437814940452784</v>
      </c>
    </row>
    <row r="17" spans="1:13" ht="16.5" thickBot="1" x14ac:dyDescent="0.3">
      <c r="A17" t="s">
        <v>605</v>
      </c>
      <c r="B17" s="135">
        <v>24.45</v>
      </c>
      <c r="C17" s="135">
        <v>5.3149999999999995</v>
      </c>
      <c r="E17" s="554">
        <f t="shared" si="0"/>
        <v>7.4412500000000001</v>
      </c>
      <c r="F17" s="2">
        <f t="shared" si="1"/>
        <v>1.3629602838883725</v>
      </c>
      <c r="G17" s="2">
        <v>0.94333770967244823</v>
      </c>
    </row>
    <row r="18" spans="1:13" ht="16.5" thickBot="1" x14ac:dyDescent="0.3">
      <c r="A18" s="672" t="s">
        <v>606</v>
      </c>
      <c r="B18" s="135">
        <v>6.2982438179240416</v>
      </c>
      <c r="C18" s="135">
        <v>6.2982438179240585</v>
      </c>
      <c r="D18" s="673"/>
      <c r="E18" s="554">
        <f t="shared" si="0"/>
        <v>3.1491219089620248</v>
      </c>
      <c r="F18" s="674">
        <f t="shared" si="1"/>
        <v>0</v>
      </c>
      <c r="G18" s="674">
        <v>0</v>
      </c>
      <c r="H18" s="675"/>
      <c r="I18" s="675"/>
      <c r="J18" s="675"/>
      <c r="K18" s="675"/>
      <c r="L18" s="675"/>
      <c r="M18" s="676"/>
    </row>
  </sheetData>
  <conditionalFormatting sqref="D17:D18">
    <cfRule type="dataBar" priority="6">
      <dataBar>
        <cfvo type="min"/>
        <cfvo type="max"/>
        <color rgb="FF638EC6"/>
      </dataBar>
      <extLst>
        <ext xmlns:x14="http://schemas.microsoft.com/office/spreadsheetml/2009/9/main" uri="{B025F937-C7B1-47D3-B67F-A62EFF666E3E}">
          <x14:id>{483C092D-EFBE-44FC-AD4F-C091F9DF1916}</x14:id>
        </ext>
      </extLst>
    </cfRule>
  </conditionalFormatting>
  <conditionalFormatting sqref="F3:G17">
    <cfRule type="colorScale" priority="1">
      <colorScale>
        <cfvo type="min"/>
        <cfvo type="percentile" val="50"/>
        <cfvo type="max"/>
        <color rgb="FFF8696B"/>
        <color rgb="FFFCFCFF"/>
        <color rgb="FF63BE7B"/>
      </colorScale>
    </cfRule>
  </conditionalFormatting>
  <conditionalFormatting sqref="B3:B18">
    <cfRule type="dataBar" priority="3">
      <dataBar>
        <cfvo type="min"/>
        <cfvo type="max"/>
        <color rgb="FF638EC6"/>
      </dataBar>
      <extLst>
        <ext xmlns:x14="http://schemas.microsoft.com/office/spreadsheetml/2009/9/main" uri="{B025F937-C7B1-47D3-B67F-A62EFF666E3E}">
          <x14:id>{70B712DE-6CDA-4E3B-BC47-1B76882EC3AA}</x14:id>
        </ext>
      </extLst>
    </cfRule>
  </conditionalFormatting>
  <conditionalFormatting sqref="C3:C18">
    <cfRule type="dataBar" priority="2">
      <dataBar>
        <cfvo type="min"/>
        <cfvo type="max"/>
        <color rgb="FF638EC6"/>
      </dataBar>
      <extLst>
        <ext xmlns:x14="http://schemas.microsoft.com/office/spreadsheetml/2009/9/main" uri="{B025F937-C7B1-47D3-B67F-A62EFF666E3E}">
          <x14:id>{10A02784-4191-4F77-909B-F359888CB566}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D17:D18</xm:sqref>
        </x14:conditionalFormatting>
        <x14:conditionalFormatting xmlns:xm="http://schemas.microsoft.com/office/excel/2006/main">
          <x14:cfRule type="dataBar" id="{70B712DE-6CDA-4E3B-BC47-1B76882EC3AA}">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10A02784-4191-4F77-909B-F359888CB566}">
            <x14:dataBar minLength="0" maxLength="100" border="1" negativeBarBorderColorSameAsPositive="0">
              <x14:cfvo type="autoMin"/>
              <x14:cfvo type="autoMax"/>
              <x14:borderColor rgb="FF638EC6"/>
              <x14:negativeFillColor rgb="FFFF0000"/>
              <x14:negativeBorderColor rgb="FFFF0000"/>
              <x14:axisColor rgb="FF000000"/>
            </x14:dataBar>
          </x14:cfRule>
          <xm:sqref>C3:C18</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60"/>
  <sheetViews>
    <sheetView workbookViewId="0"/>
  </sheetViews>
  <sheetFormatPr defaultColWidth="11.5703125" defaultRowHeight="16.5" x14ac:dyDescent="0.3"/>
  <cols>
    <col min="1" max="1" width="11.85546875" style="555" bestFit="1" customWidth="1"/>
    <col min="2" max="2" width="12.140625" style="555" bestFit="1" customWidth="1"/>
    <col min="3" max="3" width="11.5703125" style="555"/>
    <col min="4" max="8" width="11.85546875" style="555" bestFit="1" customWidth="1"/>
    <col min="9" max="9" width="14.5703125" style="555" bestFit="1" customWidth="1"/>
    <col min="10" max="20" width="11.85546875" style="555" bestFit="1" customWidth="1"/>
    <col min="21" max="16384" width="11.5703125" style="555"/>
  </cols>
  <sheetData>
    <row r="1" spans="1:20" ht="25.5" x14ac:dyDescent="0.35">
      <c r="A1" s="560" t="s">
        <v>607</v>
      </c>
    </row>
    <row r="2" spans="1:20" x14ac:dyDescent="0.3">
      <c r="E2" s="556" t="s">
        <v>608</v>
      </c>
      <c r="F2" s="556"/>
      <c r="G2" s="556"/>
      <c r="H2" s="556"/>
      <c r="I2" s="556"/>
      <c r="J2" s="556"/>
      <c r="K2" s="556"/>
      <c r="L2" s="556"/>
    </row>
    <row r="3" spans="1:20" x14ac:dyDescent="0.3">
      <c r="E3" s="556"/>
      <c r="F3" s="556"/>
      <c r="G3" s="556"/>
      <c r="H3" s="556"/>
      <c r="I3" s="556"/>
      <c r="J3" s="556"/>
      <c r="K3" s="556"/>
      <c r="L3" s="556"/>
    </row>
    <row r="4" spans="1:20" x14ac:dyDescent="0.3">
      <c r="E4" s="556"/>
      <c r="F4" s="556"/>
      <c r="G4" s="556"/>
      <c r="H4" s="556"/>
      <c r="I4" s="556"/>
      <c r="J4" s="556"/>
      <c r="K4" s="556"/>
      <c r="L4" s="556"/>
    </row>
    <row r="5" spans="1:20" x14ac:dyDescent="0.3">
      <c r="A5" s="555" t="s">
        <v>55</v>
      </c>
      <c r="B5" s="555" t="s">
        <v>503</v>
      </c>
      <c r="C5" s="555" t="s">
        <v>504</v>
      </c>
      <c r="D5" s="555" t="s">
        <v>609</v>
      </c>
      <c r="E5" s="556" t="s">
        <v>610</v>
      </c>
      <c r="F5" s="556" t="s">
        <v>611</v>
      </c>
      <c r="G5" s="556" t="s">
        <v>612</v>
      </c>
      <c r="H5" s="556" t="s">
        <v>613</v>
      </c>
      <c r="I5" s="556" t="s">
        <v>614</v>
      </c>
      <c r="J5" s="556" t="s">
        <v>615</v>
      </c>
      <c r="K5" s="556" t="s">
        <v>616</v>
      </c>
      <c r="L5" s="556" t="s">
        <v>617</v>
      </c>
      <c r="M5" s="555" t="s">
        <v>618</v>
      </c>
      <c r="N5" s="555" t="s">
        <v>619</v>
      </c>
      <c r="O5" s="555" t="s">
        <v>620</v>
      </c>
      <c r="P5" s="555" t="s">
        <v>621</v>
      </c>
      <c r="Q5" s="555" t="s">
        <v>622</v>
      </c>
      <c r="R5" s="555" t="s">
        <v>623</v>
      </c>
      <c r="S5" s="555" t="s">
        <v>624</v>
      </c>
      <c r="T5" s="555" t="s">
        <v>625</v>
      </c>
    </row>
    <row r="7" spans="1:20" x14ac:dyDescent="0.3">
      <c r="A7" s="555">
        <v>1</v>
      </c>
      <c r="B7" s="557" t="s">
        <v>626</v>
      </c>
      <c r="C7" s="555" t="s">
        <v>58</v>
      </c>
      <c r="D7" s="555">
        <v>2</v>
      </c>
      <c r="E7" s="556">
        <v>927756</v>
      </c>
      <c r="F7" s="556">
        <v>116220</v>
      </c>
      <c r="G7" s="556">
        <v>156440</v>
      </c>
      <c r="H7" s="556">
        <v>230960</v>
      </c>
      <c r="I7" s="556">
        <v>6760471.5599999996</v>
      </c>
      <c r="J7" s="556">
        <v>404774.40000000002</v>
      </c>
      <c r="K7" s="556">
        <v>937077.24</v>
      </c>
      <c r="L7" s="556">
        <v>205657.88</v>
      </c>
      <c r="M7" s="558">
        <f t="shared" ref="M7:M30" si="0">I7/E7</f>
        <v>7.2869068591310642</v>
      </c>
      <c r="N7" s="558">
        <f t="shared" ref="N7:N30" si="1">J7/F7</f>
        <v>3.4828291171915335</v>
      </c>
      <c r="O7" s="558">
        <f t="shared" ref="O7:O30" si="2">K7/G7</f>
        <v>5.9900104832523651</v>
      </c>
      <c r="P7" s="558">
        <f t="shared" ref="P7:P30" si="3">L7/H7</f>
        <v>0.89044804295116042</v>
      </c>
      <c r="Q7" s="559">
        <f t="shared" ref="Q7:Q30" si="4">E7/SUM($E7:$H7)</f>
        <v>0.64815673869060264</v>
      </c>
      <c r="R7" s="559">
        <f t="shared" ref="R7:R30" si="5">F7/SUM($E7:$H7)</f>
        <v>8.119459876370709E-2</v>
      </c>
      <c r="S7" s="559">
        <f t="shared" ref="S7:S30" si="6">G7/SUM($E7:$H7)</f>
        <v>0.1092934351281564</v>
      </c>
      <c r="T7" s="559">
        <f t="shared" ref="T7:T30" si="7">H7/SUM($E7:$H7)</f>
        <v>0.16135522741753389</v>
      </c>
    </row>
    <row r="8" spans="1:20" x14ac:dyDescent="0.3">
      <c r="A8" s="555">
        <v>1</v>
      </c>
      <c r="B8" s="557" t="s">
        <v>627</v>
      </c>
      <c r="C8" s="555" t="s">
        <v>58</v>
      </c>
      <c r="D8" s="555">
        <v>4</v>
      </c>
      <c r="E8" s="556">
        <v>169776</v>
      </c>
      <c r="F8" s="556">
        <v>13760</v>
      </c>
      <c r="G8" s="556">
        <v>20272</v>
      </c>
      <c r="H8" s="556">
        <v>69856</v>
      </c>
      <c r="I8" s="556">
        <v>1373151.16</v>
      </c>
      <c r="J8" s="556">
        <v>60136.639999999999</v>
      </c>
      <c r="K8" s="556">
        <v>151339.76</v>
      </c>
      <c r="L8" s="556">
        <v>47288.04</v>
      </c>
      <c r="M8" s="558">
        <f t="shared" ref="M8:M19" si="8">I8/E8</f>
        <v>8.0880169164075006</v>
      </c>
      <c r="N8" s="558">
        <f t="shared" si="1"/>
        <v>4.3703953488372091</v>
      </c>
      <c r="O8" s="558">
        <f t="shared" si="2"/>
        <v>7.4654577742699297</v>
      </c>
      <c r="P8" s="558">
        <f t="shared" si="3"/>
        <v>0.67693598259276222</v>
      </c>
      <c r="Q8" s="559">
        <f t="shared" ref="Q8:Q19" si="9">E8/SUM($E8:$H8)</f>
        <v>0.62038119738072961</v>
      </c>
      <c r="R8" s="559">
        <f t="shared" ref="R8:R19" si="10">F8/SUM($E8:$H8)</f>
        <v>5.0280636108512626E-2</v>
      </c>
      <c r="S8" s="559">
        <f t="shared" si="6"/>
        <v>7.407623947614593E-2</v>
      </c>
      <c r="T8" s="559">
        <f t="shared" si="7"/>
        <v>0.25526192703461181</v>
      </c>
    </row>
    <row r="9" spans="1:20" x14ac:dyDescent="0.3">
      <c r="A9" s="555">
        <v>2</v>
      </c>
      <c r="B9" s="557" t="s">
        <v>626</v>
      </c>
      <c r="C9" s="555" t="s">
        <v>58</v>
      </c>
      <c r="D9" s="555">
        <v>6</v>
      </c>
      <c r="E9" s="556">
        <v>339876</v>
      </c>
      <c r="F9" s="556">
        <v>15264</v>
      </c>
      <c r="G9" s="556">
        <v>29768</v>
      </c>
      <c r="H9" s="556">
        <v>15624</v>
      </c>
      <c r="I9" s="556">
        <v>2714790.04</v>
      </c>
      <c r="J9" s="556">
        <v>77528.600000000006</v>
      </c>
      <c r="K9" s="556">
        <v>167843.24</v>
      </c>
      <c r="L9" s="556">
        <v>15120.84</v>
      </c>
      <c r="M9" s="558">
        <f t="shared" si="8"/>
        <v>7.9875897091880566</v>
      </c>
      <c r="N9" s="558">
        <f t="shared" si="1"/>
        <v>5.0791797693920335</v>
      </c>
      <c r="O9" s="558">
        <f t="shared" si="2"/>
        <v>5.6383781241601714</v>
      </c>
      <c r="P9" s="558">
        <f t="shared" si="3"/>
        <v>0.96779569892473116</v>
      </c>
      <c r="Q9" s="559">
        <f t="shared" si="9"/>
        <v>0.84856141332028401</v>
      </c>
      <c r="R9" s="559">
        <f t="shared" si="10"/>
        <v>3.8109314611566615E-2</v>
      </c>
      <c r="S9" s="559">
        <f t="shared" si="6"/>
        <v>7.4321152866687307E-2</v>
      </c>
      <c r="T9" s="559">
        <f t="shared" si="7"/>
        <v>3.9008119201462056E-2</v>
      </c>
    </row>
    <row r="10" spans="1:20" x14ac:dyDescent="0.3">
      <c r="A10" s="555">
        <v>2</v>
      </c>
      <c r="B10" s="557" t="s">
        <v>628</v>
      </c>
      <c r="C10" s="555" t="s">
        <v>58</v>
      </c>
      <c r="D10" s="555">
        <v>8</v>
      </c>
      <c r="E10" s="556">
        <v>150824</v>
      </c>
      <c r="F10" s="556">
        <v>5860</v>
      </c>
      <c r="G10" s="556">
        <v>11720</v>
      </c>
      <c r="H10" s="556">
        <v>6008</v>
      </c>
      <c r="I10" s="556">
        <v>1152690.24</v>
      </c>
      <c r="J10" s="556">
        <v>28764.400000000001</v>
      </c>
      <c r="K10" s="556">
        <v>68844.12</v>
      </c>
      <c r="L10" s="556">
        <v>6255.88</v>
      </c>
      <c r="M10" s="558">
        <f t="shared" si="8"/>
        <v>7.6426181509574072</v>
      </c>
      <c r="N10" s="558">
        <f t="shared" si="1"/>
        <v>4.9086006825938568</v>
      </c>
      <c r="O10" s="558">
        <f t="shared" si="2"/>
        <v>5.8740716723549484</v>
      </c>
      <c r="P10" s="558">
        <f t="shared" si="3"/>
        <v>1.0412583222370173</v>
      </c>
      <c r="Q10" s="559">
        <f t="shared" si="9"/>
        <v>0.86475701213219269</v>
      </c>
      <c r="R10" s="559">
        <f t="shared" si="10"/>
        <v>3.3598605600532072E-2</v>
      </c>
      <c r="S10" s="559">
        <f t="shared" si="6"/>
        <v>6.7197211201064144E-2</v>
      </c>
      <c r="T10" s="559">
        <f t="shared" si="7"/>
        <v>3.4447171066211042E-2</v>
      </c>
    </row>
    <row r="11" spans="1:20" x14ac:dyDescent="0.3">
      <c r="A11" s="555">
        <v>2</v>
      </c>
      <c r="B11" s="557" t="s">
        <v>629</v>
      </c>
      <c r="C11" s="555" t="s">
        <v>58</v>
      </c>
      <c r="D11" s="555">
        <v>10</v>
      </c>
      <c r="E11" s="556">
        <v>424484</v>
      </c>
      <c r="F11" s="556">
        <v>23220</v>
      </c>
      <c r="G11" s="556">
        <v>36356</v>
      </c>
      <c r="H11" s="556">
        <v>19328</v>
      </c>
      <c r="I11" s="556">
        <v>3146402</v>
      </c>
      <c r="J11" s="556">
        <v>117203.32</v>
      </c>
      <c r="K11" s="556">
        <v>301072.84000000003</v>
      </c>
      <c r="L11" s="556">
        <v>20767.439999999999</v>
      </c>
      <c r="M11" s="558">
        <f t="shared" si="8"/>
        <v>7.412298225610388</v>
      </c>
      <c r="N11" s="558">
        <f t="shared" si="1"/>
        <v>5.0475159345391907</v>
      </c>
      <c r="O11" s="558">
        <f t="shared" si="2"/>
        <v>8.2812421608537807</v>
      </c>
      <c r="P11" s="558">
        <f t="shared" si="3"/>
        <v>1.0744743377483443</v>
      </c>
      <c r="Q11" s="559">
        <f t="shared" si="9"/>
        <v>0.84325411014962615</v>
      </c>
      <c r="R11" s="559">
        <f t="shared" si="10"/>
        <v>4.6127440463419864E-2</v>
      </c>
      <c r="S11" s="559">
        <f t="shared" si="6"/>
        <v>7.2222619530064286E-2</v>
      </c>
      <c r="T11" s="559">
        <f t="shared" si="7"/>
        <v>3.8395829856889718E-2</v>
      </c>
    </row>
    <row r="12" spans="1:20" x14ac:dyDescent="0.3">
      <c r="A12" s="555">
        <v>2</v>
      </c>
      <c r="B12" s="557" t="s">
        <v>630</v>
      </c>
      <c r="C12" s="555" t="s">
        <v>58</v>
      </c>
      <c r="D12" s="555">
        <v>12</v>
      </c>
      <c r="E12" s="556">
        <v>457388</v>
      </c>
      <c r="F12" s="556">
        <v>16268</v>
      </c>
      <c r="G12" s="556">
        <v>37008</v>
      </c>
      <c r="H12" s="556">
        <v>25464</v>
      </c>
      <c r="I12" s="556">
        <v>3369891.96</v>
      </c>
      <c r="J12" s="556">
        <v>78278.880000000005</v>
      </c>
      <c r="K12" s="556">
        <v>256547.92</v>
      </c>
      <c r="L12" s="556">
        <v>21800.04</v>
      </c>
      <c r="M12" s="558">
        <f t="shared" si="8"/>
        <v>7.367687739949452</v>
      </c>
      <c r="N12" s="558">
        <f t="shared" si="1"/>
        <v>4.8118318170641752</v>
      </c>
      <c r="O12" s="558">
        <f t="shared" si="2"/>
        <v>6.9322287073065283</v>
      </c>
      <c r="P12" s="558">
        <f t="shared" si="3"/>
        <v>0.85611215834118759</v>
      </c>
      <c r="Q12" s="559">
        <f t="shared" si="9"/>
        <v>0.85313208785961558</v>
      </c>
      <c r="R12" s="559">
        <f t="shared" si="10"/>
        <v>3.034350005968724E-2</v>
      </c>
      <c r="S12" s="559">
        <f t="shared" si="6"/>
        <v>6.9028291751223589E-2</v>
      </c>
      <c r="T12" s="559">
        <f t="shared" si="7"/>
        <v>4.7496120329473555E-2</v>
      </c>
    </row>
    <row r="13" spans="1:20" x14ac:dyDescent="0.3">
      <c r="A13" s="555">
        <v>3</v>
      </c>
      <c r="B13" s="557" t="s">
        <v>626</v>
      </c>
      <c r="C13" s="555" t="s">
        <v>58</v>
      </c>
      <c r="D13" s="555">
        <v>15</v>
      </c>
      <c r="E13" s="556">
        <v>505020</v>
      </c>
      <c r="F13" s="556">
        <v>13612</v>
      </c>
      <c r="G13" s="556">
        <v>30764</v>
      </c>
      <c r="H13" s="556">
        <v>23548</v>
      </c>
      <c r="I13" s="556">
        <v>3976104.44</v>
      </c>
      <c r="J13" s="556">
        <v>61386.6</v>
      </c>
      <c r="K13" s="556">
        <v>174820.8</v>
      </c>
      <c r="L13" s="556">
        <v>21552.080000000002</v>
      </c>
      <c r="M13" s="558">
        <f t="shared" si="8"/>
        <v>7.8731623302047442</v>
      </c>
      <c r="N13" s="558">
        <f t="shared" si="1"/>
        <v>4.5097414046429618</v>
      </c>
      <c r="O13" s="558">
        <f t="shared" si="2"/>
        <v>5.6826420491483551</v>
      </c>
      <c r="P13" s="558">
        <f t="shared" si="3"/>
        <v>0.9152403601155088</v>
      </c>
      <c r="Q13" s="559">
        <f t="shared" si="9"/>
        <v>0.88144740149124523</v>
      </c>
      <c r="R13" s="559">
        <f t="shared" si="10"/>
        <v>2.3757993800441229E-2</v>
      </c>
      <c r="S13" s="559">
        <f t="shared" si="6"/>
        <v>5.3694601915719509E-2</v>
      </c>
      <c r="T13" s="559">
        <f t="shared" si="7"/>
        <v>4.1100002792594043E-2</v>
      </c>
    </row>
    <row r="14" spans="1:20" x14ac:dyDescent="0.3">
      <c r="A14" s="555">
        <v>3</v>
      </c>
      <c r="B14" s="557" t="s">
        <v>629</v>
      </c>
      <c r="C14" s="555" t="s">
        <v>58</v>
      </c>
      <c r="D14" s="555">
        <v>18</v>
      </c>
      <c r="E14" s="556">
        <v>590156</v>
      </c>
      <c r="F14" s="556">
        <v>15616</v>
      </c>
      <c r="G14" s="556">
        <v>26752</v>
      </c>
      <c r="H14" s="556">
        <v>17384</v>
      </c>
      <c r="I14" s="556">
        <v>4675614.84</v>
      </c>
      <c r="J14" s="556">
        <v>81261.759999999995</v>
      </c>
      <c r="K14" s="556">
        <v>153882.84</v>
      </c>
      <c r="L14" s="556">
        <v>18317.16</v>
      </c>
      <c r="M14" s="558">
        <f t="shared" si="8"/>
        <v>7.9226761059787583</v>
      </c>
      <c r="N14" s="558">
        <f t="shared" si="1"/>
        <v>5.2037499999999994</v>
      </c>
      <c r="O14" s="558">
        <f t="shared" si="2"/>
        <v>5.7521994617224879</v>
      </c>
      <c r="P14" s="558">
        <f t="shared" si="3"/>
        <v>1.0536792452830188</v>
      </c>
      <c r="Q14" s="559">
        <f t="shared" si="9"/>
        <v>0.90806083322562581</v>
      </c>
      <c r="R14" s="559">
        <f t="shared" si="10"/>
        <v>2.4028016273072498E-2</v>
      </c>
      <c r="S14" s="559">
        <f t="shared" si="6"/>
        <v>4.1162749189115999E-2</v>
      </c>
      <c r="T14" s="559">
        <f t="shared" si="7"/>
        <v>2.6748401312185723E-2</v>
      </c>
    </row>
    <row r="15" spans="1:20" x14ac:dyDescent="0.3">
      <c r="A15" s="555">
        <v>3</v>
      </c>
      <c r="B15" s="557" t="s">
        <v>630</v>
      </c>
      <c r="C15" s="555" t="s">
        <v>58</v>
      </c>
      <c r="D15" s="555">
        <v>20</v>
      </c>
      <c r="E15" s="556">
        <v>597384</v>
      </c>
      <c r="F15" s="556">
        <v>13160</v>
      </c>
      <c r="G15" s="556">
        <v>30240</v>
      </c>
      <c r="H15" s="556">
        <v>22392</v>
      </c>
      <c r="I15" s="556">
        <v>4316008.32</v>
      </c>
      <c r="J15" s="556">
        <v>56294.720000000001</v>
      </c>
      <c r="K15" s="556">
        <v>201953.96</v>
      </c>
      <c r="L15" s="556">
        <v>19837.28</v>
      </c>
      <c r="M15" s="558">
        <f t="shared" si="8"/>
        <v>7.2248475352537067</v>
      </c>
      <c r="N15" s="558">
        <f t="shared" si="1"/>
        <v>4.2777142857142856</v>
      </c>
      <c r="O15" s="558">
        <f t="shared" si="2"/>
        <v>6.6783716931216928</v>
      </c>
      <c r="P15" s="558">
        <f t="shared" si="3"/>
        <v>0.88590925330475168</v>
      </c>
      <c r="Q15" s="559">
        <f t="shared" si="9"/>
        <v>0.90079254979070411</v>
      </c>
      <c r="R15" s="559">
        <f t="shared" si="10"/>
        <v>1.9843902674403176E-2</v>
      </c>
      <c r="S15" s="559">
        <f t="shared" si="6"/>
        <v>4.5598755081607295E-2</v>
      </c>
      <c r="T15" s="559">
        <f t="shared" si="7"/>
        <v>3.3764792453285404E-2</v>
      </c>
    </row>
    <row r="16" spans="1:20" x14ac:dyDescent="0.3">
      <c r="A16" s="555">
        <v>4</v>
      </c>
      <c r="B16" s="557" t="s">
        <v>630</v>
      </c>
      <c r="C16" s="555" t="s">
        <v>58</v>
      </c>
      <c r="D16" s="555">
        <v>23</v>
      </c>
      <c r="E16" s="556">
        <v>315848</v>
      </c>
      <c r="F16" s="556">
        <v>8568</v>
      </c>
      <c r="G16" s="556">
        <v>20324</v>
      </c>
      <c r="H16" s="556">
        <v>26088</v>
      </c>
      <c r="I16" s="556">
        <v>2207178.2799999998</v>
      </c>
      <c r="J16" s="556">
        <v>25826.400000000001</v>
      </c>
      <c r="K16" s="556">
        <v>163313.32</v>
      </c>
      <c r="L16" s="556">
        <v>22645.64</v>
      </c>
      <c r="M16" s="558">
        <f t="shared" si="8"/>
        <v>6.9881027582887967</v>
      </c>
      <c r="N16" s="558">
        <f t="shared" si="1"/>
        <v>3.0142857142857142</v>
      </c>
      <c r="O16" s="558">
        <f t="shared" si="2"/>
        <v>8.0354910450698682</v>
      </c>
      <c r="P16" s="558">
        <f t="shared" si="3"/>
        <v>0.86804814474087699</v>
      </c>
      <c r="Q16" s="559">
        <f t="shared" si="9"/>
        <v>0.85173719352368216</v>
      </c>
      <c r="R16" s="559">
        <f t="shared" si="10"/>
        <v>2.3105051398492022E-2</v>
      </c>
      <c r="S16" s="559">
        <f t="shared" si="6"/>
        <v>5.4807080371492983E-2</v>
      </c>
      <c r="T16" s="559">
        <f t="shared" si="7"/>
        <v>7.0350674706332855E-2</v>
      </c>
    </row>
    <row r="17" spans="1:20" x14ac:dyDescent="0.3">
      <c r="A17" s="555">
        <v>1</v>
      </c>
      <c r="B17" s="557" t="s">
        <v>626</v>
      </c>
      <c r="C17" s="555" t="s">
        <v>393</v>
      </c>
      <c r="D17" s="555">
        <v>1</v>
      </c>
      <c r="E17" s="556">
        <v>128152</v>
      </c>
      <c r="F17" s="556">
        <v>13184</v>
      </c>
      <c r="G17" s="556">
        <v>14256</v>
      </c>
      <c r="H17" s="556">
        <v>23816</v>
      </c>
      <c r="I17" s="556">
        <v>863236.6</v>
      </c>
      <c r="J17" s="556">
        <v>48873.760000000002</v>
      </c>
      <c r="K17" s="556">
        <v>67618.28</v>
      </c>
      <c r="L17" s="556">
        <v>19730.439999999999</v>
      </c>
      <c r="M17" s="558">
        <f t="shared" si="8"/>
        <v>6.7360368936887447</v>
      </c>
      <c r="N17" s="558">
        <f t="shared" si="1"/>
        <v>3.7070509708737864</v>
      </c>
      <c r="O17" s="558">
        <f t="shared" si="2"/>
        <v>4.7431453423120091</v>
      </c>
      <c r="P17" s="558">
        <f t="shared" si="3"/>
        <v>0.82845314074571708</v>
      </c>
      <c r="Q17" s="559">
        <f t="shared" si="9"/>
        <v>0.71430482475697854</v>
      </c>
      <c r="R17" s="559">
        <f t="shared" si="10"/>
        <v>7.3486132168019261E-2</v>
      </c>
      <c r="S17" s="559">
        <f t="shared" si="6"/>
        <v>7.9461339516632479E-2</v>
      </c>
      <c r="T17" s="559">
        <f t="shared" si="7"/>
        <v>0.13274770355836976</v>
      </c>
    </row>
    <row r="18" spans="1:20" x14ac:dyDescent="0.3">
      <c r="A18" s="555">
        <v>1</v>
      </c>
      <c r="B18" s="557" t="s">
        <v>627</v>
      </c>
      <c r="C18" s="555" t="s">
        <v>393</v>
      </c>
      <c r="D18" s="555">
        <v>3</v>
      </c>
      <c r="E18" s="556">
        <v>128884</v>
      </c>
      <c r="F18" s="556">
        <v>6444</v>
      </c>
      <c r="G18" s="556">
        <v>13920</v>
      </c>
      <c r="H18" s="556">
        <v>25900</v>
      </c>
      <c r="I18" s="556">
        <v>1210942.04</v>
      </c>
      <c r="J18" s="556">
        <v>30272.84</v>
      </c>
      <c r="K18" s="556">
        <v>94307.44</v>
      </c>
      <c r="L18" s="556">
        <v>21939.32</v>
      </c>
      <c r="M18" s="558">
        <f t="shared" si="8"/>
        <v>9.3955963502063877</v>
      </c>
      <c r="N18" s="558">
        <f t="shared" si="1"/>
        <v>4.6978336436995658</v>
      </c>
      <c r="O18" s="558">
        <f t="shared" si="2"/>
        <v>6.7749597701149424</v>
      </c>
      <c r="P18" s="558">
        <f t="shared" si="3"/>
        <v>0.8470779922779923</v>
      </c>
      <c r="Q18" s="559">
        <f t="shared" si="9"/>
        <v>0.73585767465229401</v>
      </c>
      <c r="R18" s="559">
        <f t="shared" si="10"/>
        <v>3.6791741841185742E-2</v>
      </c>
      <c r="S18" s="559">
        <f t="shared" si="6"/>
        <v>7.9475643455820227E-2</v>
      </c>
      <c r="T18" s="559">
        <f t="shared" si="7"/>
        <v>0.14787494005069998</v>
      </c>
    </row>
    <row r="19" spans="1:20" x14ac:dyDescent="0.3">
      <c r="A19" s="555">
        <v>2</v>
      </c>
      <c r="B19" s="557" t="s">
        <v>626</v>
      </c>
      <c r="C19" s="555" t="s">
        <v>393</v>
      </c>
      <c r="D19" s="555">
        <v>5</v>
      </c>
      <c r="E19" s="556">
        <v>325012</v>
      </c>
      <c r="F19" s="556">
        <v>13812</v>
      </c>
      <c r="G19" s="556">
        <v>25656</v>
      </c>
      <c r="H19" s="556">
        <v>13092</v>
      </c>
      <c r="I19" s="556">
        <v>2525212.92</v>
      </c>
      <c r="J19" s="556">
        <v>71481.240000000005</v>
      </c>
      <c r="K19" s="556">
        <v>136813.72</v>
      </c>
      <c r="L19" s="556">
        <v>12283.56</v>
      </c>
      <c r="M19" s="558">
        <f t="shared" si="8"/>
        <v>7.7695990301896547</v>
      </c>
      <c r="N19" s="558">
        <f t="shared" si="1"/>
        <v>5.1752997393570812</v>
      </c>
      <c r="O19" s="558">
        <f t="shared" si="2"/>
        <v>5.3326208294356094</v>
      </c>
      <c r="P19" s="558">
        <f t="shared" si="3"/>
        <v>0.93824931255728683</v>
      </c>
      <c r="Q19" s="559">
        <f t="shared" si="9"/>
        <v>0.8607947623234774</v>
      </c>
      <c r="R19" s="559">
        <f t="shared" si="10"/>
        <v>3.6581102412255144E-2</v>
      </c>
      <c r="S19" s="559">
        <f t="shared" si="6"/>
        <v>6.7949953916074279E-2</v>
      </c>
      <c r="T19" s="559">
        <f t="shared" si="7"/>
        <v>3.4674181348193195E-2</v>
      </c>
    </row>
    <row r="20" spans="1:20" x14ac:dyDescent="0.3">
      <c r="A20" s="555">
        <v>2</v>
      </c>
      <c r="B20" s="557" t="s">
        <v>628</v>
      </c>
      <c r="C20" s="555" t="s">
        <v>393</v>
      </c>
      <c r="D20" s="555">
        <v>7</v>
      </c>
      <c r="E20" s="556">
        <v>629216</v>
      </c>
      <c r="F20" s="556">
        <v>21372</v>
      </c>
      <c r="G20" s="556">
        <v>36052</v>
      </c>
      <c r="H20" s="556">
        <v>31220</v>
      </c>
      <c r="I20" s="556">
        <v>4722580.2</v>
      </c>
      <c r="J20" s="556">
        <v>106070.92</v>
      </c>
      <c r="K20" s="556">
        <v>185032.52</v>
      </c>
      <c r="L20" s="556">
        <v>29354.44</v>
      </c>
      <c r="M20" s="558">
        <f t="shared" si="0"/>
        <v>7.5054992244316736</v>
      </c>
      <c r="N20" s="558">
        <f t="shared" si="1"/>
        <v>4.963078794684634</v>
      </c>
      <c r="O20" s="558">
        <f t="shared" si="2"/>
        <v>5.1323787861977141</v>
      </c>
      <c r="P20" s="558">
        <f t="shared" si="3"/>
        <v>0.94024471492632922</v>
      </c>
      <c r="Q20" s="559">
        <f t="shared" si="4"/>
        <v>0.87651631237288608</v>
      </c>
      <c r="R20" s="559">
        <f t="shared" si="5"/>
        <v>2.9771821803694313E-2</v>
      </c>
      <c r="S20" s="559">
        <f t="shared" si="6"/>
        <v>5.0221491655754603E-2</v>
      </c>
      <c r="T20" s="559">
        <f t="shared" si="7"/>
        <v>4.3490374167665005E-2</v>
      </c>
    </row>
    <row r="21" spans="1:20" x14ac:dyDescent="0.3">
      <c r="A21" s="555">
        <v>2</v>
      </c>
      <c r="B21" s="557" t="s">
        <v>629</v>
      </c>
      <c r="C21" s="555" t="s">
        <v>393</v>
      </c>
      <c r="D21" s="555">
        <v>9</v>
      </c>
      <c r="E21" s="556">
        <v>41440</v>
      </c>
      <c r="F21" s="556">
        <v>1344</v>
      </c>
      <c r="G21" s="556">
        <v>2100</v>
      </c>
      <c r="H21" s="556">
        <v>1148</v>
      </c>
      <c r="I21" s="556">
        <v>334647.76</v>
      </c>
      <c r="J21" s="556">
        <v>7341.32</v>
      </c>
      <c r="K21" s="556">
        <v>11104.52</v>
      </c>
      <c r="L21" s="556">
        <v>1219.96</v>
      </c>
      <c r="M21" s="558">
        <f t="shared" si="0"/>
        <v>8.0754768339768344</v>
      </c>
      <c r="N21" s="558">
        <f t="shared" si="1"/>
        <v>5.4622916666666663</v>
      </c>
      <c r="O21" s="558">
        <f t="shared" si="2"/>
        <v>5.2878666666666669</v>
      </c>
      <c r="P21" s="558">
        <f t="shared" si="3"/>
        <v>1.0626829268292683</v>
      </c>
      <c r="Q21" s="559">
        <f t="shared" si="4"/>
        <v>0.9002433090024331</v>
      </c>
      <c r="R21" s="559">
        <f t="shared" si="5"/>
        <v>2.9197080291970802E-2</v>
      </c>
      <c r="S21" s="559">
        <f t="shared" si="6"/>
        <v>4.5620437956204379E-2</v>
      </c>
      <c r="T21" s="559">
        <f t="shared" si="7"/>
        <v>2.4939172749391728E-2</v>
      </c>
    </row>
    <row r="22" spans="1:20" x14ac:dyDescent="0.3">
      <c r="A22" s="555">
        <v>2</v>
      </c>
      <c r="B22" s="557" t="s">
        <v>630</v>
      </c>
      <c r="C22" s="555" t="s">
        <v>393</v>
      </c>
      <c r="D22" s="555">
        <v>11</v>
      </c>
      <c r="E22" s="556">
        <v>499828</v>
      </c>
      <c r="F22" s="556">
        <v>23888</v>
      </c>
      <c r="G22" s="556">
        <v>31456</v>
      </c>
      <c r="H22" s="556">
        <v>31224</v>
      </c>
      <c r="I22" s="556">
        <v>3597041.72</v>
      </c>
      <c r="J22" s="556">
        <v>105888.2</v>
      </c>
      <c r="K22" s="556">
        <v>183558.39999999999</v>
      </c>
      <c r="L22" s="556">
        <v>29243.68</v>
      </c>
      <c r="M22" s="558">
        <f t="shared" si="0"/>
        <v>7.1965590563153725</v>
      </c>
      <c r="N22" s="558">
        <f t="shared" si="1"/>
        <v>4.4326942397856666</v>
      </c>
      <c r="O22" s="558">
        <f t="shared" si="2"/>
        <v>5.8354018311291957</v>
      </c>
      <c r="P22" s="558">
        <f t="shared" si="3"/>
        <v>0.93657699205739176</v>
      </c>
      <c r="Q22" s="559">
        <f t="shared" si="4"/>
        <v>0.85237279926875353</v>
      </c>
      <c r="R22" s="559">
        <f t="shared" si="5"/>
        <v>4.0736976377737912E-2</v>
      </c>
      <c r="S22" s="559">
        <f t="shared" si="6"/>
        <v>5.3642930715762045E-2</v>
      </c>
      <c r="T22" s="559">
        <f t="shared" si="7"/>
        <v>5.3247293637746503E-2</v>
      </c>
    </row>
    <row r="23" spans="1:20" x14ac:dyDescent="0.3">
      <c r="A23" s="555">
        <v>2</v>
      </c>
      <c r="B23" s="557" t="s">
        <v>627</v>
      </c>
      <c r="C23" s="555" t="s">
        <v>393</v>
      </c>
      <c r="D23" s="555">
        <v>13</v>
      </c>
      <c r="E23" s="556">
        <v>118720</v>
      </c>
      <c r="F23" s="556">
        <v>5424</v>
      </c>
      <c r="G23" s="556">
        <v>14232</v>
      </c>
      <c r="H23" s="556">
        <v>14648</v>
      </c>
      <c r="I23" s="556">
        <v>1164648.8</v>
      </c>
      <c r="J23" s="556">
        <v>29785.919999999998</v>
      </c>
      <c r="K23" s="556">
        <v>100806.68</v>
      </c>
      <c r="L23" s="556">
        <v>14343.96</v>
      </c>
      <c r="M23" s="558">
        <f>I23/E23</f>
        <v>9.8100471698113214</v>
      </c>
      <c r="N23" s="558">
        <f>J23/F23</f>
        <v>5.4915044247787606</v>
      </c>
      <c r="O23" s="558">
        <f>K23/G23</f>
        <v>7.0831000562113546</v>
      </c>
      <c r="P23" s="558">
        <f>L23/H23</f>
        <v>0.97924358274167111</v>
      </c>
      <c r="Q23" s="559">
        <f>E23/SUM($E23:$H23)</f>
        <v>0.77582601421999164</v>
      </c>
      <c r="R23" s="559">
        <f>F23/SUM($E23:$H23)</f>
        <v>3.5445420326223338E-2</v>
      </c>
      <c r="S23" s="559">
        <f>G23/SUM($E23:$H23)</f>
        <v>9.3005018820577171E-2</v>
      </c>
      <c r="T23" s="559">
        <f>H23/SUM($E23:$H23)</f>
        <v>9.5723546633207868E-2</v>
      </c>
    </row>
    <row r="24" spans="1:20" x14ac:dyDescent="0.3">
      <c r="A24" s="555">
        <v>3</v>
      </c>
      <c r="B24" s="557" t="s">
        <v>626</v>
      </c>
      <c r="C24" s="555" t="s">
        <v>393</v>
      </c>
      <c r="D24" s="555">
        <v>14</v>
      </c>
      <c r="E24" s="556">
        <v>839376</v>
      </c>
      <c r="F24" s="556">
        <v>21548</v>
      </c>
      <c r="G24" s="556">
        <v>57984</v>
      </c>
      <c r="H24" s="556">
        <v>31784</v>
      </c>
      <c r="I24" s="556">
        <v>6877389.6399999997</v>
      </c>
      <c r="J24" s="556">
        <v>104436.36</v>
      </c>
      <c r="K24" s="556">
        <v>325373.64</v>
      </c>
      <c r="L24" s="556">
        <v>28588.639999999999</v>
      </c>
      <c r="M24" s="558">
        <f t="shared" si="0"/>
        <v>8.1934551857570384</v>
      </c>
      <c r="N24" s="558">
        <f t="shared" si="1"/>
        <v>4.8466846111007982</v>
      </c>
      <c r="O24" s="558">
        <f t="shared" si="2"/>
        <v>5.6114383278145699</v>
      </c>
      <c r="P24" s="558">
        <f t="shared" si="3"/>
        <v>0.89946639818776741</v>
      </c>
      <c r="Q24" s="559">
        <f t="shared" si="4"/>
        <v>0.88291055357571113</v>
      </c>
      <c r="R24" s="559">
        <f t="shared" si="5"/>
        <v>2.2665595166468214E-2</v>
      </c>
      <c r="S24" s="559">
        <f t="shared" si="6"/>
        <v>6.0991362081515357E-2</v>
      </c>
      <c r="T24" s="559">
        <f t="shared" si="7"/>
        <v>3.3432489176305258E-2</v>
      </c>
    </row>
    <row r="25" spans="1:20" x14ac:dyDescent="0.3">
      <c r="A25" s="555">
        <v>3</v>
      </c>
      <c r="B25" s="557" t="s">
        <v>628</v>
      </c>
      <c r="C25" s="555" t="s">
        <v>393</v>
      </c>
      <c r="D25" s="555">
        <v>16</v>
      </c>
      <c r="E25" s="556">
        <v>1022740</v>
      </c>
      <c r="F25" s="556">
        <v>21560</v>
      </c>
      <c r="G25" s="556">
        <v>52132</v>
      </c>
      <c r="H25" s="556">
        <v>40080</v>
      </c>
      <c r="I25" s="556">
        <v>8767548.8800000008</v>
      </c>
      <c r="J25" s="556">
        <v>94300.56</v>
      </c>
      <c r="K25" s="556">
        <v>274161.48</v>
      </c>
      <c r="L25" s="556">
        <v>37164.76</v>
      </c>
      <c r="M25" s="558">
        <f t="shared" si="0"/>
        <v>8.572607779103194</v>
      </c>
      <c r="N25" s="558">
        <f t="shared" si="1"/>
        <v>4.3738664192949903</v>
      </c>
      <c r="O25" s="558">
        <f t="shared" si="2"/>
        <v>5.258986419090002</v>
      </c>
      <c r="P25" s="558">
        <f t="shared" si="3"/>
        <v>0.92726447105788423</v>
      </c>
      <c r="Q25" s="559">
        <f t="shared" si="4"/>
        <v>0.89989370987723838</v>
      </c>
      <c r="R25" s="559">
        <f t="shared" si="5"/>
        <v>1.8970323234598491E-2</v>
      </c>
      <c r="S25" s="559">
        <f t="shared" si="6"/>
        <v>4.5870171190449373E-2</v>
      </c>
      <c r="T25" s="559">
        <f t="shared" si="7"/>
        <v>3.5265795697713709E-2</v>
      </c>
    </row>
    <row r="26" spans="1:20" x14ac:dyDescent="0.3">
      <c r="A26" s="555">
        <v>3</v>
      </c>
      <c r="B26" s="557" t="s">
        <v>629</v>
      </c>
      <c r="C26" s="555" t="s">
        <v>393</v>
      </c>
      <c r="D26" s="555">
        <v>17</v>
      </c>
      <c r="E26" s="556">
        <v>724896</v>
      </c>
      <c r="F26" s="556">
        <v>18380</v>
      </c>
      <c r="G26" s="556">
        <v>43392</v>
      </c>
      <c r="H26" s="556">
        <v>25024</v>
      </c>
      <c r="I26" s="556">
        <v>5707536</v>
      </c>
      <c r="J26" s="556">
        <v>91096.52</v>
      </c>
      <c r="K26" s="556">
        <v>234102.28</v>
      </c>
      <c r="L26" s="556">
        <v>23089.52</v>
      </c>
      <c r="M26" s="558">
        <f t="shared" si="0"/>
        <v>7.8735929016024366</v>
      </c>
      <c r="N26" s="558">
        <f t="shared" si="1"/>
        <v>4.9562850924918394</v>
      </c>
      <c r="O26" s="558">
        <f t="shared" si="2"/>
        <v>5.3950562315634221</v>
      </c>
      <c r="P26" s="558">
        <f t="shared" si="3"/>
        <v>0.92269501278772381</v>
      </c>
      <c r="Q26" s="559">
        <f t="shared" si="4"/>
        <v>0.89306781389985368</v>
      </c>
      <c r="R26" s="559">
        <f t="shared" si="5"/>
        <v>2.2644057105404514E-2</v>
      </c>
      <c r="S26" s="559">
        <f t="shared" si="6"/>
        <v>5.3458701083662276E-2</v>
      </c>
      <c r="T26" s="559">
        <f t="shared" si="7"/>
        <v>3.0829427911079572E-2</v>
      </c>
    </row>
    <row r="27" spans="1:20" x14ac:dyDescent="0.3">
      <c r="A27" s="555">
        <v>3</v>
      </c>
      <c r="B27" s="557" t="s">
        <v>630</v>
      </c>
      <c r="C27" s="555" t="s">
        <v>393</v>
      </c>
      <c r="D27" s="555">
        <v>19</v>
      </c>
      <c r="E27" s="556">
        <v>914044</v>
      </c>
      <c r="F27" s="556">
        <v>19396</v>
      </c>
      <c r="G27" s="556">
        <v>66692</v>
      </c>
      <c r="H27" s="556">
        <v>32516</v>
      </c>
      <c r="I27" s="556">
        <v>7363650.96</v>
      </c>
      <c r="J27" s="556">
        <v>84033.72</v>
      </c>
      <c r="K27" s="556">
        <v>418592.48</v>
      </c>
      <c r="L27" s="556">
        <v>27836.720000000001</v>
      </c>
      <c r="M27" s="558">
        <f t="shared" si="0"/>
        <v>8.0561230750379629</v>
      </c>
      <c r="N27" s="558">
        <f t="shared" si="1"/>
        <v>4.3325283563621362</v>
      </c>
      <c r="O27" s="558">
        <f t="shared" si="2"/>
        <v>6.2765021291909076</v>
      </c>
      <c r="P27" s="558">
        <f t="shared" si="3"/>
        <v>0.85609300036904912</v>
      </c>
      <c r="Q27" s="559">
        <f t="shared" si="4"/>
        <v>0.88514576118871091</v>
      </c>
      <c r="R27" s="559">
        <f t="shared" si="5"/>
        <v>1.8782779804928689E-2</v>
      </c>
      <c r="S27" s="559">
        <f t="shared" si="6"/>
        <v>6.4583478590962265E-2</v>
      </c>
      <c r="T27" s="559">
        <f t="shared" si="7"/>
        <v>3.1487980415398083E-2</v>
      </c>
    </row>
    <row r="28" spans="1:20" x14ac:dyDescent="0.3">
      <c r="A28" s="555">
        <v>3</v>
      </c>
      <c r="B28" s="557" t="s">
        <v>627</v>
      </c>
      <c r="C28" s="555" t="s">
        <v>393</v>
      </c>
      <c r="D28" s="555">
        <v>21</v>
      </c>
      <c r="E28" s="556">
        <v>84604</v>
      </c>
      <c r="F28" s="556">
        <v>3144</v>
      </c>
      <c r="G28" s="556">
        <v>8680</v>
      </c>
      <c r="H28" s="556">
        <v>13372</v>
      </c>
      <c r="I28" s="556">
        <v>718658</v>
      </c>
      <c r="J28" s="556">
        <v>13987.16</v>
      </c>
      <c r="K28" s="556">
        <v>60475.4</v>
      </c>
      <c r="L28" s="556">
        <v>8659.76</v>
      </c>
      <c r="M28" s="558">
        <f>I28/E28</f>
        <v>8.494373788473359</v>
      </c>
      <c r="N28" s="558">
        <f>J28/F28</f>
        <v>4.4488422391857503</v>
      </c>
      <c r="O28" s="558">
        <f>K28/G28</f>
        <v>6.9672119815668205</v>
      </c>
      <c r="P28" s="558">
        <f>L28/H28</f>
        <v>0.64760394854920733</v>
      </c>
      <c r="Q28" s="559">
        <f>E28/SUM($E28:$H28)</f>
        <v>0.77052823315118402</v>
      </c>
      <c r="R28" s="559">
        <f>F28/SUM($E28:$H28)</f>
        <v>2.8633879781420766E-2</v>
      </c>
      <c r="S28" s="559">
        <f>G28/SUM($E28:$H28)</f>
        <v>7.9052823315118398E-2</v>
      </c>
      <c r="T28" s="559">
        <f>H28/SUM($E28:$H28)</f>
        <v>0.12178506375227686</v>
      </c>
    </row>
    <row r="29" spans="1:20" x14ac:dyDescent="0.3">
      <c r="A29" s="555">
        <v>4</v>
      </c>
      <c r="B29" s="557" t="s">
        <v>630</v>
      </c>
      <c r="C29" s="555" t="s">
        <v>393</v>
      </c>
      <c r="D29" s="555">
        <v>22</v>
      </c>
      <c r="E29" s="556">
        <v>627300</v>
      </c>
      <c r="F29" s="556">
        <v>15040</v>
      </c>
      <c r="G29" s="556">
        <v>46364</v>
      </c>
      <c r="H29" s="556">
        <v>43588</v>
      </c>
      <c r="I29" s="556">
        <v>5501926.5199999996</v>
      </c>
      <c r="J29" s="556">
        <v>50868.32</v>
      </c>
      <c r="K29" s="556">
        <v>336466.28</v>
      </c>
      <c r="L29" s="556">
        <v>36859.760000000002</v>
      </c>
      <c r="M29" s="558">
        <f t="shared" si="0"/>
        <v>8.7708058664116049</v>
      </c>
      <c r="N29" s="558">
        <f t="shared" si="1"/>
        <v>3.3822021276595744</v>
      </c>
      <c r="O29" s="558">
        <f t="shared" si="2"/>
        <v>7.2570589250280397</v>
      </c>
      <c r="P29" s="558">
        <f t="shared" si="3"/>
        <v>0.84564008442690652</v>
      </c>
      <c r="Q29" s="559">
        <f t="shared" si="4"/>
        <v>0.85662549911783825</v>
      </c>
      <c r="R29" s="559">
        <f t="shared" si="5"/>
        <v>2.0538255231519666E-2</v>
      </c>
      <c r="S29" s="559">
        <f t="shared" si="6"/>
        <v>6.3313541592697989E-2</v>
      </c>
      <c r="T29" s="559">
        <f t="shared" si="7"/>
        <v>5.9522704057944097E-2</v>
      </c>
    </row>
    <row r="30" spans="1:20" x14ac:dyDescent="0.3">
      <c r="A30" s="555" t="s">
        <v>631</v>
      </c>
      <c r="D30" s="555">
        <v>24</v>
      </c>
      <c r="E30" s="556">
        <v>13500504</v>
      </c>
      <c r="F30" s="556">
        <v>288776</v>
      </c>
      <c r="G30" s="556">
        <v>690348</v>
      </c>
      <c r="H30" s="556">
        <v>629020</v>
      </c>
      <c r="I30" s="556">
        <v>109816838.16</v>
      </c>
      <c r="J30" s="556">
        <v>1191381.28</v>
      </c>
      <c r="K30" s="556">
        <v>3775472.4</v>
      </c>
      <c r="L30" s="556">
        <v>573002.72</v>
      </c>
      <c r="M30" s="558">
        <f t="shared" si="0"/>
        <v>8.1342769247725855</v>
      </c>
      <c r="N30" s="558">
        <f t="shared" si="1"/>
        <v>4.1256242901072113</v>
      </c>
      <c r="O30" s="558">
        <f t="shared" si="2"/>
        <v>5.468940881989953</v>
      </c>
      <c r="P30" s="558">
        <f t="shared" si="3"/>
        <v>0.91094515277733612</v>
      </c>
      <c r="Q30" s="559">
        <f t="shared" si="4"/>
        <v>0.89356135638344347</v>
      </c>
      <c r="R30" s="559">
        <f t="shared" si="5"/>
        <v>1.9113291937173996E-2</v>
      </c>
      <c r="S30" s="559">
        <f t="shared" si="6"/>
        <v>4.5692241953085411E-2</v>
      </c>
      <c r="T30" s="559">
        <f t="shared" si="7"/>
        <v>4.1633109726297149E-2</v>
      </c>
    </row>
    <row r="32" spans="1:20" x14ac:dyDescent="0.3">
      <c r="A32" s="555" t="s">
        <v>632</v>
      </c>
    </row>
    <row r="34" spans="1:20" x14ac:dyDescent="0.3">
      <c r="A34" s="555" t="s">
        <v>55</v>
      </c>
      <c r="B34" s="555" t="s">
        <v>503</v>
      </c>
      <c r="C34" s="555" t="s">
        <v>504</v>
      </c>
      <c r="M34" s="555" t="s">
        <v>633</v>
      </c>
      <c r="N34" s="555" t="s">
        <v>634</v>
      </c>
      <c r="O34" s="555" t="s">
        <v>635</v>
      </c>
      <c r="P34" s="555" t="s">
        <v>636</v>
      </c>
      <c r="Q34" s="555" t="s">
        <v>637</v>
      </c>
      <c r="R34" s="555" t="s">
        <v>638</v>
      </c>
      <c r="S34" s="555" t="s">
        <v>639</v>
      </c>
      <c r="T34" s="555" t="s">
        <v>640</v>
      </c>
    </row>
    <row r="35" spans="1:20" x14ac:dyDescent="0.3">
      <c r="A35" s="555">
        <v>1</v>
      </c>
      <c r="C35" s="555" t="s">
        <v>58</v>
      </c>
      <c r="E35" s="555">
        <f>E8+E7</f>
        <v>1097532</v>
      </c>
      <c r="F35" s="555">
        <f t="shared" ref="F35:L35" si="11">F8+F7</f>
        <v>129980</v>
      </c>
      <c r="G35" s="555">
        <f t="shared" si="11"/>
        <v>176712</v>
      </c>
      <c r="H35" s="555">
        <f t="shared" si="11"/>
        <v>300816</v>
      </c>
      <c r="I35" s="555">
        <f t="shared" si="11"/>
        <v>8133622.7199999997</v>
      </c>
      <c r="J35" s="555">
        <f t="shared" si="11"/>
        <v>464911.04000000004</v>
      </c>
      <c r="K35" s="555">
        <f t="shared" si="11"/>
        <v>1088417</v>
      </c>
      <c r="L35" s="555">
        <f t="shared" si="11"/>
        <v>252945.92000000001</v>
      </c>
      <c r="M35" s="558">
        <f t="shared" ref="M35:M42" si="12">I35/E35</f>
        <v>7.4108296796813216</v>
      </c>
      <c r="N35" s="558">
        <f t="shared" ref="N35:N42" si="13">J35/F35</f>
        <v>3.5767890444683799</v>
      </c>
      <c r="O35" s="558">
        <f t="shared" ref="O35:O42" si="14">K35/G35</f>
        <v>6.1592704513558783</v>
      </c>
      <c r="P35" s="558">
        <f t="shared" ref="P35:P42" si="15">L35/H35</f>
        <v>0.84086591138769218</v>
      </c>
      <c r="Q35" s="559">
        <f t="shared" ref="Q35:Q42" si="16">E35/SUM($E35:$H35)</f>
        <v>0.64369868155585797</v>
      </c>
      <c r="R35" s="559">
        <f t="shared" ref="R35:R42" si="17">F35/SUM($E35:$H35)</f>
        <v>7.6232815652418712E-2</v>
      </c>
      <c r="S35" s="559">
        <f t="shared" ref="S35:S42" si="18">G35/SUM($E35:$H35)</f>
        <v>0.10364097029981702</v>
      </c>
      <c r="T35" s="559">
        <f t="shared" ref="T35:T42" si="19">H35/SUM($E35:$H35)</f>
        <v>0.17642753249190635</v>
      </c>
    </row>
    <row r="36" spans="1:20" x14ac:dyDescent="0.3">
      <c r="A36" s="555">
        <v>2</v>
      </c>
      <c r="C36" s="555" t="s">
        <v>58</v>
      </c>
      <c r="E36" s="555">
        <f t="shared" ref="E36:L36" si="20">E9+E10+E11+E12</f>
        <v>1372572</v>
      </c>
      <c r="F36" s="555">
        <f t="shared" si="20"/>
        <v>60612</v>
      </c>
      <c r="G36" s="555">
        <f t="shared" si="20"/>
        <v>114852</v>
      </c>
      <c r="H36" s="555">
        <f t="shared" si="20"/>
        <v>66424</v>
      </c>
      <c r="I36" s="555">
        <f t="shared" si="20"/>
        <v>10383774.24</v>
      </c>
      <c r="J36" s="555">
        <f t="shared" si="20"/>
        <v>301775.2</v>
      </c>
      <c r="K36" s="555">
        <f t="shared" si="20"/>
        <v>794308.12</v>
      </c>
      <c r="L36" s="555">
        <f t="shared" si="20"/>
        <v>63944.200000000004</v>
      </c>
      <c r="M36" s="558">
        <f t="shared" ref="M36:P40" si="21">I36/E36</f>
        <v>7.5651945690280726</v>
      </c>
      <c r="N36" s="558">
        <f t="shared" si="21"/>
        <v>4.9788028773180226</v>
      </c>
      <c r="O36" s="558">
        <f t="shared" si="21"/>
        <v>6.9159276286002855</v>
      </c>
      <c r="P36" s="558">
        <f t="shared" si="21"/>
        <v>0.96266710827411783</v>
      </c>
      <c r="Q36" s="559">
        <f t="shared" ref="Q36:T40" si="22">E36/SUM($E36:$H36)</f>
        <v>0.85017405200500473</v>
      </c>
      <c r="R36" s="559">
        <f t="shared" si="22"/>
        <v>3.7543203300174674E-2</v>
      </c>
      <c r="S36" s="559">
        <f t="shared" si="22"/>
        <v>7.1139576081166458E-2</v>
      </c>
      <c r="T36" s="559">
        <f t="shared" si="22"/>
        <v>4.1143168613654101E-2</v>
      </c>
    </row>
    <row r="37" spans="1:20" x14ac:dyDescent="0.3">
      <c r="A37" s="555">
        <v>3</v>
      </c>
      <c r="C37" s="555" t="s">
        <v>58</v>
      </c>
      <c r="E37" s="555">
        <f t="shared" ref="E37:L37" si="23">E13+E14+E15</f>
        <v>1692560</v>
      </c>
      <c r="F37" s="555">
        <f t="shared" si="23"/>
        <v>42388</v>
      </c>
      <c r="G37" s="555">
        <f t="shared" si="23"/>
        <v>87756</v>
      </c>
      <c r="H37" s="555">
        <f t="shared" si="23"/>
        <v>63324</v>
      </c>
      <c r="I37" s="555">
        <f t="shared" si="23"/>
        <v>12967727.6</v>
      </c>
      <c r="J37" s="555">
        <f t="shared" si="23"/>
        <v>198943.08</v>
      </c>
      <c r="K37" s="555">
        <f t="shared" si="23"/>
        <v>530657.6</v>
      </c>
      <c r="L37" s="555">
        <f t="shared" si="23"/>
        <v>59706.520000000004</v>
      </c>
      <c r="M37" s="558">
        <f t="shared" si="21"/>
        <v>7.661605851491232</v>
      </c>
      <c r="N37" s="558">
        <f t="shared" si="21"/>
        <v>4.693382089270548</v>
      </c>
      <c r="O37" s="558">
        <f t="shared" si="21"/>
        <v>6.0469665891790871</v>
      </c>
      <c r="P37" s="558">
        <f t="shared" si="21"/>
        <v>0.94287347609121352</v>
      </c>
      <c r="Q37" s="559">
        <f t="shared" si="22"/>
        <v>0.89742039884879754</v>
      </c>
      <c r="R37" s="559">
        <f t="shared" si="22"/>
        <v>2.2474745868035894E-2</v>
      </c>
      <c r="S37" s="559">
        <f t="shared" si="22"/>
        <v>4.6529531905146693E-2</v>
      </c>
      <c r="T37" s="559">
        <f t="shared" si="22"/>
        <v>3.3575323378019842E-2</v>
      </c>
    </row>
    <row r="38" spans="1:20" x14ac:dyDescent="0.3">
      <c r="A38" s="555">
        <v>4</v>
      </c>
      <c r="C38" s="555" t="s">
        <v>58</v>
      </c>
      <c r="E38" s="555">
        <f t="shared" ref="E38:L38" si="24">E16</f>
        <v>315848</v>
      </c>
      <c r="F38" s="555">
        <f t="shared" si="24"/>
        <v>8568</v>
      </c>
      <c r="G38" s="555">
        <f t="shared" si="24"/>
        <v>20324</v>
      </c>
      <c r="H38" s="555">
        <f t="shared" si="24"/>
        <v>26088</v>
      </c>
      <c r="I38" s="555">
        <f t="shared" si="24"/>
        <v>2207178.2799999998</v>
      </c>
      <c r="J38" s="555">
        <f t="shared" si="24"/>
        <v>25826.400000000001</v>
      </c>
      <c r="K38" s="555">
        <f t="shared" si="24"/>
        <v>163313.32</v>
      </c>
      <c r="L38" s="555">
        <f t="shared" si="24"/>
        <v>22645.64</v>
      </c>
      <c r="M38" s="558">
        <f t="shared" si="21"/>
        <v>6.9881027582887967</v>
      </c>
      <c r="N38" s="558">
        <f t="shared" si="21"/>
        <v>3.0142857142857142</v>
      </c>
      <c r="O38" s="558">
        <f t="shared" si="21"/>
        <v>8.0354910450698682</v>
      </c>
      <c r="P38" s="558">
        <f t="shared" si="21"/>
        <v>0.86804814474087699</v>
      </c>
      <c r="Q38" s="559">
        <f t="shared" si="22"/>
        <v>0.85173719352368216</v>
      </c>
      <c r="R38" s="559">
        <f t="shared" si="22"/>
        <v>2.3105051398492022E-2</v>
      </c>
      <c r="S38" s="559">
        <f t="shared" si="22"/>
        <v>5.4807080371492983E-2</v>
      </c>
      <c r="T38" s="559">
        <f t="shared" si="22"/>
        <v>7.0350674706332855E-2</v>
      </c>
    </row>
    <row r="39" spans="1:20" x14ac:dyDescent="0.3">
      <c r="A39" s="555">
        <v>1</v>
      </c>
      <c r="C39" s="555" t="s">
        <v>393</v>
      </c>
      <c r="E39" s="555">
        <f t="shared" ref="E39:L39" si="25">E17+E18</f>
        <v>257036</v>
      </c>
      <c r="F39" s="555">
        <f t="shared" si="25"/>
        <v>19628</v>
      </c>
      <c r="G39" s="555">
        <f t="shared" si="25"/>
        <v>28176</v>
      </c>
      <c r="H39" s="555">
        <f t="shared" si="25"/>
        <v>49716</v>
      </c>
      <c r="I39" s="555">
        <f t="shared" si="25"/>
        <v>2074178.6400000001</v>
      </c>
      <c r="J39" s="555">
        <f t="shared" si="25"/>
        <v>79146.600000000006</v>
      </c>
      <c r="K39" s="555">
        <f t="shared" si="25"/>
        <v>161925.72</v>
      </c>
      <c r="L39" s="555">
        <f t="shared" si="25"/>
        <v>41669.759999999995</v>
      </c>
      <c r="M39" s="558">
        <f t="shared" si="21"/>
        <v>8.069603635288443</v>
      </c>
      <c r="N39" s="558">
        <f t="shared" si="21"/>
        <v>4.0323313633584679</v>
      </c>
      <c r="O39" s="558">
        <f t="shared" si="21"/>
        <v>5.7469378194207836</v>
      </c>
      <c r="P39" s="558">
        <f t="shared" si="21"/>
        <v>0.83815592565773589</v>
      </c>
      <c r="Q39" s="559">
        <f t="shared" si="22"/>
        <v>0.72495177066528282</v>
      </c>
      <c r="R39" s="559">
        <f t="shared" si="22"/>
        <v>5.5359379054366588E-2</v>
      </c>
      <c r="S39" s="559">
        <f t="shared" si="22"/>
        <v>7.9468405555116819E-2</v>
      </c>
      <c r="T39" s="559">
        <f t="shared" si="22"/>
        <v>0.14022044472523382</v>
      </c>
    </row>
    <row r="40" spans="1:20" x14ac:dyDescent="0.3">
      <c r="A40" s="555">
        <v>2</v>
      </c>
      <c r="C40" s="555" t="s">
        <v>393</v>
      </c>
      <c r="E40" s="555">
        <f t="shared" ref="E40:L40" si="26">E19+E20+E21+E22+E23</f>
        <v>1614216</v>
      </c>
      <c r="F40" s="555">
        <f t="shared" si="26"/>
        <v>65840</v>
      </c>
      <c r="G40" s="555">
        <f t="shared" si="26"/>
        <v>109496</v>
      </c>
      <c r="H40" s="555">
        <f t="shared" si="26"/>
        <v>91332</v>
      </c>
      <c r="I40" s="555">
        <f t="shared" si="26"/>
        <v>12344131.4</v>
      </c>
      <c r="J40" s="555">
        <f t="shared" si="26"/>
        <v>320567.59999999998</v>
      </c>
      <c r="K40" s="555">
        <f t="shared" si="26"/>
        <v>617315.84000000008</v>
      </c>
      <c r="L40" s="555">
        <f t="shared" si="26"/>
        <v>86445.6</v>
      </c>
      <c r="M40" s="558">
        <f t="shared" si="21"/>
        <v>7.6471373100006446</v>
      </c>
      <c r="N40" s="558">
        <f t="shared" si="21"/>
        <v>4.8688882138517613</v>
      </c>
      <c r="O40" s="558">
        <f t="shared" si="21"/>
        <v>5.637793526704173</v>
      </c>
      <c r="P40" s="558">
        <f t="shared" si="21"/>
        <v>0.94649848902903699</v>
      </c>
      <c r="Q40" s="559">
        <f t="shared" si="22"/>
        <v>0.85822198498152991</v>
      </c>
      <c r="R40" s="559">
        <f t="shared" si="22"/>
        <v>3.5004816883975831E-2</v>
      </c>
      <c r="S40" s="559">
        <f t="shared" si="22"/>
        <v>5.8215179670835629E-2</v>
      </c>
      <c r="T40" s="559">
        <f t="shared" si="22"/>
        <v>4.8558018463658578E-2</v>
      </c>
    </row>
    <row r="41" spans="1:20" x14ac:dyDescent="0.3">
      <c r="A41" s="555">
        <v>3</v>
      </c>
      <c r="C41" s="555" t="s">
        <v>393</v>
      </c>
      <c r="E41" s="555">
        <f t="shared" ref="E41:L41" si="27">E24+E25+E26+E27+E28</f>
        <v>3585660</v>
      </c>
      <c r="F41" s="555">
        <f t="shared" si="27"/>
        <v>84028</v>
      </c>
      <c r="G41" s="555">
        <f t="shared" si="27"/>
        <v>228880</v>
      </c>
      <c r="H41" s="555">
        <f t="shared" si="27"/>
        <v>142776</v>
      </c>
      <c r="I41" s="555">
        <f t="shared" si="27"/>
        <v>29434783.48</v>
      </c>
      <c r="J41" s="555">
        <f t="shared" si="27"/>
        <v>387854.32</v>
      </c>
      <c r="K41" s="555">
        <f t="shared" si="27"/>
        <v>1312705.2799999998</v>
      </c>
      <c r="L41" s="555">
        <f t="shared" si="27"/>
        <v>125339.4</v>
      </c>
      <c r="M41" s="558">
        <f t="shared" si="12"/>
        <v>8.2090280394683273</v>
      </c>
      <c r="N41" s="558">
        <f t="shared" si="13"/>
        <v>4.615774741752749</v>
      </c>
      <c r="O41" s="558">
        <f t="shared" si="14"/>
        <v>5.7353428871024112</v>
      </c>
      <c r="P41" s="558">
        <f t="shared" si="15"/>
        <v>0.87787443267776089</v>
      </c>
      <c r="Q41" s="559">
        <f t="shared" si="16"/>
        <v>0.8872444414531403</v>
      </c>
      <c r="R41" s="559">
        <f t="shared" si="17"/>
        <v>2.0792092927501345E-2</v>
      </c>
      <c r="S41" s="559">
        <f t="shared" si="18"/>
        <v>5.6634624520951443E-2</v>
      </c>
      <c r="T41" s="559">
        <f t="shared" si="19"/>
        <v>3.5328841098406866E-2</v>
      </c>
    </row>
    <row r="42" spans="1:20" x14ac:dyDescent="0.3">
      <c r="A42" s="555">
        <v>4</v>
      </c>
      <c r="C42" s="555" t="s">
        <v>393</v>
      </c>
      <c r="E42" s="555">
        <f>E29</f>
        <v>627300</v>
      </c>
      <c r="F42" s="555">
        <f t="shared" ref="F42:L42" si="28">F29</f>
        <v>15040</v>
      </c>
      <c r="G42" s="555">
        <f t="shared" si="28"/>
        <v>46364</v>
      </c>
      <c r="H42" s="555">
        <f t="shared" si="28"/>
        <v>43588</v>
      </c>
      <c r="I42" s="555">
        <f t="shared" si="28"/>
        <v>5501926.5199999996</v>
      </c>
      <c r="J42" s="555">
        <f t="shared" si="28"/>
        <v>50868.32</v>
      </c>
      <c r="K42" s="555">
        <f t="shared" si="28"/>
        <v>336466.28</v>
      </c>
      <c r="L42" s="555">
        <f t="shared" si="28"/>
        <v>36859.760000000002</v>
      </c>
      <c r="M42" s="558">
        <f t="shared" si="12"/>
        <v>8.7708058664116049</v>
      </c>
      <c r="N42" s="558">
        <f t="shared" si="13"/>
        <v>3.3822021276595744</v>
      </c>
      <c r="O42" s="558">
        <f t="shared" si="14"/>
        <v>7.2570589250280397</v>
      </c>
      <c r="P42" s="558">
        <f t="shared" si="15"/>
        <v>0.84564008442690652</v>
      </c>
      <c r="Q42" s="559">
        <f t="shared" si="16"/>
        <v>0.85662549911783825</v>
      </c>
      <c r="R42" s="559">
        <f t="shared" si="17"/>
        <v>2.0538255231519666E-2</v>
      </c>
      <c r="S42" s="559">
        <f t="shared" si="18"/>
        <v>6.3313541592697989E-2</v>
      </c>
      <c r="T42" s="559">
        <f t="shared" si="19"/>
        <v>5.9522704057944097E-2</v>
      </c>
    </row>
    <row r="45" spans="1:20" x14ac:dyDescent="0.3">
      <c r="A45" s="555" t="s">
        <v>641</v>
      </c>
      <c r="E45" s="555">
        <f t="shared" ref="E45:L45" si="29">SUM(E35:E42)-SUM(E6:E29)</f>
        <v>0</v>
      </c>
      <c r="F45" s="555">
        <f t="shared" si="29"/>
        <v>0</v>
      </c>
      <c r="G45" s="555">
        <f t="shared" si="29"/>
        <v>0</v>
      </c>
      <c r="H45" s="555">
        <f t="shared" si="29"/>
        <v>0</v>
      </c>
      <c r="I45" s="555">
        <f t="shared" si="29"/>
        <v>0</v>
      </c>
      <c r="J45" s="555">
        <f t="shared" si="29"/>
        <v>0</v>
      </c>
      <c r="K45" s="555">
        <f t="shared" si="29"/>
        <v>0</v>
      </c>
      <c r="L45" s="555">
        <f t="shared" si="29"/>
        <v>0</v>
      </c>
    </row>
    <row r="47" spans="1:20" x14ac:dyDescent="0.3">
      <c r="A47" s="555" t="s">
        <v>642</v>
      </c>
      <c r="B47" s="555">
        <f>SUM(E7:H30)</f>
        <v>27694080</v>
      </c>
    </row>
    <row r="48" spans="1:20" x14ac:dyDescent="0.3">
      <c r="A48" s="555" t="s">
        <v>643</v>
      </c>
      <c r="B48" s="555">
        <f>SUM(I7:L30)</f>
        <v>205928575.96000001</v>
      </c>
    </row>
    <row r="53" spans="1:14" x14ac:dyDescent="0.3">
      <c r="A53" s="555" t="str">
        <f>A34</f>
        <v>Ring</v>
      </c>
      <c r="B53" s="555" t="str">
        <f t="shared" ref="B53:C53" si="30">B34</f>
        <v>Corridor</v>
      </c>
      <c r="C53" s="555" t="str">
        <f t="shared" si="30"/>
        <v>Smart</v>
      </c>
      <c r="D53" s="555" t="str">
        <f>M34</f>
        <v>Auto MI</v>
      </c>
      <c r="E53" s="555" t="str">
        <f t="shared" ref="E53:J53" si="31">N34</f>
        <v>Bike MI</v>
      </c>
      <c r="F53" s="555" t="str">
        <f t="shared" si="31"/>
        <v>Transit MI</v>
      </c>
      <c r="G53" s="555" t="str">
        <f t="shared" si="31"/>
        <v>Walk MI</v>
      </c>
      <c r="H53" s="555" t="str">
        <f t="shared" si="31"/>
        <v>Auto Percent</v>
      </c>
      <c r="I53" s="555" t="str">
        <f t="shared" si="31"/>
        <v>Bike Percent</v>
      </c>
      <c r="J53" s="555" t="str">
        <f t="shared" si="31"/>
        <v>Transit Percent</v>
      </c>
      <c r="K53" s="555" t="str">
        <f>T34</f>
        <v>Walk Percent</v>
      </c>
      <c r="L53" s="555" t="s">
        <v>644</v>
      </c>
      <c r="N53" s="555" t="s">
        <v>645</v>
      </c>
    </row>
    <row r="54" spans="1:14" x14ac:dyDescent="0.3">
      <c r="A54" s="555">
        <f t="shared" ref="A54:C54" si="32">A35</f>
        <v>1</v>
      </c>
      <c r="B54" s="555">
        <f t="shared" si="32"/>
        <v>0</v>
      </c>
      <c r="C54" s="555" t="str">
        <f t="shared" si="32"/>
        <v>In</v>
      </c>
      <c r="D54" s="688">
        <f t="shared" ref="D54:D57" si="33">M35</f>
        <v>7.4108296796813216</v>
      </c>
      <c r="E54" s="688">
        <f t="shared" ref="E54:E57" si="34">N35</f>
        <v>3.5767890444683799</v>
      </c>
      <c r="F54" s="688">
        <f t="shared" ref="F54:F57" si="35">O35</f>
        <v>6.1592704513558783</v>
      </c>
      <c r="G54" s="688">
        <f t="shared" ref="G54:G57" si="36">P35</f>
        <v>0.84086591138769218</v>
      </c>
      <c r="H54" s="687">
        <f t="shared" ref="H54:H57" si="37">Q35</f>
        <v>0.64369868155585797</v>
      </c>
      <c r="I54" s="687">
        <f t="shared" ref="I54:I57" si="38">R35</f>
        <v>7.6232815652418712E-2</v>
      </c>
      <c r="J54" s="687">
        <f t="shared" ref="J54:K57" si="39">S35</f>
        <v>0.10364097029981702</v>
      </c>
      <c r="K54" s="687">
        <f t="shared" si="39"/>
        <v>0.17642753249190635</v>
      </c>
      <c r="L54" s="687">
        <f>SUM(K54+I54)</f>
        <v>0.25266034814432503</v>
      </c>
      <c r="N54" s="688">
        <f>SUM(D54:G54)</f>
        <v>17.987755086893269</v>
      </c>
    </row>
    <row r="55" spans="1:14" x14ac:dyDescent="0.3">
      <c r="A55" s="555">
        <f t="shared" ref="A55:C55" si="40">A36</f>
        <v>2</v>
      </c>
      <c r="B55" s="555">
        <f t="shared" si="40"/>
        <v>0</v>
      </c>
      <c r="C55" s="555" t="str">
        <f t="shared" si="40"/>
        <v>In</v>
      </c>
      <c r="D55" s="688">
        <f t="shared" si="33"/>
        <v>7.5651945690280726</v>
      </c>
      <c r="E55" s="688">
        <f t="shared" si="34"/>
        <v>4.9788028773180226</v>
      </c>
      <c r="F55" s="688">
        <f t="shared" si="35"/>
        <v>6.9159276286002855</v>
      </c>
      <c r="G55" s="688">
        <f t="shared" si="36"/>
        <v>0.96266710827411783</v>
      </c>
      <c r="H55" s="687">
        <f t="shared" si="37"/>
        <v>0.85017405200500473</v>
      </c>
      <c r="I55" s="687">
        <f t="shared" si="38"/>
        <v>3.7543203300174674E-2</v>
      </c>
      <c r="J55" s="687">
        <f t="shared" si="39"/>
        <v>7.1139576081166458E-2</v>
      </c>
      <c r="K55" s="687">
        <f t="shared" ref="K55:K57" si="41">T36</f>
        <v>4.1143168613654101E-2</v>
      </c>
      <c r="L55" s="687">
        <f t="shared" ref="L55:L60" si="42">SUM(K55+I55)</f>
        <v>7.8686371913828768E-2</v>
      </c>
      <c r="N55" s="688">
        <f t="shared" ref="N55:N60" si="43">SUM(D55:G55)</f>
        <v>20.422592183220498</v>
      </c>
    </row>
    <row r="56" spans="1:14" x14ac:dyDescent="0.3">
      <c r="A56" s="555">
        <f t="shared" ref="A56:C56" si="44">A37</f>
        <v>3</v>
      </c>
      <c r="B56" s="555">
        <f t="shared" si="44"/>
        <v>0</v>
      </c>
      <c r="C56" s="555" t="str">
        <f t="shared" si="44"/>
        <v>In</v>
      </c>
      <c r="D56" s="688">
        <f t="shared" si="33"/>
        <v>7.661605851491232</v>
      </c>
      <c r="E56" s="688">
        <f t="shared" si="34"/>
        <v>4.693382089270548</v>
      </c>
      <c r="F56" s="688">
        <f t="shared" si="35"/>
        <v>6.0469665891790871</v>
      </c>
      <c r="G56" s="688">
        <f t="shared" si="36"/>
        <v>0.94287347609121352</v>
      </c>
      <c r="H56" s="687">
        <f t="shared" si="37"/>
        <v>0.89742039884879754</v>
      </c>
      <c r="I56" s="687">
        <f t="shared" si="38"/>
        <v>2.2474745868035894E-2</v>
      </c>
      <c r="J56" s="687">
        <f t="shared" si="39"/>
        <v>4.6529531905146693E-2</v>
      </c>
      <c r="K56" s="687">
        <f t="shared" si="41"/>
        <v>3.3575323378019842E-2</v>
      </c>
      <c r="L56" s="687">
        <f t="shared" si="42"/>
        <v>5.6050069246055739E-2</v>
      </c>
      <c r="N56" s="688">
        <f t="shared" si="43"/>
        <v>19.344828006032081</v>
      </c>
    </row>
    <row r="57" spans="1:14" x14ac:dyDescent="0.3">
      <c r="A57" s="555">
        <f t="shared" ref="A57:C57" si="45">A38</f>
        <v>4</v>
      </c>
      <c r="B57" s="555">
        <f t="shared" si="45"/>
        <v>0</v>
      </c>
      <c r="C57" s="555" t="str">
        <f t="shared" si="45"/>
        <v>In</v>
      </c>
      <c r="D57" s="688">
        <f t="shared" si="33"/>
        <v>6.9881027582887967</v>
      </c>
      <c r="E57" s="688">
        <f t="shared" si="34"/>
        <v>3.0142857142857142</v>
      </c>
      <c r="F57" s="688">
        <f t="shared" si="35"/>
        <v>8.0354910450698682</v>
      </c>
      <c r="G57" s="688">
        <f t="shared" si="36"/>
        <v>0.86804814474087699</v>
      </c>
      <c r="H57" s="687">
        <f t="shared" si="37"/>
        <v>0.85173719352368216</v>
      </c>
      <c r="I57" s="687">
        <f t="shared" si="38"/>
        <v>2.3105051398492022E-2</v>
      </c>
      <c r="J57" s="687">
        <f t="shared" si="39"/>
        <v>5.4807080371492983E-2</v>
      </c>
      <c r="K57" s="687">
        <f t="shared" si="41"/>
        <v>7.0350674706332855E-2</v>
      </c>
      <c r="L57" s="687">
        <f t="shared" si="42"/>
        <v>9.3455726104824874E-2</v>
      </c>
      <c r="N57" s="688">
        <f t="shared" si="43"/>
        <v>18.905927662385253</v>
      </c>
    </row>
    <row r="58" spans="1:14" x14ac:dyDescent="0.3">
      <c r="A58" s="555">
        <f t="shared" ref="A58:C58" si="46">A40</f>
        <v>2</v>
      </c>
      <c r="B58" s="555">
        <f t="shared" si="46"/>
        <v>0</v>
      </c>
      <c r="C58" s="555" t="str">
        <f t="shared" si="46"/>
        <v>Out</v>
      </c>
      <c r="D58" s="688">
        <f t="shared" ref="D58:K60" si="47">M40</f>
        <v>7.6471373100006446</v>
      </c>
      <c r="E58" s="688">
        <f t="shared" si="47"/>
        <v>4.8688882138517613</v>
      </c>
      <c r="F58" s="688">
        <f t="shared" si="47"/>
        <v>5.637793526704173</v>
      </c>
      <c r="G58" s="688">
        <f t="shared" si="47"/>
        <v>0.94649848902903699</v>
      </c>
      <c r="H58" s="687">
        <f t="shared" si="47"/>
        <v>0.85822198498152991</v>
      </c>
      <c r="I58" s="687">
        <f t="shared" si="47"/>
        <v>3.5004816883975831E-2</v>
      </c>
      <c r="J58" s="687">
        <f t="shared" si="47"/>
        <v>5.8215179670835629E-2</v>
      </c>
      <c r="K58" s="687">
        <f t="shared" si="47"/>
        <v>4.8558018463658578E-2</v>
      </c>
      <c r="L58" s="687">
        <f t="shared" si="42"/>
        <v>8.3562835347634409E-2</v>
      </c>
      <c r="N58" s="688">
        <f t="shared" si="43"/>
        <v>19.100317539585614</v>
      </c>
    </row>
    <row r="59" spans="1:14" x14ac:dyDescent="0.3">
      <c r="A59" s="555">
        <f t="shared" ref="A59:C59" si="48">A41</f>
        <v>3</v>
      </c>
      <c r="B59" s="555">
        <f t="shared" si="48"/>
        <v>0</v>
      </c>
      <c r="C59" s="555" t="str">
        <f t="shared" si="48"/>
        <v>Out</v>
      </c>
      <c r="D59" s="688">
        <f t="shared" si="47"/>
        <v>8.2090280394683273</v>
      </c>
      <c r="E59" s="688">
        <f t="shared" si="47"/>
        <v>4.615774741752749</v>
      </c>
      <c r="F59" s="688">
        <f t="shared" si="47"/>
        <v>5.7353428871024112</v>
      </c>
      <c r="G59" s="688">
        <f t="shared" si="47"/>
        <v>0.87787443267776089</v>
      </c>
      <c r="H59" s="687">
        <f t="shared" si="47"/>
        <v>0.8872444414531403</v>
      </c>
      <c r="I59" s="687">
        <f t="shared" si="47"/>
        <v>2.0792092927501345E-2</v>
      </c>
      <c r="J59" s="687">
        <f t="shared" si="47"/>
        <v>5.6634624520951443E-2</v>
      </c>
      <c r="K59" s="687">
        <f t="shared" si="47"/>
        <v>3.5328841098406866E-2</v>
      </c>
      <c r="L59" s="687">
        <f t="shared" si="42"/>
        <v>5.612093402590821E-2</v>
      </c>
      <c r="N59" s="688">
        <f t="shared" si="43"/>
        <v>19.43802010100125</v>
      </c>
    </row>
    <row r="60" spans="1:14" x14ac:dyDescent="0.3">
      <c r="A60" s="555">
        <f t="shared" ref="A60:C60" si="49">A42</f>
        <v>4</v>
      </c>
      <c r="B60" s="555">
        <f t="shared" si="49"/>
        <v>0</v>
      </c>
      <c r="C60" s="555" t="str">
        <f t="shared" si="49"/>
        <v>Out</v>
      </c>
      <c r="D60" s="688">
        <f t="shared" si="47"/>
        <v>8.7708058664116049</v>
      </c>
      <c r="E60" s="688">
        <f t="shared" si="47"/>
        <v>3.3822021276595744</v>
      </c>
      <c r="F60" s="688">
        <f t="shared" si="47"/>
        <v>7.2570589250280397</v>
      </c>
      <c r="G60" s="688">
        <f t="shared" si="47"/>
        <v>0.84564008442690652</v>
      </c>
      <c r="H60" s="687">
        <f t="shared" si="47"/>
        <v>0.85662549911783825</v>
      </c>
      <c r="I60" s="687">
        <f t="shared" si="47"/>
        <v>2.0538255231519666E-2</v>
      </c>
      <c r="J60" s="687">
        <f t="shared" si="47"/>
        <v>6.3313541592697989E-2</v>
      </c>
      <c r="K60" s="687">
        <f t="shared" si="47"/>
        <v>5.9522704057944097E-2</v>
      </c>
      <c r="L60" s="687">
        <f t="shared" si="42"/>
        <v>8.006095928946376E-2</v>
      </c>
      <c r="N60" s="688">
        <f t="shared" si="43"/>
        <v>20.255707003526126</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D0493-60A7-9B42-BCCF-FD46BE3A3FBA}">
  <sheetPr>
    <tabColor theme="5" tint="0.39997558519241921"/>
  </sheetPr>
  <dimension ref="A3:I25"/>
  <sheetViews>
    <sheetView workbookViewId="0"/>
  </sheetViews>
  <sheetFormatPr defaultColWidth="11.42578125" defaultRowHeight="15.75" x14ac:dyDescent="0.25"/>
  <cols>
    <col min="1" max="1" width="15.140625" bestFit="1" customWidth="1"/>
    <col min="2" max="2" width="21" bestFit="1" customWidth="1"/>
    <col min="3" max="3" width="23.140625" bestFit="1" customWidth="1"/>
    <col min="4" max="4" width="19.85546875" bestFit="1" customWidth="1"/>
    <col min="5" max="7" width="4.140625" bestFit="1" customWidth="1"/>
    <col min="8" max="8" width="5.140625" bestFit="1" customWidth="1"/>
    <col min="9" max="9" width="12.42578125" bestFit="1" customWidth="1"/>
  </cols>
  <sheetData>
    <row r="3" spans="1:9" x14ac:dyDescent="0.25">
      <c r="A3" s="684" t="s">
        <v>646</v>
      </c>
      <c r="B3" t="s">
        <v>647</v>
      </c>
      <c r="C3" t="s">
        <v>648</v>
      </c>
      <c r="D3" t="s">
        <v>649</v>
      </c>
    </row>
    <row r="4" spans="1:9" x14ac:dyDescent="0.25">
      <c r="A4" s="685">
        <v>1</v>
      </c>
      <c r="B4" s="576">
        <v>0.64369868155585797</v>
      </c>
      <c r="C4" s="576">
        <v>0.10364097029981702</v>
      </c>
      <c r="D4" s="576">
        <v>0.25266034814432503</v>
      </c>
      <c r="E4" s="2"/>
      <c r="F4" s="2"/>
      <c r="G4" s="2"/>
      <c r="H4" s="2"/>
      <c r="I4" s="2"/>
    </row>
    <row r="5" spans="1:9" x14ac:dyDescent="0.25">
      <c r="A5" s="686" t="s">
        <v>58</v>
      </c>
      <c r="B5">
        <v>0.64369868155585797</v>
      </c>
      <c r="C5">
        <v>0.10364097029981702</v>
      </c>
      <c r="D5">
        <v>0.25266034814432503</v>
      </c>
      <c r="E5" s="2"/>
      <c r="F5" s="2"/>
      <c r="G5" s="2"/>
      <c r="H5" s="2"/>
      <c r="I5" s="2"/>
    </row>
    <row r="6" spans="1:9" x14ac:dyDescent="0.25">
      <c r="A6" s="685">
        <v>2</v>
      </c>
      <c r="B6" s="576">
        <v>1.7083960369865347</v>
      </c>
      <c r="C6" s="576">
        <v>0.12935475575200209</v>
      </c>
      <c r="D6" s="576">
        <v>0.16224920726146319</v>
      </c>
      <c r="E6" s="2"/>
      <c r="F6" s="2"/>
      <c r="G6" s="2"/>
      <c r="H6" s="2"/>
      <c r="I6" s="2"/>
    </row>
    <row r="7" spans="1:9" x14ac:dyDescent="0.25">
      <c r="A7" s="686" t="s">
        <v>58</v>
      </c>
      <c r="B7">
        <v>0.85017405200500473</v>
      </c>
      <c r="C7">
        <v>7.1139576081166458E-2</v>
      </c>
      <c r="D7">
        <v>7.8686371913828768E-2</v>
      </c>
      <c r="E7" s="2"/>
      <c r="F7" s="2"/>
      <c r="G7" s="2"/>
      <c r="H7" s="2"/>
      <c r="I7" s="2"/>
    </row>
    <row r="8" spans="1:9" x14ac:dyDescent="0.25">
      <c r="A8" s="686" t="s">
        <v>393</v>
      </c>
      <c r="B8">
        <v>0.85822198498152991</v>
      </c>
      <c r="C8">
        <v>5.8215179670835629E-2</v>
      </c>
      <c r="D8">
        <v>8.3562835347634409E-2</v>
      </c>
      <c r="E8" s="2"/>
      <c r="F8" s="2"/>
      <c r="G8" s="2"/>
      <c r="H8" s="2"/>
      <c r="I8" s="2"/>
    </row>
    <row r="9" spans="1:9" x14ac:dyDescent="0.25">
      <c r="A9" s="685">
        <v>3</v>
      </c>
      <c r="B9" s="576">
        <v>1.7846648403019378</v>
      </c>
      <c r="C9" s="576">
        <v>0.10316415642609814</v>
      </c>
      <c r="D9" s="576">
        <v>0.11217100327196394</v>
      </c>
      <c r="E9" s="2"/>
      <c r="F9" s="2"/>
      <c r="G9" s="2"/>
      <c r="H9" s="2"/>
      <c r="I9" s="2"/>
    </row>
    <row r="10" spans="1:9" x14ac:dyDescent="0.25">
      <c r="A10" s="686" t="s">
        <v>58</v>
      </c>
      <c r="B10">
        <v>0.89742039884879754</v>
      </c>
      <c r="C10">
        <v>4.6529531905146693E-2</v>
      </c>
      <c r="D10">
        <v>5.6050069246055739E-2</v>
      </c>
      <c r="E10" s="2"/>
      <c r="F10" s="2"/>
      <c r="G10" s="2"/>
      <c r="H10" s="2"/>
      <c r="I10" s="2"/>
    </row>
    <row r="11" spans="1:9" x14ac:dyDescent="0.25">
      <c r="A11" s="686" t="s">
        <v>393</v>
      </c>
      <c r="B11">
        <v>0.8872444414531403</v>
      </c>
      <c r="C11">
        <v>5.6634624520951443E-2</v>
      </c>
      <c r="D11">
        <v>5.612093402590821E-2</v>
      </c>
      <c r="E11" s="2"/>
      <c r="F11" s="2"/>
      <c r="G11" s="2"/>
      <c r="H11" s="2"/>
      <c r="I11" s="2"/>
    </row>
    <row r="12" spans="1:9" x14ac:dyDescent="0.25">
      <c r="A12" s="685">
        <v>4</v>
      </c>
      <c r="B12" s="576">
        <v>1.7083626926415203</v>
      </c>
      <c r="C12" s="576">
        <v>0.11812062196419097</v>
      </c>
      <c r="D12" s="576">
        <v>0.17351668539428863</v>
      </c>
      <c r="E12" s="2"/>
      <c r="F12" s="2"/>
      <c r="G12" s="2"/>
      <c r="H12" s="2"/>
      <c r="I12" s="2"/>
    </row>
    <row r="13" spans="1:9" x14ac:dyDescent="0.25">
      <c r="A13" s="686" t="s">
        <v>58</v>
      </c>
      <c r="B13">
        <v>0.85173719352368216</v>
      </c>
      <c r="C13">
        <v>5.4807080371492983E-2</v>
      </c>
      <c r="D13">
        <v>9.3455726104824874E-2</v>
      </c>
      <c r="E13" s="2"/>
      <c r="F13" s="2"/>
      <c r="G13" s="2"/>
      <c r="H13" s="2"/>
      <c r="I13" s="2"/>
    </row>
    <row r="14" spans="1:9" x14ac:dyDescent="0.25">
      <c r="A14" s="686" t="s">
        <v>393</v>
      </c>
      <c r="B14">
        <v>0.85662549911783825</v>
      </c>
      <c r="C14">
        <v>6.3313541592697989E-2</v>
      </c>
      <c r="D14">
        <v>8.006095928946376E-2</v>
      </c>
      <c r="E14" s="2"/>
      <c r="F14" s="2"/>
      <c r="G14" s="2"/>
      <c r="H14" s="2"/>
      <c r="I14" s="2"/>
    </row>
    <row r="15" spans="1:9" x14ac:dyDescent="0.25">
      <c r="A15" s="685" t="s">
        <v>606</v>
      </c>
      <c r="B15">
        <v>5.8451222514858507</v>
      </c>
      <c r="C15">
        <v>0.45428050444210821</v>
      </c>
      <c r="D15">
        <v>0.70059724407204083</v>
      </c>
      <c r="E15" s="2"/>
      <c r="F15" s="2"/>
      <c r="G15" s="2"/>
      <c r="H15" s="2"/>
      <c r="I15" s="2"/>
    </row>
    <row r="16" spans="1:9" x14ac:dyDescent="0.25">
      <c r="B16" s="2"/>
      <c r="C16" s="2"/>
      <c r="D16" s="2"/>
      <c r="E16" s="2"/>
      <c r="F16" s="2"/>
      <c r="G16" s="2"/>
      <c r="H16" s="2"/>
      <c r="I16" s="2"/>
    </row>
    <row r="17" spans="2:9" x14ac:dyDescent="0.25">
      <c r="B17" s="2"/>
      <c r="C17" s="2"/>
      <c r="D17" s="2"/>
      <c r="E17" s="2"/>
      <c r="F17" s="2"/>
      <c r="G17" s="2"/>
      <c r="H17" s="2"/>
      <c r="I17" s="2"/>
    </row>
    <row r="18" spans="2:9" x14ac:dyDescent="0.25">
      <c r="B18" s="2"/>
      <c r="C18" s="2"/>
      <c r="D18" s="2"/>
      <c r="E18" s="2"/>
      <c r="F18" s="2"/>
      <c r="G18" s="2"/>
      <c r="H18" s="2"/>
      <c r="I18" s="2"/>
    </row>
    <row r="19" spans="2:9" x14ac:dyDescent="0.25">
      <c r="B19" s="2"/>
      <c r="C19" s="2"/>
      <c r="D19" s="2"/>
      <c r="E19" s="2"/>
      <c r="F19" s="2"/>
      <c r="G19" s="2"/>
      <c r="H19" s="2"/>
      <c r="I19" s="2"/>
    </row>
    <row r="20" spans="2:9" x14ac:dyDescent="0.25">
      <c r="B20" s="2"/>
      <c r="C20" s="2"/>
      <c r="D20" s="2"/>
      <c r="E20" s="2"/>
      <c r="F20" s="2"/>
      <c r="G20" s="2"/>
      <c r="H20" s="2"/>
      <c r="I20" s="2"/>
    </row>
    <row r="21" spans="2:9" x14ac:dyDescent="0.25">
      <c r="B21" s="2"/>
      <c r="C21" s="2"/>
      <c r="D21" s="2"/>
      <c r="E21" s="2"/>
      <c r="F21" s="2"/>
      <c r="G21" s="2"/>
      <c r="H21" s="2"/>
      <c r="I21" s="2"/>
    </row>
    <row r="22" spans="2:9" x14ac:dyDescent="0.25">
      <c r="B22" s="2"/>
      <c r="C22" s="2"/>
      <c r="D22" s="2"/>
      <c r="E22" s="2"/>
      <c r="F22" s="2"/>
      <c r="G22" s="2"/>
      <c r="H22" s="2"/>
      <c r="I22" s="2"/>
    </row>
    <row r="23" spans="2:9" x14ac:dyDescent="0.25">
      <c r="B23" s="2"/>
      <c r="C23" s="2"/>
      <c r="D23" s="2"/>
      <c r="E23" s="2"/>
      <c r="F23" s="2"/>
      <c r="G23" s="2"/>
      <c r="H23" s="2"/>
      <c r="I23" s="2"/>
    </row>
    <row r="24" spans="2:9" x14ac:dyDescent="0.25">
      <c r="B24" s="2"/>
      <c r="C24" s="2"/>
      <c r="D24" s="2"/>
      <c r="E24" s="2"/>
      <c r="F24" s="2"/>
      <c r="G24" s="2"/>
      <c r="H24" s="2"/>
      <c r="I24" s="2"/>
    </row>
    <row r="25" spans="2:9" x14ac:dyDescent="0.25">
      <c r="B25" s="2"/>
      <c r="C25" s="2"/>
      <c r="D25" s="2"/>
      <c r="E25" s="2"/>
      <c r="F25" s="2"/>
      <c r="G25" s="2"/>
      <c r="H25" s="2"/>
      <c r="I25" s="2"/>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heetViews>
  <sheetFormatPr defaultColWidth="11.5703125" defaultRowHeight="16.5" x14ac:dyDescent="0.3"/>
  <cols>
    <col min="1" max="1" width="11.85546875" style="555" bestFit="1" customWidth="1"/>
    <col min="2" max="2" width="12.140625" style="555" bestFit="1" customWidth="1"/>
    <col min="3" max="3" width="11.5703125" style="555"/>
    <col min="4" max="8" width="11.85546875" style="555" bestFit="1" customWidth="1"/>
    <col min="9" max="9" width="14.5703125" style="555" bestFit="1" customWidth="1"/>
    <col min="10" max="20" width="11.85546875" style="555" bestFit="1" customWidth="1"/>
    <col min="21" max="16384" width="11.5703125" style="555"/>
  </cols>
  <sheetData>
    <row r="1" spans="1:20" ht="25.5" x14ac:dyDescent="0.35">
      <c r="A1" s="560" t="s">
        <v>607</v>
      </c>
    </row>
    <row r="2" spans="1:20" x14ac:dyDescent="0.3">
      <c r="E2" s="556" t="s">
        <v>608</v>
      </c>
      <c r="F2" s="556"/>
      <c r="G2" s="556"/>
      <c r="H2" s="556"/>
      <c r="I2" s="556"/>
      <c r="J2" s="556"/>
      <c r="K2" s="556"/>
      <c r="L2" s="556"/>
    </row>
    <row r="3" spans="1:20" x14ac:dyDescent="0.3">
      <c r="E3" s="556"/>
      <c r="F3" s="556"/>
      <c r="G3" s="556"/>
      <c r="H3" s="556"/>
      <c r="I3" s="556"/>
      <c r="J3" s="556"/>
      <c r="K3" s="556"/>
      <c r="L3" s="556"/>
    </row>
    <row r="4" spans="1:20" x14ac:dyDescent="0.3">
      <c r="E4" s="556"/>
      <c r="F4" s="556"/>
      <c r="G4" s="556"/>
      <c r="H4" s="556"/>
      <c r="I4" s="556"/>
      <c r="J4" s="556"/>
      <c r="K4" s="556"/>
      <c r="L4" s="556"/>
    </row>
    <row r="5" spans="1:20" x14ac:dyDescent="0.3">
      <c r="A5" s="555" t="s">
        <v>55</v>
      </c>
      <c r="B5" s="555" t="s">
        <v>503</v>
      </c>
      <c r="C5" s="555" t="s">
        <v>504</v>
      </c>
      <c r="D5" s="555" t="s">
        <v>650</v>
      </c>
      <c r="E5" s="556" t="s">
        <v>610</v>
      </c>
      <c r="F5" s="556" t="s">
        <v>611</v>
      </c>
      <c r="G5" s="556" t="s">
        <v>612</v>
      </c>
      <c r="H5" s="556" t="s">
        <v>613</v>
      </c>
      <c r="I5" s="556" t="s">
        <v>614</v>
      </c>
      <c r="J5" s="556" t="s">
        <v>615</v>
      </c>
      <c r="K5" s="556" t="s">
        <v>616</v>
      </c>
      <c r="L5" s="556" t="s">
        <v>617</v>
      </c>
      <c r="M5" s="555" t="s">
        <v>618</v>
      </c>
      <c r="N5" s="555" t="s">
        <v>619</v>
      </c>
      <c r="O5" s="555" t="s">
        <v>620</v>
      </c>
      <c r="P5" s="555" t="s">
        <v>621</v>
      </c>
      <c r="Q5" s="555" t="s">
        <v>622</v>
      </c>
      <c r="R5" s="555" t="s">
        <v>623</v>
      </c>
      <c r="S5" s="555" t="s">
        <v>624</v>
      </c>
      <c r="T5" s="555" t="s">
        <v>625</v>
      </c>
    </row>
    <row r="6" spans="1:20" x14ac:dyDescent="0.3">
      <c r="A6" s="555">
        <v>1</v>
      </c>
      <c r="B6" s="555" t="s">
        <v>626</v>
      </c>
      <c r="C6" s="555" t="s">
        <v>58</v>
      </c>
      <c r="D6" s="555">
        <v>2</v>
      </c>
      <c r="E6" s="556">
        <v>928064</v>
      </c>
      <c r="F6" s="556">
        <v>116228</v>
      </c>
      <c r="G6" s="556">
        <v>156440</v>
      </c>
      <c r="H6" s="556">
        <v>231020</v>
      </c>
      <c r="I6" s="556">
        <v>6784550.5999999996</v>
      </c>
      <c r="J6" s="556">
        <v>406833.28</v>
      </c>
      <c r="K6" s="556">
        <v>921980.12</v>
      </c>
      <c r="L6" s="556">
        <v>206245.48</v>
      </c>
      <c r="M6" s="558">
        <f t="shared" ref="M6:M15" si="0">I6/E6</f>
        <v>7.3104339786911243</v>
      </c>
      <c r="N6" s="558">
        <f t="shared" ref="N6:N15" si="1">J6/F6</f>
        <v>3.500303541315346</v>
      </c>
      <c r="O6" s="558">
        <f t="shared" ref="O6:O15" si="2">K6/G6</f>
        <v>5.8935062643825109</v>
      </c>
      <c r="P6" s="558">
        <f t="shared" ref="P6:P15" si="3">L6/H6</f>
        <v>0.89276028049519529</v>
      </c>
      <c r="Q6" s="559">
        <f t="shared" ref="Q6:Q15" si="4">E6/SUM($E6:$H6)</f>
        <v>0.64820164386010981</v>
      </c>
      <c r="R6" s="559">
        <f t="shared" ref="R6:R15" si="5">F6/SUM($E6:$H6)</f>
        <v>8.117886337857394E-2</v>
      </c>
      <c r="S6" s="559">
        <f t="shared" ref="S6:S15" si="6">G6/SUM($E6:$H6)</f>
        <v>0.10926473299845224</v>
      </c>
      <c r="T6" s="559">
        <f t="shared" ref="T6:T15" si="7">H6/SUM($E6:$H6)</f>
        <v>0.16135475976286395</v>
      </c>
    </row>
    <row r="7" spans="1:20" x14ac:dyDescent="0.3">
      <c r="A7" s="555">
        <v>1</v>
      </c>
      <c r="B7" s="555" t="s">
        <v>627</v>
      </c>
      <c r="C7" s="555" t="s">
        <v>58</v>
      </c>
      <c r="D7" s="555">
        <v>4</v>
      </c>
      <c r="E7" s="556">
        <v>169768</v>
      </c>
      <c r="F7" s="556">
        <v>13752</v>
      </c>
      <c r="G7" s="556">
        <v>20276</v>
      </c>
      <c r="H7" s="556">
        <v>69868</v>
      </c>
      <c r="I7" s="556">
        <v>1353853.48</v>
      </c>
      <c r="J7" s="556">
        <v>58379.519999999997</v>
      </c>
      <c r="K7" s="556">
        <v>147843.76</v>
      </c>
      <c r="L7" s="556">
        <v>47426.36</v>
      </c>
      <c r="M7" s="558">
        <f t="shared" si="0"/>
        <v>7.9747271570614009</v>
      </c>
      <c r="N7" s="558">
        <f t="shared" si="1"/>
        <v>4.2451657940663177</v>
      </c>
      <c r="O7" s="558">
        <f t="shared" si="2"/>
        <v>7.2915644111264557</v>
      </c>
      <c r="P7" s="558">
        <f t="shared" si="3"/>
        <v>0.67879945039216805</v>
      </c>
      <c r="Q7" s="559">
        <f t="shared" si="4"/>
        <v>0.62035196445275964</v>
      </c>
      <c r="R7" s="559">
        <f t="shared" si="5"/>
        <v>5.025140318054256E-2</v>
      </c>
      <c r="S7" s="559">
        <f t="shared" si="6"/>
        <v>7.409085594013097E-2</v>
      </c>
      <c r="T7" s="559">
        <f t="shared" si="7"/>
        <v>0.25530577642656688</v>
      </c>
    </row>
    <row r="8" spans="1:20" x14ac:dyDescent="0.3">
      <c r="A8" s="555">
        <v>2</v>
      </c>
      <c r="B8" s="555" t="s">
        <v>626</v>
      </c>
      <c r="C8" s="555" t="s">
        <v>58</v>
      </c>
      <c r="D8" s="555">
        <v>6</v>
      </c>
      <c r="E8" s="556">
        <v>339892</v>
      </c>
      <c r="F8" s="556">
        <v>15264</v>
      </c>
      <c r="G8" s="556">
        <v>29768</v>
      </c>
      <c r="H8" s="556">
        <v>15612</v>
      </c>
      <c r="I8" s="556">
        <v>2691035.72</v>
      </c>
      <c r="J8" s="556">
        <v>77331.88</v>
      </c>
      <c r="K8" s="556">
        <v>170365.12</v>
      </c>
      <c r="L8" s="556">
        <v>15103</v>
      </c>
      <c r="M8" s="558">
        <f t="shared" si="0"/>
        <v>7.9173258564485192</v>
      </c>
      <c r="N8" s="558">
        <f t="shared" si="1"/>
        <v>5.0662919287211743</v>
      </c>
      <c r="O8" s="558">
        <f t="shared" si="2"/>
        <v>5.7230959419510885</v>
      </c>
      <c r="P8" s="558">
        <f t="shared" si="3"/>
        <v>0.96739687419933384</v>
      </c>
      <c r="Q8" s="559">
        <f t="shared" si="4"/>
        <v>0.8485928855333853</v>
      </c>
      <c r="R8" s="559">
        <f t="shared" si="5"/>
        <v>3.8108934028401945E-2</v>
      </c>
      <c r="S8" s="559">
        <f t="shared" si="6"/>
        <v>7.4320410649729357E-2</v>
      </c>
      <c r="T8" s="559">
        <f t="shared" si="7"/>
        <v>3.8977769788483434E-2</v>
      </c>
    </row>
    <row r="9" spans="1:20" x14ac:dyDescent="0.3">
      <c r="A9" s="555">
        <v>2</v>
      </c>
      <c r="B9" s="555" t="s">
        <v>628</v>
      </c>
      <c r="C9" s="555" t="s">
        <v>58</v>
      </c>
      <c r="D9" s="555">
        <v>8</v>
      </c>
      <c r="E9" s="556">
        <v>150764</v>
      </c>
      <c r="F9" s="556">
        <v>5860</v>
      </c>
      <c r="G9" s="556">
        <v>11720</v>
      </c>
      <c r="H9" s="556">
        <v>6016</v>
      </c>
      <c r="I9" s="556">
        <v>1154015.6000000001</v>
      </c>
      <c r="J9" s="556">
        <v>28977.360000000001</v>
      </c>
      <c r="K9" s="556">
        <v>68512.52</v>
      </c>
      <c r="L9" s="556">
        <v>6175.36</v>
      </c>
      <c r="M9" s="558">
        <f t="shared" si="0"/>
        <v>7.6544506646148953</v>
      </c>
      <c r="N9" s="558">
        <f t="shared" si="1"/>
        <v>4.9449419795221843</v>
      </c>
      <c r="O9" s="558">
        <f t="shared" si="2"/>
        <v>5.8457781569965874</v>
      </c>
      <c r="P9" s="558">
        <f t="shared" si="3"/>
        <v>1.0264893617021276</v>
      </c>
      <c r="Q9" s="559">
        <f t="shared" si="4"/>
        <v>0.86467079605414088</v>
      </c>
      <c r="R9" s="559">
        <f t="shared" si="5"/>
        <v>3.3608625831612754E-2</v>
      </c>
      <c r="S9" s="559">
        <f t="shared" si="6"/>
        <v>6.7217251663225508E-2</v>
      </c>
      <c r="T9" s="559">
        <f t="shared" si="7"/>
        <v>3.4503326451020874E-2</v>
      </c>
    </row>
    <row r="10" spans="1:20" x14ac:dyDescent="0.3">
      <c r="A10" s="555">
        <v>2</v>
      </c>
      <c r="B10" s="555" t="s">
        <v>629</v>
      </c>
      <c r="C10" s="555" t="s">
        <v>58</v>
      </c>
      <c r="D10" s="555">
        <v>10</v>
      </c>
      <c r="E10" s="556">
        <v>424388</v>
      </c>
      <c r="F10" s="556">
        <v>23228</v>
      </c>
      <c r="G10" s="556">
        <v>36356</v>
      </c>
      <c r="H10" s="556">
        <v>19320</v>
      </c>
      <c r="I10" s="556">
        <v>3142792.6</v>
      </c>
      <c r="J10" s="556">
        <v>117222.32</v>
      </c>
      <c r="K10" s="556">
        <v>295421.59999999998</v>
      </c>
      <c r="L10" s="556">
        <v>20729.240000000002</v>
      </c>
      <c r="M10" s="558">
        <f t="shared" si="0"/>
        <v>7.4054699944390512</v>
      </c>
      <c r="N10" s="558">
        <f t="shared" si="1"/>
        <v>5.0465954882038924</v>
      </c>
      <c r="O10" s="558">
        <f t="shared" si="2"/>
        <v>8.1258004180877972</v>
      </c>
      <c r="P10" s="558">
        <f t="shared" si="3"/>
        <v>1.0729420289855074</v>
      </c>
      <c r="Q10" s="559">
        <f t="shared" si="4"/>
        <v>0.8432242117895774</v>
      </c>
      <c r="R10" s="559">
        <f t="shared" si="5"/>
        <v>4.6152134347456346E-2</v>
      </c>
      <c r="S10" s="559">
        <f t="shared" si="6"/>
        <v>7.2236395571556866E-2</v>
      </c>
      <c r="T10" s="559">
        <f t="shared" si="7"/>
        <v>3.8387258291409362E-2</v>
      </c>
    </row>
    <row r="11" spans="1:20" x14ac:dyDescent="0.3">
      <c r="A11" s="555">
        <v>2</v>
      </c>
      <c r="B11" s="555" t="s">
        <v>630</v>
      </c>
      <c r="C11" s="555" t="s">
        <v>58</v>
      </c>
      <c r="D11" s="555">
        <v>12</v>
      </c>
      <c r="E11" s="556">
        <v>457312</v>
      </c>
      <c r="F11" s="556">
        <v>16268</v>
      </c>
      <c r="G11" s="556">
        <v>37008</v>
      </c>
      <c r="H11" s="556">
        <v>25488</v>
      </c>
      <c r="I11" s="556">
        <v>3356839.2</v>
      </c>
      <c r="J11" s="556">
        <v>77329.960000000006</v>
      </c>
      <c r="K11" s="556">
        <v>254753.2</v>
      </c>
      <c r="L11" s="556">
        <v>21781.360000000001</v>
      </c>
      <c r="M11" s="558">
        <f t="shared" si="0"/>
        <v>7.3403698131691275</v>
      </c>
      <c r="N11" s="558">
        <f t="shared" si="1"/>
        <v>4.7535013523481684</v>
      </c>
      <c r="O11" s="558">
        <f t="shared" si="2"/>
        <v>6.8837332468655426</v>
      </c>
      <c r="P11" s="558">
        <f t="shared" si="3"/>
        <v>0.8545731324544884</v>
      </c>
      <c r="Q11" s="559">
        <f t="shared" si="4"/>
        <v>0.85307307172863545</v>
      </c>
      <c r="R11" s="559">
        <f t="shared" si="5"/>
        <v>3.0346443414739702E-2</v>
      </c>
      <c r="S11" s="559">
        <f t="shared" si="6"/>
        <v>6.9034987576388429E-2</v>
      </c>
      <c r="T11" s="559">
        <f t="shared" si="7"/>
        <v>4.7545497280236382E-2</v>
      </c>
    </row>
    <row r="12" spans="1:20" x14ac:dyDescent="0.3">
      <c r="A12" s="555">
        <v>3</v>
      </c>
      <c r="B12" s="555" t="s">
        <v>626</v>
      </c>
      <c r="C12" s="555" t="s">
        <v>58</v>
      </c>
      <c r="D12" s="555">
        <v>15</v>
      </c>
      <c r="E12" s="556">
        <v>504936</v>
      </c>
      <c r="F12" s="556">
        <v>13604</v>
      </c>
      <c r="G12" s="556">
        <v>30764</v>
      </c>
      <c r="H12" s="556">
        <v>23564</v>
      </c>
      <c r="I12" s="556">
        <v>4025451.92</v>
      </c>
      <c r="J12" s="556">
        <v>61369.68</v>
      </c>
      <c r="K12" s="556">
        <v>174171.56</v>
      </c>
      <c r="L12" s="556">
        <v>21502.080000000002</v>
      </c>
      <c r="M12" s="558">
        <f t="shared" si="0"/>
        <v>7.9722022592962274</v>
      </c>
      <c r="N12" s="558">
        <f t="shared" si="1"/>
        <v>4.5111496618641578</v>
      </c>
      <c r="O12" s="558">
        <f t="shared" si="2"/>
        <v>5.6615381614874529</v>
      </c>
      <c r="P12" s="558">
        <f t="shared" si="3"/>
        <v>0.91249702936683086</v>
      </c>
      <c r="Q12" s="559">
        <f t="shared" si="4"/>
        <v>0.88141770879155412</v>
      </c>
      <c r="R12" s="559">
        <f t="shared" si="5"/>
        <v>2.3747180851435234E-2</v>
      </c>
      <c r="S12" s="559">
        <f t="shared" si="6"/>
        <v>5.370172535383369E-2</v>
      </c>
      <c r="T12" s="559">
        <f t="shared" si="7"/>
        <v>4.1133385003176995E-2</v>
      </c>
    </row>
    <row r="13" spans="1:20" x14ac:dyDescent="0.3">
      <c r="A13" s="555">
        <v>3</v>
      </c>
      <c r="B13" s="555" t="s">
        <v>629</v>
      </c>
      <c r="C13" s="555" t="s">
        <v>58</v>
      </c>
      <c r="D13" s="555">
        <v>18</v>
      </c>
      <c r="E13" s="556">
        <v>590160</v>
      </c>
      <c r="F13" s="556">
        <v>15616</v>
      </c>
      <c r="G13" s="556">
        <v>26752</v>
      </c>
      <c r="H13" s="556">
        <v>17384</v>
      </c>
      <c r="I13" s="556">
        <v>4668792.08</v>
      </c>
      <c r="J13" s="556">
        <v>81764.88</v>
      </c>
      <c r="K13" s="556">
        <v>155992</v>
      </c>
      <c r="L13" s="556">
        <v>18344.32</v>
      </c>
      <c r="M13" s="558">
        <f t="shared" si="0"/>
        <v>7.9110615426325062</v>
      </c>
      <c r="N13" s="558">
        <f t="shared" si="1"/>
        <v>5.2359682377049186</v>
      </c>
      <c r="O13" s="558">
        <f t="shared" si="2"/>
        <v>5.831040669856459</v>
      </c>
      <c r="P13" s="558">
        <f t="shared" si="3"/>
        <v>1.0552416014726185</v>
      </c>
      <c r="Q13" s="559">
        <f t="shared" si="4"/>
        <v>0.90806139908172179</v>
      </c>
      <c r="R13" s="559">
        <f t="shared" si="5"/>
        <v>2.4027868388335653E-2</v>
      </c>
      <c r="S13" s="559">
        <f t="shared" si="6"/>
        <v>4.1162495845591403E-2</v>
      </c>
      <c r="T13" s="559">
        <f t="shared" si="7"/>
        <v>2.6748236684351112E-2</v>
      </c>
    </row>
    <row r="14" spans="1:20" x14ac:dyDescent="0.3">
      <c r="A14" s="555">
        <v>3</v>
      </c>
      <c r="B14" s="555" t="s">
        <v>630</v>
      </c>
      <c r="C14" s="555" t="s">
        <v>58</v>
      </c>
      <c r="D14" s="555">
        <v>20</v>
      </c>
      <c r="E14" s="556">
        <v>597260</v>
      </c>
      <c r="F14" s="556">
        <v>13160</v>
      </c>
      <c r="G14" s="556">
        <v>30240</v>
      </c>
      <c r="H14" s="556">
        <v>22376</v>
      </c>
      <c r="I14" s="556">
        <v>4343259.8</v>
      </c>
      <c r="J14" s="556">
        <v>56262.239999999998</v>
      </c>
      <c r="K14" s="556">
        <v>209269.88</v>
      </c>
      <c r="L14" s="556">
        <v>19781</v>
      </c>
      <c r="M14" s="558">
        <f t="shared" si="0"/>
        <v>7.2719750192545956</v>
      </c>
      <c r="N14" s="558">
        <f t="shared" si="1"/>
        <v>4.2752462006079028</v>
      </c>
      <c r="O14" s="558">
        <f t="shared" si="2"/>
        <v>6.9203002645502645</v>
      </c>
      <c r="P14" s="558">
        <f t="shared" si="3"/>
        <v>0.88402752949588848</v>
      </c>
      <c r="Q14" s="559">
        <f t="shared" si="4"/>
        <v>0.90079573356499498</v>
      </c>
      <c r="R14" s="559">
        <f t="shared" si="5"/>
        <v>1.9848092712914534E-2</v>
      </c>
      <c r="S14" s="559">
        <f t="shared" si="6"/>
        <v>4.5608383255207864E-2</v>
      </c>
      <c r="T14" s="559">
        <f t="shared" si="7"/>
        <v>3.3747790466882643E-2</v>
      </c>
    </row>
    <row r="15" spans="1:20" x14ac:dyDescent="0.3">
      <c r="A15" s="555">
        <v>4</v>
      </c>
      <c r="B15" s="555" t="s">
        <v>630</v>
      </c>
      <c r="C15" s="555" t="s">
        <v>58</v>
      </c>
      <c r="D15" s="555">
        <v>23</v>
      </c>
      <c r="E15" s="556">
        <v>315896</v>
      </c>
      <c r="F15" s="556">
        <v>8568</v>
      </c>
      <c r="G15" s="556">
        <v>20324</v>
      </c>
      <c r="H15" s="556">
        <v>26056</v>
      </c>
      <c r="I15" s="556">
        <v>2226784.16</v>
      </c>
      <c r="J15" s="556">
        <v>26070.52</v>
      </c>
      <c r="K15" s="556">
        <v>169009.52</v>
      </c>
      <c r="L15" s="556">
        <v>22761.68</v>
      </c>
      <c r="M15" s="558">
        <f t="shared" si="0"/>
        <v>7.049105275153849</v>
      </c>
      <c r="N15" s="558">
        <f t="shared" si="1"/>
        <v>3.0427777777777778</v>
      </c>
      <c r="O15" s="558">
        <f t="shared" si="2"/>
        <v>8.3157606770320793</v>
      </c>
      <c r="P15" s="558">
        <f t="shared" si="3"/>
        <v>0.87356770033773412</v>
      </c>
      <c r="Q15" s="559">
        <f t="shared" si="4"/>
        <v>0.85182987994952053</v>
      </c>
      <c r="R15" s="559">
        <f t="shared" si="5"/>
        <v>2.3104054535060564E-2</v>
      </c>
      <c r="S15" s="559">
        <f t="shared" si="6"/>
        <v>5.4804715729525083E-2</v>
      </c>
      <c r="T15" s="559">
        <f t="shared" si="7"/>
        <v>7.0261349785893795E-2</v>
      </c>
    </row>
    <row r="16" spans="1:20" x14ac:dyDescent="0.3">
      <c r="A16" s="555">
        <v>1</v>
      </c>
      <c r="B16" s="555" t="s">
        <v>626</v>
      </c>
      <c r="C16" s="555" t="s">
        <v>393</v>
      </c>
      <c r="D16" s="555">
        <v>1</v>
      </c>
      <c r="E16" s="556">
        <v>128112</v>
      </c>
      <c r="F16" s="556">
        <v>13184</v>
      </c>
      <c r="G16" s="556">
        <v>14256</v>
      </c>
      <c r="H16" s="556">
        <v>23788</v>
      </c>
      <c r="I16" s="556">
        <v>857503.4</v>
      </c>
      <c r="J16" s="556">
        <v>48849.16</v>
      </c>
      <c r="K16" s="556">
        <v>66350.84</v>
      </c>
      <c r="L16" s="556">
        <v>19223.64</v>
      </c>
      <c r="M16" s="558">
        <f t="shared" ref="M16:M30" si="8">I16/E16</f>
        <v>6.6933885974772078</v>
      </c>
      <c r="N16" s="558">
        <f t="shared" ref="N16:N30" si="9">J16/F16</f>
        <v>3.7051850728155342</v>
      </c>
      <c r="O16" s="558">
        <f t="shared" ref="O16:O30" si="10">K16/G16</f>
        <v>4.6542396184062849</v>
      </c>
      <c r="P16" s="558">
        <f t="shared" ref="P16:P30" si="11">L16/H16</f>
        <v>0.80812342357491174</v>
      </c>
      <c r="Q16" s="559">
        <f t="shared" ref="Q16:Q30" si="12">E16/SUM($E16:$H16)</f>
        <v>0.71435262629642016</v>
      </c>
      <c r="R16" s="559">
        <f t="shared" ref="R16:R30" si="13">F16/SUM($E16:$H16)</f>
        <v>7.3513995762239326E-2</v>
      </c>
      <c r="S16" s="559">
        <f t="shared" ref="S16:S30" si="14">G16/SUM($E16:$H16)</f>
        <v>7.9491468718634994E-2</v>
      </c>
      <c r="T16" s="559">
        <f t="shared" ref="T16:T30" si="15">H16/SUM($E16:$H16)</f>
        <v>0.13264190922270547</v>
      </c>
    </row>
    <row r="17" spans="1:20" x14ac:dyDescent="0.3">
      <c r="A17" s="555">
        <v>1</v>
      </c>
      <c r="B17" s="555" t="s">
        <v>627</v>
      </c>
      <c r="C17" s="555" t="s">
        <v>393</v>
      </c>
      <c r="D17" s="555">
        <v>3</v>
      </c>
      <c r="E17" s="556">
        <v>128860</v>
      </c>
      <c r="F17" s="556">
        <v>6444</v>
      </c>
      <c r="G17" s="556">
        <v>13912</v>
      </c>
      <c r="H17" s="556">
        <v>25864</v>
      </c>
      <c r="I17" s="556">
        <v>1196790.6000000001</v>
      </c>
      <c r="J17" s="556">
        <v>29683.88</v>
      </c>
      <c r="K17" s="556">
        <v>92222.32</v>
      </c>
      <c r="L17" s="556">
        <v>21796.400000000001</v>
      </c>
      <c r="M17" s="558">
        <f t="shared" si="8"/>
        <v>9.2875259972062718</v>
      </c>
      <c r="N17" s="558">
        <f t="shared" si="9"/>
        <v>4.6064369956548727</v>
      </c>
      <c r="O17" s="558">
        <f t="shared" si="10"/>
        <v>6.6289764232317427</v>
      </c>
      <c r="P17" s="558">
        <f t="shared" si="11"/>
        <v>0.84273120940303126</v>
      </c>
      <c r="Q17" s="559">
        <f t="shared" si="12"/>
        <v>0.73600639707562254</v>
      </c>
      <c r="R17" s="559">
        <f t="shared" si="13"/>
        <v>3.6806031528444139E-2</v>
      </c>
      <c r="S17" s="559">
        <f t="shared" si="14"/>
        <v>7.946081791181174E-2</v>
      </c>
      <c r="T17" s="559">
        <f t="shared" si="15"/>
        <v>0.14772675348412154</v>
      </c>
    </row>
    <row r="18" spans="1:20" x14ac:dyDescent="0.3">
      <c r="A18" s="555">
        <v>2</v>
      </c>
      <c r="B18" s="555" t="s">
        <v>626</v>
      </c>
      <c r="C18" s="555" t="s">
        <v>393</v>
      </c>
      <c r="D18" s="555">
        <v>5</v>
      </c>
      <c r="E18" s="556">
        <v>324948</v>
      </c>
      <c r="F18" s="556">
        <v>13812</v>
      </c>
      <c r="G18" s="556">
        <v>25656</v>
      </c>
      <c r="H18" s="556">
        <v>13096</v>
      </c>
      <c r="I18" s="556">
        <v>2538562.3199999998</v>
      </c>
      <c r="J18" s="556">
        <v>71955.399999999994</v>
      </c>
      <c r="K18" s="556">
        <v>137094.04</v>
      </c>
      <c r="L18" s="556">
        <v>12272.16</v>
      </c>
      <c r="M18" s="558">
        <f t="shared" si="8"/>
        <v>7.8122109383655225</v>
      </c>
      <c r="N18" s="558">
        <f t="shared" si="9"/>
        <v>5.2096293078482478</v>
      </c>
      <c r="O18" s="558">
        <f t="shared" si="10"/>
        <v>5.3435469285937014</v>
      </c>
      <c r="P18" s="558">
        <f t="shared" si="11"/>
        <v>0.93709224190592544</v>
      </c>
      <c r="Q18" s="559">
        <f t="shared" si="12"/>
        <v>0.8607620420013139</v>
      </c>
      <c r="R18" s="559">
        <f t="shared" si="13"/>
        <v>3.6586916442391232E-2</v>
      </c>
      <c r="S18" s="559">
        <f t="shared" si="14"/>
        <v>6.7960753565449575E-2</v>
      </c>
      <c r="T18" s="559">
        <f t="shared" si="15"/>
        <v>3.4690287990845323E-2</v>
      </c>
    </row>
    <row r="19" spans="1:20" x14ac:dyDescent="0.3">
      <c r="A19" s="555">
        <v>2</v>
      </c>
      <c r="B19" s="555" t="s">
        <v>628</v>
      </c>
      <c r="C19" s="555" t="s">
        <v>393</v>
      </c>
      <c r="D19" s="555">
        <v>7</v>
      </c>
      <c r="E19" s="556">
        <v>629224</v>
      </c>
      <c r="F19" s="556">
        <v>21372</v>
      </c>
      <c r="G19" s="556">
        <v>36052</v>
      </c>
      <c r="H19" s="556">
        <v>31196</v>
      </c>
      <c r="I19" s="556">
        <v>4700892.4000000004</v>
      </c>
      <c r="J19" s="556">
        <v>106351.92</v>
      </c>
      <c r="K19" s="556">
        <v>184286.16</v>
      </c>
      <c r="L19" s="556">
        <v>29394.080000000002</v>
      </c>
      <c r="M19" s="558">
        <f t="shared" si="8"/>
        <v>7.4709362643510104</v>
      </c>
      <c r="N19" s="558">
        <f t="shared" si="9"/>
        <v>4.9762268388545756</v>
      </c>
      <c r="O19" s="558">
        <f t="shared" si="10"/>
        <v>5.1116764673249753</v>
      </c>
      <c r="P19" s="558">
        <f t="shared" si="11"/>
        <v>0.94223874855750744</v>
      </c>
      <c r="Q19" s="559">
        <f t="shared" si="12"/>
        <v>0.87654699349719434</v>
      </c>
      <c r="R19" s="559">
        <f t="shared" si="13"/>
        <v>2.977248538679713E-2</v>
      </c>
      <c r="S19" s="559">
        <f t="shared" si="14"/>
        <v>5.0222611040838958E-2</v>
      </c>
      <c r="T19" s="559">
        <f t="shared" si="15"/>
        <v>4.3457910075169533E-2</v>
      </c>
    </row>
    <row r="20" spans="1:20" x14ac:dyDescent="0.3">
      <c r="A20" s="555">
        <v>2</v>
      </c>
      <c r="B20" s="555" t="s">
        <v>629</v>
      </c>
      <c r="C20" s="555" t="s">
        <v>393</v>
      </c>
      <c r="D20" s="555">
        <v>9</v>
      </c>
      <c r="E20" s="556">
        <v>41448</v>
      </c>
      <c r="F20" s="556">
        <v>1344</v>
      </c>
      <c r="G20" s="556">
        <v>2100</v>
      </c>
      <c r="H20" s="556">
        <v>1148</v>
      </c>
      <c r="I20" s="556">
        <v>339685.04</v>
      </c>
      <c r="J20" s="556">
        <v>7610.56</v>
      </c>
      <c r="K20" s="556">
        <v>10988.6</v>
      </c>
      <c r="L20" s="556">
        <v>1214.2</v>
      </c>
      <c r="M20" s="558">
        <f t="shared" si="8"/>
        <v>8.1954506851959081</v>
      </c>
      <c r="N20" s="558">
        <f t="shared" si="9"/>
        <v>5.6626190476190477</v>
      </c>
      <c r="O20" s="558">
        <f t="shared" si="10"/>
        <v>5.2326666666666668</v>
      </c>
      <c r="P20" s="558">
        <f t="shared" si="11"/>
        <v>1.057665505226481</v>
      </c>
      <c r="Q20" s="559">
        <f t="shared" si="12"/>
        <v>0.90026064291920072</v>
      </c>
      <c r="R20" s="559">
        <f t="shared" si="13"/>
        <v>2.9192006950477845E-2</v>
      </c>
      <c r="S20" s="559">
        <f t="shared" si="14"/>
        <v>4.5612510860121636E-2</v>
      </c>
      <c r="T20" s="559">
        <f t="shared" si="15"/>
        <v>2.4934839270199825E-2</v>
      </c>
    </row>
    <row r="21" spans="1:20" x14ac:dyDescent="0.3">
      <c r="A21" s="555">
        <v>2</v>
      </c>
      <c r="B21" s="555" t="s">
        <v>630</v>
      </c>
      <c r="C21" s="555" t="s">
        <v>393</v>
      </c>
      <c r="D21" s="555">
        <v>11</v>
      </c>
      <c r="E21" s="556">
        <v>499836</v>
      </c>
      <c r="F21" s="556">
        <v>23880</v>
      </c>
      <c r="G21" s="556">
        <v>31456</v>
      </c>
      <c r="H21" s="556">
        <v>31216</v>
      </c>
      <c r="I21" s="556">
        <v>3597818.64</v>
      </c>
      <c r="J21" s="556">
        <v>106267</v>
      </c>
      <c r="K21" s="556">
        <v>182081.52</v>
      </c>
      <c r="L21" s="556">
        <v>29278.52</v>
      </c>
      <c r="M21" s="558">
        <f t="shared" si="8"/>
        <v>7.1979982234172812</v>
      </c>
      <c r="N21" s="558">
        <f t="shared" si="9"/>
        <v>4.4500418760469014</v>
      </c>
      <c r="O21" s="558">
        <f t="shared" si="10"/>
        <v>5.7884511698880976</v>
      </c>
      <c r="P21" s="558">
        <f t="shared" si="11"/>
        <v>0.93793311122501288</v>
      </c>
      <c r="Q21" s="559">
        <f t="shared" si="12"/>
        <v>0.85239807090186015</v>
      </c>
      <c r="R21" s="559">
        <f t="shared" si="13"/>
        <v>4.0723889301963891E-2</v>
      </c>
      <c r="S21" s="559">
        <f t="shared" si="14"/>
        <v>5.3643662557896821E-2</v>
      </c>
      <c r="T21" s="559">
        <f t="shared" si="15"/>
        <v>5.323437723827909E-2</v>
      </c>
    </row>
    <row r="22" spans="1:20" x14ac:dyDescent="0.3">
      <c r="A22" s="555">
        <v>2</v>
      </c>
      <c r="B22" s="555" t="s">
        <v>627</v>
      </c>
      <c r="C22" s="555" t="s">
        <v>393</v>
      </c>
      <c r="D22" s="555">
        <v>13</v>
      </c>
      <c r="E22" s="556">
        <v>118820</v>
      </c>
      <c r="F22" s="556">
        <v>5424</v>
      </c>
      <c r="G22" s="556">
        <v>14236</v>
      </c>
      <c r="H22" s="556">
        <v>14640</v>
      </c>
      <c r="I22" s="556">
        <v>1141048.24</v>
      </c>
      <c r="J22" s="556">
        <v>29856.959999999999</v>
      </c>
      <c r="K22" s="556">
        <v>101245.24</v>
      </c>
      <c r="L22" s="556">
        <v>14333.8</v>
      </c>
      <c r="M22" s="558">
        <f t="shared" si="8"/>
        <v>9.6031664702911961</v>
      </c>
      <c r="N22" s="558">
        <f t="shared" si="9"/>
        <v>5.5046017699115044</v>
      </c>
      <c r="O22" s="558">
        <f t="shared" si="10"/>
        <v>7.1119162686147801</v>
      </c>
      <c r="P22" s="558">
        <f t="shared" si="11"/>
        <v>0.97908469945355181</v>
      </c>
      <c r="Q22" s="559">
        <f t="shared" si="12"/>
        <v>0.77599268547544409</v>
      </c>
      <c r="R22" s="559">
        <f t="shared" si="13"/>
        <v>3.5423197492163008E-2</v>
      </c>
      <c r="S22" s="559">
        <f t="shared" si="14"/>
        <v>9.297283176593521E-2</v>
      </c>
      <c r="T22" s="559">
        <f t="shared" si="15"/>
        <v>9.561128526645768E-2</v>
      </c>
    </row>
    <row r="23" spans="1:20" x14ac:dyDescent="0.3">
      <c r="A23" s="555">
        <v>3</v>
      </c>
      <c r="B23" s="555" t="s">
        <v>626</v>
      </c>
      <c r="C23" s="555" t="s">
        <v>393</v>
      </c>
      <c r="D23" s="555">
        <v>14</v>
      </c>
      <c r="E23" s="556">
        <v>839480</v>
      </c>
      <c r="F23" s="556">
        <v>21556</v>
      </c>
      <c r="G23" s="556">
        <v>57984</v>
      </c>
      <c r="H23" s="556">
        <v>31788</v>
      </c>
      <c r="I23" s="556">
        <v>6866653.4000000004</v>
      </c>
      <c r="J23" s="556">
        <v>104125.72</v>
      </c>
      <c r="K23" s="556">
        <v>325314.96000000002</v>
      </c>
      <c r="L23" s="556">
        <v>28607.119999999999</v>
      </c>
      <c r="M23" s="558">
        <f t="shared" si="8"/>
        <v>8.1796509744127324</v>
      </c>
      <c r="N23" s="558">
        <f t="shared" si="9"/>
        <v>4.8304750417517166</v>
      </c>
      <c r="O23" s="558">
        <f t="shared" si="10"/>
        <v>5.6104263245033117</v>
      </c>
      <c r="P23" s="558">
        <f t="shared" si="11"/>
        <v>0.8999345665030829</v>
      </c>
      <c r="Q23" s="559">
        <f t="shared" si="12"/>
        <v>0.8829122178189498</v>
      </c>
      <c r="R23" s="559">
        <f t="shared" si="13"/>
        <v>2.2671243826303523E-2</v>
      </c>
      <c r="S23" s="559">
        <f t="shared" si="14"/>
        <v>6.0983921043996261E-2</v>
      </c>
      <c r="T23" s="559">
        <f t="shared" si="15"/>
        <v>3.3432617310750437E-2</v>
      </c>
    </row>
    <row r="24" spans="1:20" x14ac:dyDescent="0.3">
      <c r="A24" s="555">
        <v>3</v>
      </c>
      <c r="B24" s="555" t="s">
        <v>628</v>
      </c>
      <c r="C24" s="555" t="s">
        <v>393</v>
      </c>
      <c r="D24" s="555">
        <v>16</v>
      </c>
      <c r="E24" s="556">
        <v>1022712</v>
      </c>
      <c r="F24" s="556">
        <v>21560</v>
      </c>
      <c r="G24" s="556">
        <v>52132</v>
      </c>
      <c r="H24" s="556">
        <v>40088</v>
      </c>
      <c r="I24" s="556">
        <v>8839170.5999999996</v>
      </c>
      <c r="J24" s="556">
        <v>93728.6</v>
      </c>
      <c r="K24" s="556">
        <v>274885.71999999997</v>
      </c>
      <c r="L24" s="556">
        <v>37136.720000000001</v>
      </c>
      <c r="M24" s="558">
        <f t="shared" si="8"/>
        <v>8.6428736535798922</v>
      </c>
      <c r="N24" s="558">
        <f t="shared" si="9"/>
        <v>4.3473376623376625</v>
      </c>
      <c r="O24" s="558">
        <f t="shared" si="10"/>
        <v>5.2728788460062912</v>
      </c>
      <c r="P24" s="558">
        <f t="shared" si="11"/>
        <v>0.92637996407902612</v>
      </c>
      <c r="Q24" s="559">
        <f t="shared" si="12"/>
        <v>0.8998849090006793</v>
      </c>
      <c r="R24" s="559">
        <f t="shared" si="13"/>
        <v>1.8970657074576857E-2</v>
      </c>
      <c r="S24" s="559">
        <f t="shared" si="14"/>
        <v>4.587097841427832E-2</v>
      </c>
      <c r="T24" s="559">
        <f t="shared" si="15"/>
        <v>3.527345551046554E-2</v>
      </c>
    </row>
    <row r="25" spans="1:20" x14ac:dyDescent="0.3">
      <c r="A25" s="555">
        <v>3</v>
      </c>
      <c r="B25" s="555" t="s">
        <v>629</v>
      </c>
      <c r="C25" s="555" t="s">
        <v>393</v>
      </c>
      <c r="D25" s="555">
        <v>17</v>
      </c>
      <c r="E25" s="556">
        <v>724876</v>
      </c>
      <c r="F25" s="556">
        <v>18380</v>
      </c>
      <c r="G25" s="556">
        <v>43392</v>
      </c>
      <c r="H25" s="556">
        <v>25024</v>
      </c>
      <c r="I25" s="556">
        <v>5707310.8799999999</v>
      </c>
      <c r="J25" s="556">
        <v>90906.44</v>
      </c>
      <c r="K25" s="556">
        <v>234427.24</v>
      </c>
      <c r="L25" s="556">
        <v>23062.2</v>
      </c>
      <c r="M25" s="558">
        <f t="shared" si="8"/>
        <v>7.8734995778588335</v>
      </c>
      <c r="N25" s="558">
        <f t="shared" si="9"/>
        <v>4.9459434167573448</v>
      </c>
      <c r="O25" s="558">
        <f t="shared" si="10"/>
        <v>5.402545169616519</v>
      </c>
      <c r="P25" s="558">
        <f t="shared" si="11"/>
        <v>0.92160326086956523</v>
      </c>
      <c r="Q25" s="559">
        <f t="shared" si="12"/>
        <v>0.893065179037838</v>
      </c>
      <c r="R25" s="559">
        <f t="shared" si="13"/>
        <v>2.264461506618437E-2</v>
      </c>
      <c r="S25" s="559">
        <f t="shared" si="14"/>
        <v>5.3460018332528413E-2</v>
      </c>
      <c r="T25" s="559">
        <f t="shared" si="15"/>
        <v>3.0830187563449275E-2</v>
      </c>
    </row>
    <row r="26" spans="1:20" x14ac:dyDescent="0.3">
      <c r="A26" s="555">
        <v>3</v>
      </c>
      <c r="B26" s="555" t="s">
        <v>630</v>
      </c>
      <c r="C26" s="555" t="s">
        <v>393</v>
      </c>
      <c r="D26" s="555">
        <v>19</v>
      </c>
      <c r="E26" s="556">
        <v>914124</v>
      </c>
      <c r="F26" s="556">
        <v>19396</v>
      </c>
      <c r="G26" s="556">
        <v>66692</v>
      </c>
      <c r="H26" s="556">
        <v>32516</v>
      </c>
      <c r="I26" s="556">
        <v>7314123.04</v>
      </c>
      <c r="J26" s="556">
        <v>84227.520000000004</v>
      </c>
      <c r="K26" s="556">
        <v>421827.44</v>
      </c>
      <c r="L26" s="556">
        <v>27868.959999999999</v>
      </c>
      <c r="M26" s="558">
        <f t="shared" si="8"/>
        <v>8.0012372938463496</v>
      </c>
      <c r="N26" s="558">
        <f t="shared" si="9"/>
        <v>4.3425201072386059</v>
      </c>
      <c r="O26" s="558">
        <f t="shared" si="10"/>
        <v>6.3250080969231695</v>
      </c>
      <c r="P26" s="558">
        <f t="shared" si="11"/>
        <v>0.85708451224012794</v>
      </c>
      <c r="Q26" s="559">
        <f t="shared" si="12"/>
        <v>0.88515465834178986</v>
      </c>
      <c r="R26" s="559">
        <f t="shared" si="13"/>
        <v>1.8781324801883943E-2</v>
      </c>
      <c r="S26" s="559">
        <f t="shared" si="14"/>
        <v>6.4578475648960812E-2</v>
      </c>
      <c r="T26" s="559">
        <f t="shared" si="15"/>
        <v>3.1485541207365346E-2</v>
      </c>
    </row>
    <row r="27" spans="1:20" x14ac:dyDescent="0.3">
      <c r="A27" s="555">
        <v>3</v>
      </c>
      <c r="B27" s="555" t="s">
        <v>627</v>
      </c>
      <c r="C27" s="555" t="s">
        <v>393</v>
      </c>
      <c r="D27" s="555">
        <v>21</v>
      </c>
      <c r="E27" s="556">
        <v>84608</v>
      </c>
      <c r="F27" s="556">
        <v>3144</v>
      </c>
      <c r="G27" s="556">
        <v>8680</v>
      </c>
      <c r="H27" s="556">
        <v>13372</v>
      </c>
      <c r="I27" s="556">
        <v>714909.76</v>
      </c>
      <c r="J27" s="556">
        <v>14193.76</v>
      </c>
      <c r="K27" s="556">
        <v>60987.68</v>
      </c>
      <c r="L27" s="556">
        <v>8724.9599999999991</v>
      </c>
      <c r="M27" s="558">
        <f>I27/E27</f>
        <v>8.4496709531013625</v>
      </c>
      <c r="N27" s="558">
        <f>J27/F27</f>
        <v>4.5145547073791352</v>
      </c>
      <c r="O27" s="558">
        <f>K27/G27</f>
        <v>7.0262304147465438</v>
      </c>
      <c r="P27" s="558">
        <f>L27/H27</f>
        <v>0.65247980855518983</v>
      </c>
      <c r="Q27" s="559">
        <f>E27/SUM($E27:$H27)</f>
        <v>0.77053659247386252</v>
      </c>
      <c r="R27" s="559">
        <f>F27/SUM($E27:$H27)</f>
        <v>2.8632836690830936E-2</v>
      </c>
      <c r="S27" s="559">
        <f>G27/SUM($E27:$H27)</f>
        <v>7.9049943535754619E-2</v>
      </c>
      <c r="T27" s="559">
        <f>H27/SUM($E27:$H27)</f>
        <v>0.12178062729955193</v>
      </c>
    </row>
    <row r="28" spans="1:20" x14ac:dyDescent="0.3">
      <c r="A28" s="555">
        <v>4</v>
      </c>
      <c r="B28" s="555" t="s">
        <v>630</v>
      </c>
      <c r="C28" s="555" t="s">
        <v>393</v>
      </c>
      <c r="D28" s="555">
        <v>22</v>
      </c>
      <c r="E28" s="556">
        <v>627276</v>
      </c>
      <c r="F28" s="556">
        <v>15040</v>
      </c>
      <c r="G28" s="556">
        <v>46364</v>
      </c>
      <c r="H28" s="556">
        <v>43620</v>
      </c>
      <c r="I28" s="556">
        <v>5494612.0800000001</v>
      </c>
      <c r="J28" s="556">
        <v>50699.24</v>
      </c>
      <c r="K28" s="556">
        <v>346225.08</v>
      </c>
      <c r="L28" s="556">
        <v>36786.839999999997</v>
      </c>
      <c r="M28" s="558">
        <f t="shared" si="8"/>
        <v>8.7594808027088558</v>
      </c>
      <c r="N28" s="558">
        <f t="shared" si="9"/>
        <v>3.3709601063829786</v>
      </c>
      <c r="O28" s="558">
        <f t="shared" si="10"/>
        <v>7.4675411957553282</v>
      </c>
      <c r="P28" s="558">
        <f t="shared" si="11"/>
        <v>0.84334800550206324</v>
      </c>
      <c r="Q28" s="559">
        <f t="shared" si="12"/>
        <v>0.85658336747234742</v>
      </c>
      <c r="R28" s="559">
        <f t="shared" si="13"/>
        <v>2.0538030861668714E-2</v>
      </c>
      <c r="S28" s="559">
        <f t="shared" si="14"/>
        <v>6.3312849924894166E-2</v>
      </c>
      <c r="T28" s="559">
        <f t="shared" si="15"/>
        <v>5.9565751741089717E-2</v>
      </c>
    </row>
    <row r="30" spans="1:20" x14ac:dyDescent="0.3">
      <c r="A30" s="555" t="s">
        <v>631</v>
      </c>
      <c r="D30" s="555">
        <v>24</v>
      </c>
      <c r="E30" s="556">
        <v>13500464</v>
      </c>
      <c r="F30" s="556">
        <v>288776</v>
      </c>
      <c r="G30" s="556">
        <v>690348</v>
      </c>
      <c r="H30" s="556">
        <v>629024</v>
      </c>
      <c r="I30" s="556">
        <v>109807705.48</v>
      </c>
      <c r="J30" s="556">
        <v>1191276.04</v>
      </c>
      <c r="K30" s="556">
        <v>3775325.44</v>
      </c>
      <c r="L30" s="556">
        <v>573010.04</v>
      </c>
      <c r="M30" s="558">
        <f t="shared" si="8"/>
        <v>8.1336245539412566</v>
      </c>
      <c r="N30" s="558">
        <f t="shared" si="9"/>
        <v>4.1252598553896451</v>
      </c>
      <c r="O30" s="558">
        <f t="shared" si="10"/>
        <v>5.4687280038473345</v>
      </c>
      <c r="P30" s="558">
        <f t="shared" si="11"/>
        <v>0.91095099710026972</v>
      </c>
      <c r="Q30" s="559">
        <f t="shared" si="12"/>
        <v>0.89356083801741681</v>
      </c>
      <c r="R30" s="559">
        <f t="shared" si="13"/>
        <v>1.9113337479313122E-2</v>
      </c>
      <c r="S30" s="559">
        <f t="shared" si="14"/>
        <v>4.5692350826138102E-2</v>
      </c>
      <c r="T30" s="559">
        <f t="shared" si="15"/>
        <v>4.1633473677131959E-2</v>
      </c>
    </row>
    <row r="32" spans="1:20" x14ac:dyDescent="0.3">
      <c r="A32" s="555" t="s">
        <v>632</v>
      </c>
    </row>
    <row r="34" spans="1:20" x14ac:dyDescent="0.3">
      <c r="A34" s="555" t="s">
        <v>55</v>
      </c>
      <c r="B34" s="555" t="s">
        <v>503</v>
      </c>
      <c r="C34" s="555" t="s">
        <v>504</v>
      </c>
      <c r="M34" s="555" t="s">
        <v>618</v>
      </c>
      <c r="N34" s="555" t="s">
        <v>619</v>
      </c>
      <c r="O34" s="555" t="s">
        <v>620</v>
      </c>
      <c r="P34" s="555" t="s">
        <v>621</v>
      </c>
      <c r="Q34" s="555" t="s">
        <v>622</v>
      </c>
      <c r="R34" s="555" t="s">
        <v>623</v>
      </c>
      <c r="S34" s="555" t="s">
        <v>624</v>
      </c>
      <c r="T34" s="555" t="s">
        <v>625</v>
      </c>
    </row>
    <row r="35" spans="1:20" x14ac:dyDescent="0.3">
      <c r="A35" s="555">
        <v>1</v>
      </c>
      <c r="C35" s="555" t="s">
        <v>58</v>
      </c>
      <c r="E35" s="555">
        <f>E6+E7</f>
        <v>1097832</v>
      </c>
      <c r="F35" s="555">
        <f t="shared" ref="F35:L35" si="16">F6+F7</f>
        <v>129980</v>
      </c>
      <c r="G35" s="555">
        <f t="shared" si="16"/>
        <v>176716</v>
      </c>
      <c r="H35" s="555">
        <f t="shared" si="16"/>
        <v>300888</v>
      </c>
      <c r="I35" s="555">
        <f t="shared" si="16"/>
        <v>8138404.0800000001</v>
      </c>
      <c r="J35" s="555">
        <f t="shared" si="16"/>
        <v>465212.80000000005</v>
      </c>
      <c r="K35" s="555">
        <f t="shared" si="16"/>
        <v>1069823.8799999999</v>
      </c>
      <c r="L35" s="555">
        <f t="shared" si="16"/>
        <v>253671.84000000003</v>
      </c>
      <c r="M35" s="558">
        <f t="shared" ref="M35:P38" si="17">I35/E35</f>
        <v>7.4131598277332049</v>
      </c>
      <c r="N35" s="558">
        <f t="shared" si="17"/>
        <v>3.5791106324049857</v>
      </c>
      <c r="O35" s="558">
        <f t="shared" si="17"/>
        <v>6.0539163403426963</v>
      </c>
      <c r="P35" s="558">
        <f t="shared" si="17"/>
        <v>0.8430772912179948</v>
      </c>
      <c r="Q35" s="559">
        <f t="shared" ref="Q35:T38" si="18">E35/SUM($E35:$H35)</f>
        <v>0.64373267284932234</v>
      </c>
      <c r="R35" s="559">
        <f t="shared" si="18"/>
        <v>7.6216008293577636E-2</v>
      </c>
      <c r="S35" s="559">
        <f t="shared" si="18"/>
        <v>0.10362046562246396</v>
      </c>
      <c r="T35" s="559">
        <f t="shared" si="18"/>
        <v>0.176430853234636</v>
      </c>
    </row>
    <row r="36" spans="1:20" x14ac:dyDescent="0.3">
      <c r="A36" s="555">
        <v>2</v>
      </c>
      <c r="C36" s="555" t="s">
        <v>58</v>
      </c>
      <c r="E36" s="555">
        <f>E8+E9+E10+E11</f>
        <v>1372356</v>
      </c>
      <c r="F36" s="555">
        <f t="shared" ref="F36:L36" si="19">F8+F9+F10+F11</f>
        <v>60620</v>
      </c>
      <c r="G36" s="555">
        <f t="shared" si="19"/>
        <v>114852</v>
      </c>
      <c r="H36" s="555">
        <f t="shared" si="19"/>
        <v>66436</v>
      </c>
      <c r="I36" s="555">
        <f t="shared" si="19"/>
        <v>10344683.120000001</v>
      </c>
      <c r="J36" s="555">
        <f t="shared" si="19"/>
        <v>300861.52</v>
      </c>
      <c r="K36" s="555">
        <f t="shared" si="19"/>
        <v>789052.44</v>
      </c>
      <c r="L36" s="555">
        <f t="shared" si="19"/>
        <v>63788.960000000006</v>
      </c>
      <c r="M36" s="558">
        <f t="shared" si="17"/>
        <v>7.5379006030505211</v>
      </c>
      <c r="N36" s="558">
        <f t="shared" si="17"/>
        <v>4.9630735730781925</v>
      </c>
      <c r="O36" s="558">
        <f t="shared" si="17"/>
        <v>6.8701671716644022</v>
      </c>
      <c r="P36" s="558">
        <f t="shared" si="17"/>
        <v>0.96015654163405395</v>
      </c>
      <c r="Q36" s="559">
        <f t="shared" si="18"/>
        <v>0.85014347095642351</v>
      </c>
      <c r="R36" s="559">
        <f t="shared" si="18"/>
        <v>3.755271752327996E-2</v>
      </c>
      <c r="S36" s="559">
        <f t="shared" si="18"/>
        <v>7.11482136750866E-2</v>
      </c>
      <c r="T36" s="559">
        <f t="shared" si="18"/>
        <v>4.1155597845209953E-2</v>
      </c>
    </row>
    <row r="37" spans="1:20" x14ac:dyDescent="0.3">
      <c r="A37" s="555">
        <v>3</v>
      </c>
      <c r="C37" s="555" t="s">
        <v>58</v>
      </c>
      <c r="E37" s="555">
        <f>E12+E13+E14</f>
        <v>1692356</v>
      </c>
      <c r="F37" s="555">
        <f t="shared" ref="F37:L37" si="20">F12+F13+F14</f>
        <v>42380</v>
      </c>
      <c r="G37" s="555">
        <f t="shared" si="20"/>
        <v>87756</v>
      </c>
      <c r="H37" s="555">
        <f t="shared" si="20"/>
        <v>63324</v>
      </c>
      <c r="I37" s="555">
        <f t="shared" si="20"/>
        <v>13037503.800000001</v>
      </c>
      <c r="J37" s="555">
        <f t="shared" si="20"/>
        <v>199396.8</v>
      </c>
      <c r="K37" s="555">
        <f t="shared" si="20"/>
        <v>539433.43999999994</v>
      </c>
      <c r="L37" s="555">
        <f t="shared" si="20"/>
        <v>59627.4</v>
      </c>
      <c r="M37" s="558">
        <f t="shared" si="17"/>
        <v>7.7037596108620177</v>
      </c>
      <c r="N37" s="558">
        <f t="shared" si="17"/>
        <v>4.7049740443605472</v>
      </c>
      <c r="O37" s="558">
        <f t="shared" si="17"/>
        <v>6.1469693240348233</v>
      </c>
      <c r="P37" s="558">
        <f t="shared" si="17"/>
        <v>0.94162402880424489</v>
      </c>
      <c r="Q37" s="559">
        <f t="shared" si="18"/>
        <v>0.8974131092322899</v>
      </c>
      <c r="R37" s="559">
        <f t="shared" si="18"/>
        <v>2.2473030242611155E-2</v>
      </c>
      <c r="S37" s="559">
        <f t="shared" si="18"/>
        <v>4.6534762670377171E-2</v>
      </c>
      <c r="T37" s="559">
        <f t="shared" si="18"/>
        <v>3.3579097854721775E-2</v>
      </c>
    </row>
    <row r="38" spans="1:20" x14ac:dyDescent="0.3">
      <c r="A38" s="555">
        <v>4</v>
      </c>
      <c r="C38" s="555" t="s">
        <v>58</v>
      </c>
      <c r="E38" s="555">
        <f>E15</f>
        <v>315896</v>
      </c>
      <c r="F38" s="555">
        <f t="shared" ref="F38:L38" si="21">F15</f>
        <v>8568</v>
      </c>
      <c r="G38" s="555">
        <f t="shared" si="21"/>
        <v>20324</v>
      </c>
      <c r="H38" s="555">
        <f t="shared" si="21"/>
        <v>26056</v>
      </c>
      <c r="I38" s="555">
        <f t="shared" si="21"/>
        <v>2226784.16</v>
      </c>
      <c r="J38" s="555">
        <f t="shared" si="21"/>
        <v>26070.52</v>
      </c>
      <c r="K38" s="555">
        <f t="shared" si="21"/>
        <v>169009.52</v>
      </c>
      <c r="L38" s="555">
        <f t="shared" si="21"/>
        <v>22761.68</v>
      </c>
      <c r="M38" s="558">
        <f t="shared" si="17"/>
        <v>7.049105275153849</v>
      </c>
      <c r="N38" s="558">
        <f t="shared" si="17"/>
        <v>3.0427777777777778</v>
      </c>
      <c r="O38" s="558">
        <f t="shared" si="17"/>
        <v>8.3157606770320793</v>
      </c>
      <c r="P38" s="558">
        <f t="shared" si="17"/>
        <v>0.87356770033773412</v>
      </c>
      <c r="Q38" s="559">
        <f t="shared" si="18"/>
        <v>0.85182987994952053</v>
      </c>
      <c r="R38" s="559">
        <f t="shared" si="18"/>
        <v>2.3104054535060564E-2</v>
      </c>
      <c r="S38" s="559">
        <f t="shared" si="18"/>
        <v>5.4804715729525083E-2</v>
      </c>
      <c r="T38" s="559">
        <f t="shared" si="18"/>
        <v>7.0261349785893795E-2</v>
      </c>
    </row>
    <row r="39" spans="1:20" x14ac:dyDescent="0.3">
      <c r="A39" s="555">
        <v>1</v>
      </c>
      <c r="C39" s="555" t="s">
        <v>393</v>
      </c>
      <c r="E39" s="555">
        <f>E16+E17</f>
        <v>256972</v>
      </c>
      <c r="F39" s="555">
        <f t="shared" ref="F39:L39" si="22">F16+F17</f>
        <v>19628</v>
      </c>
      <c r="G39" s="555">
        <f t="shared" si="22"/>
        <v>28168</v>
      </c>
      <c r="H39" s="555">
        <f t="shared" si="22"/>
        <v>49652</v>
      </c>
      <c r="I39" s="555">
        <f t="shared" si="22"/>
        <v>2054294</v>
      </c>
      <c r="J39" s="555">
        <f t="shared" si="22"/>
        <v>78533.040000000008</v>
      </c>
      <c r="K39" s="555">
        <f t="shared" si="22"/>
        <v>158573.16</v>
      </c>
      <c r="L39" s="555">
        <f t="shared" si="22"/>
        <v>41020.04</v>
      </c>
      <c r="M39" s="558">
        <f t="shared" ref="M39:M42" si="23">I39/E39</f>
        <v>7.994232834705727</v>
      </c>
      <c r="N39" s="558">
        <f t="shared" ref="N39:N42" si="24">J39/F39</f>
        <v>4.0010719380476871</v>
      </c>
      <c r="O39" s="558">
        <f t="shared" ref="O39:O42" si="25">K39/G39</f>
        <v>5.6295498437943765</v>
      </c>
      <c r="P39" s="558">
        <f t="shared" ref="P39:P42" si="26">L39/H39</f>
        <v>0.82615080963506005</v>
      </c>
      <c r="Q39" s="559">
        <f t="shared" ref="Q39:Q42" si="27">E39/SUM($E39:$H39)</f>
        <v>0.72504937644602452</v>
      </c>
      <c r="R39" s="559">
        <f t="shared" ref="R39:R42" si="28">F39/SUM($E39:$H39)</f>
        <v>5.5380621861068791E-2</v>
      </c>
      <c r="S39" s="559">
        <f t="shared" ref="S39:S42" si="29">G39/SUM($E39:$H39)</f>
        <v>7.9476327521020254E-2</v>
      </c>
      <c r="T39" s="559">
        <f t="shared" ref="T39:T42" si="30">H39/SUM($E39:$H39)</f>
        <v>0.14009367417188645</v>
      </c>
    </row>
    <row r="40" spans="1:20" x14ac:dyDescent="0.3">
      <c r="A40" s="555">
        <v>2</v>
      </c>
      <c r="C40" s="555" t="s">
        <v>393</v>
      </c>
      <c r="E40" s="555">
        <f>E18+E19+E20+E21+E22</f>
        <v>1614276</v>
      </c>
      <c r="F40" s="555">
        <f t="shared" ref="F40:L40" si="31">F18+F19+F20+F21+F22</f>
        <v>65832</v>
      </c>
      <c r="G40" s="555">
        <f t="shared" si="31"/>
        <v>109500</v>
      </c>
      <c r="H40" s="555">
        <f t="shared" si="31"/>
        <v>91296</v>
      </c>
      <c r="I40" s="555">
        <f t="shared" si="31"/>
        <v>12318006.640000001</v>
      </c>
      <c r="J40" s="555">
        <f t="shared" si="31"/>
        <v>322041.84000000003</v>
      </c>
      <c r="K40" s="555">
        <f t="shared" si="31"/>
        <v>615695.55999999994</v>
      </c>
      <c r="L40" s="555">
        <f t="shared" si="31"/>
        <v>86492.760000000009</v>
      </c>
      <c r="M40" s="558">
        <f t="shared" si="23"/>
        <v>7.6306695013739914</v>
      </c>
      <c r="N40" s="558">
        <f t="shared" si="24"/>
        <v>4.8918738607364203</v>
      </c>
      <c r="O40" s="558">
        <f t="shared" si="25"/>
        <v>5.6227905022831042</v>
      </c>
      <c r="P40" s="558">
        <f t="shared" si="26"/>
        <v>0.94738827549947435</v>
      </c>
      <c r="Q40" s="559">
        <f t="shared" si="27"/>
        <v>0.85824475890316576</v>
      </c>
      <c r="R40" s="559">
        <f t="shared" si="28"/>
        <v>3.5000191397328094E-2</v>
      </c>
      <c r="S40" s="559">
        <f t="shared" si="29"/>
        <v>5.8216687295045359E-2</v>
      </c>
      <c r="T40" s="559">
        <f t="shared" si="30"/>
        <v>4.8538362404460834E-2</v>
      </c>
    </row>
    <row r="41" spans="1:20" x14ac:dyDescent="0.3">
      <c r="A41" s="555">
        <v>3</v>
      </c>
      <c r="C41" s="555" t="s">
        <v>393</v>
      </c>
      <c r="E41" s="555">
        <f>E23+E24+E25+E26+E27</f>
        <v>3585800</v>
      </c>
      <c r="F41" s="555">
        <f t="shared" ref="F41:L41" si="32">F23+F24+F25+F26+F27</f>
        <v>84036</v>
      </c>
      <c r="G41" s="555">
        <f t="shared" si="32"/>
        <v>228880</v>
      </c>
      <c r="H41" s="555">
        <f t="shared" si="32"/>
        <v>142788</v>
      </c>
      <c r="I41" s="555">
        <f t="shared" si="32"/>
        <v>29442167.68</v>
      </c>
      <c r="J41" s="555">
        <f t="shared" si="32"/>
        <v>387182.04000000004</v>
      </c>
      <c r="K41" s="555">
        <f t="shared" si="32"/>
        <v>1317443.0399999998</v>
      </c>
      <c r="L41" s="555">
        <f t="shared" si="32"/>
        <v>125399.95999999999</v>
      </c>
      <c r="M41" s="558">
        <f t="shared" si="23"/>
        <v>8.2107668246974175</v>
      </c>
      <c r="N41" s="558">
        <f t="shared" si="24"/>
        <v>4.6073354276738545</v>
      </c>
      <c r="O41" s="558">
        <f t="shared" si="25"/>
        <v>5.7560426424327149</v>
      </c>
      <c r="P41" s="558">
        <f t="shared" si="26"/>
        <v>0.8782247807939042</v>
      </c>
      <c r="Q41" s="559">
        <f t="shared" si="27"/>
        <v>0.8872439567052266</v>
      </c>
      <c r="R41" s="559">
        <f t="shared" si="28"/>
        <v>2.0793249245825318E-2</v>
      </c>
      <c r="S41" s="559">
        <f t="shared" si="29"/>
        <v>5.6632382400215363E-2</v>
      </c>
      <c r="T41" s="559">
        <f t="shared" si="30"/>
        <v>3.5330411648732747E-2</v>
      </c>
    </row>
    <row r="42" spans="1:20" x14ac:dyDescent="0.3">
      <c r="A42" s="555">
        <v>4</v>
      </c>
      <c r="C42" s="555" t="s">
        <v>393</v>
      </c>
      <c r="E42" s="555">
        <f>E28</f>
        <v>627276</v>
      </c>
      <c r="F42" s="555">
        <f t="shared" ref="F42:L42" si="33">F28</f>
        <v>15040</v>
      </c>
      <c r="G42" s="555">
        <f t="shared" si="33"/>
        <v>46364</v>
      </c>
      <c r="H42" s="555">
        <f t="shared" si="33"/>
        <v>43620</v>
      </c>
      <c r="I42" s="555">
        <f t="shared" si="33"/>
        <v>5494612.0800000001</v>
      </c>
      <c r="J42" s="555">
        <f t="shared" si="33"/>
        <v>50699.24</v>
      </c>
      <c r="K42" s="555">
        <f t="shared" si="33"/>
        <v>346225.08</v>
      </c>
      <c r="L42" s="555">
        <f t="shared" si="33"/>
        <v>36786.839999999997</v>
      </c>
      <c r="M42" s="558">
        <f t="shared" si="23"/>
        <v>8.7594808027088558</v>
      </c>
      <c r="N42" s="558">
        <f t="shared" si="24"/>
        <v>3.3709601063829786</v>
      </c>
      <c r="O42" s="558">
        <f t="shared" si="25"/>
        <v>7.4675411957553282</v>
      </c>
      <c r="P42" s="558">
        <f t="shared" si="26"/>
        <v>0.84334800550206324</v>
      </c>
      <c r="Q42" s="559">
        <f t="shared" si="27"/>
        <v>0.85658336747234742</v>
      </c>
      <c r="R42" s="559">
        <f t="shared" si="28"/>
        <v>2.0538030861668714E-2</v>
      </c>
      <c r="S42" s="559">
        <f t="shared" si="29"/>
        <v>6.3312849924894166E-2</v>
      </c>
      <c r="T42" s="559">
        <f t="shared" si="30"/>
        <v>5.9565751741089717E-2</v>
      </c>
    </row>
    <row r="45" spans="1:20" x14ac:dyDescent="0.3">
      <c r="A45" s="555" t="s">
        <v>641</v>
      </c>
      <c r="E45" s="555">
        <f t="shared" ref="E45:L45" si="34">SUM(E39:E43)-SUM(E16:E29)</f>
        <v>0</v>
      </c>
      <c r="F45" s="555">
        <f t="shared" si="34"/>
        <v>0</v>
      </c>
      <c r="G45" s="555">
        <f t="shared" si="34"/>
        <v>0</v>
      </c>
      <c r="H45" s="555">
        <f t="shared" si="34"/>
        <v>0</v>
      </c>
      <c r="I45" s="555">
        <f t="shared" si="34"/>
        <v>0</v>
      </c>
      <c r="J45" s="555">
        <f t="shared" si="34"/>
        <v>0</v>
      </c>
      <c r="K45" s="555">
        <f t="shared" si="34"/>
        <v>0</v>
      </c>
      <c r="L45" s="555">
        <f t="shared" si="34"/>
        <v>0</v>
      </c>
    </row>
    <row r="47" spans="1:20" x14ac:dyDescent="0.3">
      <c r="A47" s="555" t="s">
        <v>642</v>
      </c>
      <c r="B47" s="555">
        <f>SUM(E16:H30)</f>
        <v>22117740</v>
      </c>
    </row>
    <row r="48" spans="1:20" x14ac:dyDescent="0.3">
      <c r="A48" s="555" t="s">
        <v>643</v>
      </c>
      <c r="B48" s="555">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workbookViewId="0"/>
  </sheetViews>
  <sheetFormatPr defaultColWidth="9" defaultRowHeight="16.5" x14ac:dyDescent="0.3"/>
  <cols>
    <col min="1" max="1" width="23.5703125" style="239" customWidth="1"/>
    <col min="2" max="4" width="8" style="239" customWidth="1"/>
    <col min="5" max="5" width="8" style="245" customWidth="1"/>
    <col min="6" max="6" width="8" style="278" customWidth="1"/>
    <col min="7" max="8" width="8" style="245" customWidth="1"/>
    <col min="9" max="16" width="8" style="239" customWidth="1"/>
    <col min="17" max="32" width="8" style="251" customWidth="1"/>
    <col min="33" max="33" width="9" style="239"/>
    <col min="34" max="49" width="7" style="251" customWidth="1"/>
    <col min="50" max="16384" width="9" style="239"/>
  </cols>
  <sheetData>
    <row r="1" spans="1:49" ht="28.5" customHeight="1" x14ac:dyDescent="0.3">
      <c r="A1" s="237"/>
      <c r="B1" s="984" t="s">
        <v>651</v>
      </c>
      <c r="C1" s="985"/>
      <c r="D1" s="986"/>
      <c r="E1" s="978" t="s">
        <v>652</v>
      </c>
      <c r="F1" s="979"/>
      <c r="G1" s="979"/>
      <c r="H1" s="980"/>
      <c r="I1" s="990" t="s">
        <v>653</v>
      </c>
      <c r="J1" s="991"/>
      <c r="K1" s="991"/>
      <c r="L1" s="991"/>
      <c r="M1" s="991"/>
      <c r="N1" s="991"/>
      <c r="O1" s="991"/>
      <c r="P1" s="992"/>
      <c r="Q1" s="972" t="s">
        <v>654</v>
      </c>
      <c r="R1" s="973"/>
      <c r="S1" s="973"/>
      <c r="T1" s="973"/>
      <c r="U1" s="238"/>
      <c r="V1" s="238"/>
      <c r="W1" s="238"/>
      <c r="X1" s="238"/>
      <c r="Y1" s="238"/>
      <c r="Z1" s="238"/>
      <c r="AA1" s="238"/>
      <c r="AB1" s="238"/>
      <c r="AC1" s="238"/>
      <c r="AD1" s="238"/>
      <c r="AE1" s="238"/>
      <c r="AF1" s="238"/>
      <c r="AH1" s="972" t="s">
        <v>655</v>
      </c>
      <c r="AI1" s="973"/>
      <c r="AJ1" s="973"/>
      <c r="AK1" s="973"/>
      <c r="AL1" s="973"/>
      <c r="AM1" s="973"/>
      <c r="AN1" s="973"/>
      <c r="AO1" s="973"/>
      <c r="AP1" s="973"/>
      <c r="AQ1" s="973"/>
      <c r="AR1" s="973"/>
      <c r="AS1" s="973"/>
      <c r="AT1" s="973"/>
      <c r="AU1" s="973"/>
      <c r="AV1" s="973"/>
      <c r="AW1" s="973"/>
    </row>
    <row r="2" spans="1:49" ht="28.5" customHeight="1" x14ac:dyDescent="0.3">
      <c r="A2" s="240"/>
      <c r="B2" s="987"/>
      <c r="C2" s="988"/>
      <c r="D2" s="989"/>
      <c r="E2" s="981"/>
      <c r="F2" s="982"/>
      <c r="G2" s="982"/>
      <c r="H2" s="983"/>
      <c r="I2" s="975" t="s">
        <v>656</v>
      </c>
      <c r="J2" s="976"/>
      <c r="K2" s="976"/>
      <c r="L2" s="977"/>
      <c r="M2" s="975" t="s">
        <v>655</v>
      </c>
      <c r="N2" s="976"/>
      <c r="O2" s="976"/>
      <c r="P2" s="977"/>
      <c r="Q2" s="972" t="s">
        <v>657</v>
      </c>
      <c r="R2" s="973"/>
      <c r="S2" s="973"/>
      <c r="T2" s="973"/>
      <c r="U2" s="972" t="s">
        <v>658</v>
      </c>
      <c r="V2" s="973"/>
      <c r="W2" s="973"/>
      <c r="X2" s="974"/>
      <c r="Y2" s="972" t="s">
        <v>659</v>
      </c>
      <c r="Z2" s="973"/>
      <c r="AA2" s="973"/>
      <c r="AB2" s="974"/>
      <c r="AC2" s="972" t="s">
        <v>660</v>
      </c>
      <c r="AD2" s="973"/>
      <c r="AE2" s="973"/>
      <c r="AF2" s="974"/>
      <c r="AH2" s="972" t="s">
        <v>661</v>
      </c>
      <c r="AI2" s="973"/>
      <c r="AJ2" s="973"/>
      <c r="AK2" s="974"/>
      <c r="AL2" s="972" t="s">
        <v>662</v>
      </c>
      <c r="AM2" s="973"/>
      <c r="AN2" s="973"/>
      <c r="AO2" s="974"/>
      <c r="AP2" s="972" t="s">
        <v>663</v>
      </c>
      <c r="AQ2" s="973"/>
      <c r="AR2" s="973"/>
      <c r="AS2" s="974"/>
      <c r="AT2" s="972" t="s">
        <v>664</v>
      </c>
      <c r="AU2" s="973"/>
      <c r="AV2" s="973"/>
      <c r="AW2" s="974"/>
    </row>
    <row r="3" spans="1:49" s="314" customFormat="1" ht="27" customHeight="1" thickBot="1" x14ac:dyDescent="0.35">
      <c r="A3" s="305" t="s">
        <v>665</v>
      </c>
      <c r="B3" s="306" t="s">
        <v>666</v>
      </c>
      <c r="C3" s="307" t="s">
        <v>667</v>
      </c>
      <c r="D3" s="308" t="s">
        <v>668</v>
      </c>
      <c r="E3" s="309" t="s">
        <v>669</v>
      </c>
      <c r="F3" s="316" t="s">
        <v>670</v>
      </c>
      <c r="G3" s="309" t="s">
        <v>671</v>
      </c>
      <c r="H3" s="309" t="s">
        <v>672</v>
      </c>
      <c r="I3" s="315" t="s">
        <v>673</v>
      </c>
      <c r="J3" s="310" t="s">
        <v>674</v>
      </c>
      <c r="K3" s="315" t="s">
        <v>675</v>
      </c>
      <c r="L3" s="310" t="s">
        <v>676</v>
      </c>
      <c r="M3" s="310" t="s">
        <v>677</v>
      </c>
      <c r="N3" s="310" t="s">
        <v>674</v>
      </c>
      <c r="O3" s="310" t="s">
        <v>678</v>
      </c>
      <c r="P3" s="315" t="s">
        <v>676</v>
      </c>
      <c r="Q3" s="311" t="s">
        <v>679</v>
      </c>
      <c r="R3" s="312" t="s">
        <v>674</v>
      </c>
      <c r="S3" s="312" t="s">
        <v>680</v>
      </c>
      <c r="T3" s="310" t="s">
        <v>676</v>
      </c>
      <c r="U3" s="311" t="s">
        <v>679</v>
      </c>
      <c r="V3" s="312" t="s">
        <v>674</v>
      </c>
      <c r="W3" s="312" t="s">
        <v>680</v>
      </c>
      <c r="X3" s="313" t="s">
        <v>676</v>
      </c>
      <c r="Y3" s="311" t="s">
        <v>679</v>
      </c>
      <c r="Z3" s="312" t="s">
        <v>674</v>
      </c>
      <c r="AA3" s="312" t="s">
        <v>680</v>
      </c>
      <c r="AB3" s="313" t="s">
        <v>676</v>
      </c>
      <c r="AC3" s="311" t="s">
        <v>679</v>
      </c>
      <c r="AD3" s="312" t="s">
        <v>674</v>
      </c>
      <c r="AE3" s="312" t="s">
        <v>680</v>
      </c>
      <c r="AF3" s="313" t="s">
        <v>676</v>
      </c>
      <c r="AH3" s="311" t="s">
        <v>677</v>
      </c>
      <c r="AI3" s="312" t="s">
        <v>674</v>
      </c>
      <c r="AJ3" s="312" t="s">
        <v>676</v>
      </c>
      <c r="AK3" s="313" t="s">
        <v>681</v>
      </c>
      <c r="AL3" s="311" t="s">
        <v>677</v>
      </c>
      <c r="AM3" s="312" t="s">
        <v>674</v>
      </c>
      <c r="AN3" s="312" t="s">
        <v>676</v>
      </c>
      <c r="AO3" s="313" t="s">
        <v>681</v>
      </c>
      <c r="AP3" s="311" t="s">
        <v>677</v>
      </c>
      <c r="AQ3" s="312" t="s">
        <v>674</v>
      </c>
      <c r="AR3" s="312" t="s">
        <v>676</v>
      </c>
      <c r="AS3" s="313" t="s">
        <v>681</v>
      </c>
      <c r="AT3" s="311" t="s">
        <v>677</v>
      </c>
      <c r="AU3" s="312" t="s">
        <v>674</v>
      </c>
      <c r="AV3" s="312" t="s">
        <v>676</v>
      </c>
      <c r="AW3" s="313" t="s">
        <v>681</v>
      </c>
    </row>
    <row r="4" spans="1:49" x14ac:dyDescent="0.3">
      <c r="A4" s="242" t="s">
        <v>682</v>
      </c>
      <c r="B4" s="303" t="s">
        <v>683</v>
      </c>
      <c r="C4" s="303" t="s">
        <v>684</v>
      </c>
      <c r="D4" s="304" t="s">
        <v>685</v>
      </c>
      <c r="F4" s="244"/>
      <c r="I4" s="248"/>
      <c r="J4" s="248"/>
      <c r="K4" s="248"/>
      <c r="L4" s="248"/>
      <c r="M4" s="248"/>
      <c r="N4" s="248"/>
      <c r="O4" s="248"/>
      <c r="P4" s="248"/>
      <c r="Q4" s="248"/>
      <c r="R4" s="248"/>
      <c r="S4" s="248"/>
      <c r="T4" s="249"/>
      <c r="U4" s="247"/>
      <c r="V4" s="248"/>
      <c r="W4" s="250"/>
      <c r="X4" s="250"/>
      <c r="Y4" s="247"/>
      <c r="Z4" s="248"/>
      <c r="AA4" s="250"/>
      <c r="AB4" s="250"/>
      <c r="AC4" s="247"/>
      <c r="AD4" s="248"/>
      <c r="AE4" s="250"/>
      <c r="AF4" s="250"/>
      <c r="AH4" s="247"/>
      <c r="AK4" s="250"/>
      <c r="AL4" s="247"/>
      <c r="AO4" s="250"/>
      <c r="AP4" s="247"/>
      <c r="AS4" s="250"/>
      <c r="AT4" s="247"/>
      <c r="AW4" s="250"/>
    </row>
    <row r="5" spans="1:49" x14ac:dyDescent="0.3">
      <c r="A5" s="252" t="s">
        <v>686</v>
      </c>
      <c r="B5" s="298">
        <v>93900</v>
      </c>
      <c r="C5" s="298">
        <v>113600</v>
      </c>
      <c r="D5" s="260">
        <v>128100</v>
      </c>
      <c r="F5" s="244"/>
      <c r="I5" s="248"/>
      <c r="J5" s="248"/>
      <c r="K5" s="248"/>
      <c r="L5" s="248"/>
      <c r="M5" s="248"/>
      <c r="N5" s="248"/>
      <c r="O5" s="248"/>
      <c r="P5" s="248"/>
      <c r="Q5" s="256"/>
      <c r="R5" s="256"/>
      <c r="S5" s="256"/>
      <c r="T5" s="257"/>
      <c r="U5" s="255"/>
      <c r="V5" s="256"/>
      <c r="W5" s="258"/>
      <c r="X5" s="258"/>
      <c r="Y5" s="255"/>
      <c r="Z5" s="256"/>
      <c r="AA5" s="258"/>
      <c r="AB5" s="258"/>
      <c r="AC5" s="255"/>
      <c r="AD5" s="256"/>
      <c r="AE5" s="258"/>
      <c r="AF5" s="258"/>
      <c r="AH5" s="255"/>
      <c r="AI5" s="256"/>
      <c r="AJ5" s="256"/>
      <c r="AK5" s="258"/>
      <c r="AL5" s="255"/>
      <c r="AM5" s="256"/>
      <c r="AN5" s="256"/>
      <c r="AO5" s="258"/>
      <c r="AP5" s="255"/>
      <c r="AQ5" s="256"/>
      <c r="AR5" s="256"/>
      <c r="AS5" s="258"/>
      <c r="AT5" s="255"/>
      <c r="AU5" s="256"/>
      <c r="AV5" s="256"/>
      <c r="AW5" s="258"/>
    </row>
    <row r="6" spans="1:49" x14ac:dyDescent="0.3">
      <c r="A6" s="242" t="s">
        <v>687</v>
      </c>
      <c r="B6" s="298">
        <v>125200</v>
      </c>
      <c r="C6" s="298">
        <v>151300</v>
      </c>
      <c r="D6" s="260">
        <v>170900</v>
      </c>
      <c r="F6" s="244"/>
      <c r="I6" s="248"/>
      <c r="J6" s="248"/>
      <c r="K6" s="248"/>
      <c r="L6" s="248"/>
      <c r="M6" s="248"/>
      <c r="N6" s="248"/>
      <c r="O6" s="248"/>
      <c r="P6" s="248"/>
      <c r="Q6" s="248"/>
      <c r="R6" s="248"/>
      <c r="S6" s="248"/>
      <c r="T6" s="249"/>
      <c r="U6" s="247"/>
      <c r="V6" s="248"/>
      <c r="W6" s="250"/>
      <c r="X6" s="250"/>
      <c r="Y6" s="247"/>
      <c r="Z6" s="248"/>
      <c r="AA6" s="250"/>
      <c r="AB6" s="250"/>
      <c r="AC6" s="247"/>
      <c r="AD6" s="248"/>
      <c r="AE6" s="250"/>
      <c r="AF6" s="250"/>
      <c r="AH6" s="247"/>
      <c r="AK6" s="250"/>
      <c r="AL6" s="247"/>
      <c r="AO6" s="250"/>
      <c r="AP6" s="247"/>
      <c r="AS6" s="250"/>
      <c r="AT6" s="247"/>
      <c r="AW6" s="250"/>
    </row>
    <row r="7" spans="1:49" x14ac:dyDescent="0.3">
      <c r="A7" s="259" t="s">
        <v>688</v>
      </c>
      <c r="B7" s="298">
        <f>+B6-B5</f>
        <v>31300</v>
      </c>
      <c r="C7" s="298">
        <f>+C6-C5</f>
        <v>37700</v>
      </c>
      <c r="D7" s="298">
        <f>+D6-D5</f>
        <v>42800</v>
      </c>
      <c r="E7" s="299">
        <v>25000</v>
      </c>
      <c r="F7" s="300">
        <v>1</v>
      </c>
      <c r="G7" s="266">
        <f>+E7*F7</f>
        <v>25000</v>
      </c>
      <c r="H7" s="266">
        <f>+E7-G7</f>
        <v>0</v>
      </c>
      <c r="I7" s="265" t="s">
        <v>627</v>
      </c>
      <c r="J7" s="301">
        <f>HLOOKUP(I7,$B$4:$D$7,4,TRUE)</f>
        <v>42800</v>
      </c>
      <c r="K7" s="265">
        <v>0.35</v>
      </c>
      <c r="L7" s="266">
        <f>+$H7*1000/J7</f>
        <v>0</v>
      </c>
      <c r="M7" s="265" t="s">
        <v>627</v>
      </c>
      <c r="N7" s="301">
        <f>HLOOKUP(M7,$B$4:$D$7,4,TRUE)</f>
        <v>42800</v>
      </c>
      <c r="O7" s="265">
        <v>0.35</v>
      </c>
      <c r="P7" s="266">
        <f>+$H7*1000/N7</f>
        <v>0</v>
      </c>
      <c r="Q7" s="263" t="s">
        <v>627</v>
      </c>
      <c r="R7" s="264">
        <f>HLOOKUP(Q7,$B$4:$D$7,4,TRUE)</f>
        <v>42800</v>
      </c>
      <c r="S7" s="265">
        <f>+ImpTypePct!$G$9</f>
        <v>0.35</v>
      </c>
      <c r="T7" s="266">
        <f>+$H7*1000/R7</f>
        <v>0</v>
      </c>
      <c r="U7" s="263" t="s">
        <v>627</v>
      </c>
      <c r="V7" s="264">
        <f>HLOOKUP(U7,$B$4:$D$7,4,TRUE)</f>
        <v>42800</v>
      </c>
      <c r="W7" s="265">
        <f>+ImpTypePct!$G$9</f>
        <v>0.35</v>
      </c>
      <c r="X7" s="262">
        <f>+$H7*1000/V7</f>
        <v>0</v>
      </c>
      <c r="Y7" s="263" t="s">
        <v>627</v>
      </c>
      <c r="Z7" s="264">
        <f>HLOOKUP(Y7,$B$4:$D$7,4,TRUE)</f>
        <v>42800</v>
      </c>
      <c r="AA7" s="265">
        <f>+ImpTypePct!$G$9</f>
        <v>0.35</v>
      </c>
      <c r="AB7" s="262">
        <f>+$H7*1000/Z7</f>
        <v>0</v>
      </c>
      <c r="AC7" s="263" t="s">
        <v>627</v>
      </c>
      <c r="AD7" s="264">
        <f>HLOOKUP(AC7,$B$4:$D$7,4,TRUE)</f>
        <v>42800</v>
      </c>
      <c r="AE7" s="265">
        <v>0.35</v>
      </c>
      <c r="AF7" s="262">
        <f>+$H7*1000/AD7</f>
        <v>0</v>
      </c>
      <c r="AH7" s="263" t="s">
        <v>627</v>
      </c>
      <c r="AI7" s="264">
        <f>HLOOKUP(AH7,$B$4:$D$7,4,TRUE)</f>
        <v>42800</v>
      </c>
      <c r="AJ7" s="261">
        <f>+$H7*1000/AI7</f>
        <v>0</v>
      </c>
      <c r="AK7" s="267">
        <v>0.35</v>
      </c>
      <c r="AL7" s="263" t="s">
        <v>630</v>
      </c>
      <c r="AM7" s="264">
        <f>HLOOKUP(AL7,$B$4:$D$7,4,TRUE)</f>
        <v>37700</v>
      </c>
      <c r="AN7" s="261">
        <f>+$H7*1000/AM7</f>
        <v>0</v>
      </c>
      <c r="AO7" s="267">
        <v>0.35</v>
      </c>
      <c r="AP7" s="263" t="s">
        <v>630</v>
      </c>
      <c r="AQ7" s="264">
        <f>HLOOKUP(AP7,$B$4:$D$7,4,TRUE)</f>
        <v>37700</v>
      </c>
      <c r="AR7" s="261">
        <f>+$H7*1000/AQ7</f>
        <v>0</v>
      </c>
      <c r="AS7" s="267">
        <v>0.35</v>
      </c>
      <c r="AT7" s="263" t="s">
        <v>630</v>
      </c>
      <c r="AU7" s="264">
        <f>HLOOKUP(AT7,$B$4:$D$7,4,TRUE)</f>
        <v>37700</v>
      </c>
      <c r="AV7" s="261">
        <f>+$H7*1000/AU7</f>
        <v>0</v>
      </c>
      <c r="AW7" s="267">
        <v>0.35</v>
      </c>
    </row>
    <row r="8" spans="1:49" x14ac:dyDescent="0.3">
      <c r="A8" s="242" t="s">
        <v>689</v>
      </c>
      <c r="B8" s="298" t="s">
        <v>683</v>
      </c>
      <c r="C8" s="298" t="s">
        <v>684</v>
      </c>
      <c r="D8" s="260" t="s">
        <v>685</v>
      </c>
      <c r="F8" s="244"/>
      <c r="I8" s="248"/>
      <c r="J8" s="248"/>
      <c r="K8" s="248"/>
      <c r="L8" s="248"/>
      <c r="M8" s="248"/>
      <c r="N8" s="248"/>
      <c r="O8" s="248"/>
      <c r="P8" s="248"/>
      <c r="Q8" s="248"/>
      <c r="R8" s="248"/>
      <c r="S8" s="248"/>
      <c r="T8" s="249"/>
      <c r="U8" s="247"/>
      <c r="V8" s="248"/>
      <c r="W8" s="250"/>
      <c r="X8" s="250"/>
      <c r="Y8" s="247"/>
      <c r="Z8" s="248"/>
      <c r="AA8" s="250"/>
      <c r="AB8" s="250"/>
      <c r="AC8" s="247"/>
      <c r="AD8" s="248"/>
      <c r="AE8" s="250"/>
      <c r="AF8" s="250"/>
      <c r="AH8" s="247"/>
      <c r="AK8" s="250"/>
      <c r="AL8" s="247"/>
      <c r="AO8" s="250"/>
      <c r="AP8" s="247"/>
      <c r="AS8" s="250"/>
      <c r="AT8" s="247"/>
      <c r="AW8" s="250"/>
    </row>
    <row r="9" spans="1:49" x14ac:dyDescent="0.3">
      <c r="A9" s="252" t="s">
        <v>690</v>
      </c>
      <c r="B9" s="298">
        <v>14500</v>
      </c>
      <c r="C9" s="298">
        <v>32400</v>
      </c>
      <c r="D9" s="260">
        <v>33800</v>
      </c>
      <c r="F9" s="244"/>
      <c r="I9" s="248"/>
      <c r="J9" s="248"/>
      <c r="K9" s="248"/>
      <c r="L9" s="248"/>
      <c r="M9" s="248"/>
      <c r="N9" s="248"/>
      <c r="O9" s="248"/>
      <c r="P9" s="248"/>
      <c r="Q9" s="256"/>
      <c r="R9" s="256"/>
      <c r="S9" s="256"/>
      <c r="T9" s="257"/>
      <c r="U9" s="255"/>
      <c r="V9" s="256"/>
      <c r="W9" s="258"/>
      <c r="X9" s="258"/>
      <c r="Y9" s="255"/>
      <c r="Z9" s="256"/>
      <c r="AA9" s="258"/>
      <c r="AB9" s="258"/>
      <c r="AC9" s="255"/>
      <c r="AD9" s="256"/>
      <c r="AE9" s="258"/>
      <c r="AF9" s="258"/>
      <c r="AH9" s="255"/>
      <c r="AI9" s="256"/>
      <c r="AJ9" s="256"/>
      <c r="AK9" s="258"/>
      <c r="AL9" s="255"/>
      <c r="AM9" s="256"/>
      <c r="AN9" s="256"/>
      <c r="AO9" s="258"/>
      <c r="AP9" s="255"/>
      <c r="AQ9" s="256"/>
      <c r="AR9" s="256"/>
      <c r="AS9" s="258"/>
      <c r="AT9" s="255"/>
      <c r="AU9" s="256"/>
      <c r="AV9" s="256"/>
      <c r="AW9" s="258"/>
    </row>
    <row r="10" spans="1:49" x14ac:dyDescent="0.3">
      <c r="A10" s="242" t="s">
        <v>691</v>
      </c>
      <c r="B10" s="298">
        <v>23300</v>
      </c>
      <c r="C10" s="298">
        <v>50000</v>
      </c>
      <c r="D10" s="260">
        <v>50900</v>
      </c>
      <c r="F10" s="244"/>
      <c r="I10" s="248"/>
      <c r="J10" s="248"/>
      <c r="K10" s="248"/>
      <c r="L10" s="248"/>
      <c r="M10" s="248"/>
      <c r="N10" s="248"/>
      <c r="O10" s="248"/>
      <c r="P10" s="248"/>
      <c r="Q10" s="248"/>
      <c r="R10" s="248"/>
      <c r="S10" s="248"/>
      <c r="T10" s="249"/>
      <c r="U10" s="247"/>
      <c r="V10" s="248"/>
      <c r="W10" s="250"/>
      <c r="X10" s="250"/>
      <c r="Y10" s="247"/>
      <c r="Z10" s="248"/>
      <c r="AA10" s="250"/>
      <c r="AB10" s="250"/>
      <c r="AC10" s="247"/>
      <c r="AD10" s="248"/>
      <c r="AE10" s="250"/>
      <c r="AF10" s="250"/>
      <c r="AH10" s="247"/>
      <c r="AK10" s="250"/>
      <c r="AL10" s="247"/>
      <c r="AO10" s="250"/>
      <c r="AP10" s="247"/>
      <c r="AS10" s="250"/>
      <c r="AT10" s="247"/>
      <c r="AW10" s="250"/>
    </row>
    <row r="11" spans="1:49" x14ac:dyDescent="0.3">
      <c r="A11" s="259" t="s">
        <v>692</v>
      </c>
      <c r="B11" s="298">
        <f>+B10-B9</f>
        <v>8800</v>
      </c>
      <c r="C11" s="298">
        <f>+C10-C9</f>
        <v>17600</v>
      </c>
      <c r="D11" s="298">
        <f>+D10-D9</f>
        <v>17100</v>
      </c>
      <c r="E11" s="299">
        <v>8500</v>
      </c>
      <c r="F11" s="300">
        <v>0.19</v>
      </c>
      <c r="G11" s="266">
        <f>+E11*F11</f>
        <v>1615</v>
      </c>
      <c r="H11" s="266">
        <f>+E11-G11</f>
        <v>6885</v>
      </c>
      <c r="I11" s="265" t="s">
        <v>627</v>
      </c>
      <c r="J11" s="301">
        <f>HLOOKUP(I11,$B$8:$D$11,4,TRUE)</f>
        <v>17100</v>
      </c>
      <c r="K11" s="265">
        <v>0.65</v>
      </c>
      <c r="L11" s="266">
        <f>+$H11*1000/J11</f>
        <v>402.63157894736844</v>
      </c>
      <c r="M11" s="265" t="s">
        <v>627</v>
      </c>
      <c r="N11" s="301">
        <f>HLOOKUP(M11,$B$8:$D$11,4,TRUE)</f>
        <v>17100</v>
      </c>
      <c r="O11" s="265">
        <v>0.65</v>
      </c>
      <c r="P11" s="266">
        <f>+$H11*1000/N11</f>
        <v>402.63157894736844</v>
      </c>
      <c r="Q11" s="263" t="s">
        <v>627</v>
      </c>
      <c r="R11" s="264">
        <f>HLOOKUP(Q11,$B$8:$D$11,4,TRUE)</f>
        <v>17100</v>
      </c>
      <c r="S11" s="268">
        <f>+ImpTypePct!$G$10</f>
        <v>0.65</v>
      </c>
      <c r="T11" s="266">
        <f>+$H11*1000/R11</f>
        <v>402.63157894736844</v>
      </c>
      <c r="U11" s="263" t="s">
        <v>627</v>
      </c>
      <c r="V11" s="264">
        <f>HLOOKUP(U11,$B$8:$D$11,4,TRUE)</f>
        <v>17100</v>
      </c>
      <c r="W11" s="268">
        <f>+ImpTypePct!$G$10</f>
        <v>0.65</v>
      </c>
      <c r="X11" s="262">
        <f>+$H11*1000/V11</f>
        <v>402.63157894736844</v>
      </c>
      <c r="Y11" s="263" t="s">
        <v>627</v>
      </c>
      <c r="Z11" s="264">
        <f>HLOOKUP(Y11,$B$8:$D$11,4,TRUE)</f>
        <v>17100</v>
      </c>
      <c r="AA11" s="268">
        <f>+ImpTypePct!$G$10</f>
        <v>0.65</v>
      </c>
      <c r="AB11" s="262">
        <f>+$H11*1000/Z11</f>
        <v>402.63157894736844</v>
      </c>
      <c r="AC11" s="263" t="s">
        <v>627</v>
      </c>
      <c r="AD11" s="264">
        <f>HLOOKUP(AC11,$B$8:$D$11,4,TRUE)</f>
        <v>17100</v>
      </c>
      <c r="AE11" s="268">
        <f>+AE13-AE7</f>
        <v>0.65</v>
      </c>
      <c r="AF11" s="262">
        <f>+$H11*1000/AD11</f>
        <v>402.63157894736844</v>
      </c>
      <c r="AH11" s="263" t="s">
        <v>627</v>
      </c>
      <c r="AI11" s="264">
        <f>HLOOKUP(AH11,$B$8:$D$11,4,TRUE)</f>
        <v>17100</v>
      </c>
      <c r="AJ11" s="261">
        <f>+$H11*1000/AI11</f>
        <v>402.63157894736844</v>
      </c>
      <c r="AK11" s="267">
        <f>+AK13-AK7</f>
        <v>0.65</v>
      </c>
      <c r="AL11" s="263" t="s">
        <v>627</v>
      </c>
      <c r="AM11" s="264">
        <f>HLOOKUP(AL11,$B$8:$D$11,4,TRUE)</f>
        <v>17100</v>
      </c>
      <c r="AN11" s="261">
        <f>+$H11*1000/AM11</f>
        <v>402.63157894736844</v>
      </c>
      <c r="AO11" s="267">
        <f>+AO13-AO7</f>
        <v>0.65</v>
      </c>
      <c r="AP11" s="263" t="s">
        <v>627</v>
      </c>
      <c r="AQ11" s="264">
        <f>HLOOKUP(AP11,$B$8:$D$11,4,TRUE)</f>
        <v>17100</v>
      </c>
      <c r="AR11" s="261">
        <f>+$H11*1000/AQ11</f>
        <v>402.63157894736844</v>
      </c>
      <c r="AS11" s="267">
        <f>+AS13-AS7</f>
        <v>0.65</v>
      </c>
      <c r="AT11" s="263" t="s">
        <v>627</v>
      </c>
      <c r="AU11" s="264">
        <f>HLOOKUP(AT11,$B$8:$D$11,4,TRUE)</f>
        <v>17100</v>
      </c>
      <c r="AV11" s="261">
        <f>+$H11*1000/AU11</f>
        <v>402.63157894736844</v>
      </c>
      <c r="AW11" s="267">
        <f>+AW13-AW7</f>
        <v>0.65</v>
      </c>
    </row>
    <row r="12" spans="1:49" x14ac:dyDescent="0.3">
      <c r="B12" s="269"/>
      <c r="C12" s="269"/>
      <c r="D12" s="269"/>
      <c r="F12" s="270"/>
      <c r="I12" s="271"/>
      <c r="J12" s="272"/>
      <c r="K12" s="272"/>
      <c r="L12" s="273"/>
      <c r="M12" s="271"/>
      <c r="N12" s="272"/>
      <c r="O12" s="272"/>
      <c r="P12" s="273"/>
      <c r="Q12" s="271"/>
      <c r="R12" s="272"/>
      <c r="S12" s="272"/>
      <c r="T12" s="273"/>
      <c r="U12" s="274"/>
      <c r="V12" s="275"/>
      <c r="W12" s="276"/>
      <c r="X12" s="277"/>
      <c r="Y12" s="274"/>
      <c r="Z12" s="275"/>
      <c r="AA12" s="276"/>
      <c r="AB12" s="277"/>
      <c r="AC12" s="274"/>
      <c r="AD12" s="275"/>
      <c r="AE12" s="276"/>
      <c r="AF12" s="277"/>
      <c r="AH12" s="274"/>
      <c r="AI12" s="275"/>
      <c r="AJ12" s="275"/>
      <c r="AK12" s="276"/>
      <c r="AL12" s="274"/>
      <c r="AM12" s="275"/>
      <c r="AN12" s="275"/>
      <c r="AO12" s="276"/>
      <c r="AP12" s="274"/>
      <c r="AQ12" s="275"/>
      <c r="AR12" s="275"/>
      <c r="AS12" s="276"/>
      <c r="AT12" s="274"/>
      <c r="AU12" s="275"/>
      <c r="AV12" s="275"/>
      <c r="AW12" s="276"/>
    </row>
    <row r="13" spans="1:49" x14ac:dyDescent="0.3">
      <c r="A13" s="288" t="s">
        <v>693</v>
      </c>
      <c r="B13" s="269"/>
      <c r="G13" s="266" t="s">
        <v>100</v>
      </c>
      <c r="H13" s="259"/>
      <c r="I13" s="281"/>
      <c r="J13" s="281"/>
      <c r="K13" s="281">
        <f>+K7+K11</f>
        <v>1</v>
      </c>
      <c r="L13" s="281"/>
      <c r="M13" s="281"/>
      <c r="N13" s="281"/>
      <c r="O13" s="281">
        <v>1</v>
      </c>
      <c r="P13" s="281"/>
      <c r="Q13" s="281"/>
      <c r="R13" s="281"/>
      <c r="S13" s="281">
        <f>+S7+S11</f>
        <v>1</v>
      </c>
      <c r="T13" s="281"/>
      <c r="U13" s="281"/>
      <c r="V13" s="281"/>
      <c r="W13" s="281">
        <v>1</v>
      </c>
      <c r="X13" s="281"/>
      <c r="Y13" s="281"/>
      <c r="Z13" s="281"/>
      <c r="AA13" s="281">
        <v>1</v>
      </c>
      <c r="AB13" s="281"/>
      <c r="AC13" s="281"/>
      <c r="AD13" s="281"/>
      <c r="AE13" s="281">
        <v>1</v>
      </c>
      <c r="AF13" s="281"/>
      <c r="AH13" s="279"/>
      <c r="AI13" s="280"/>
      <c r="AJ13" s="280"/>
      <c r="AK13" s="282">
        <v>1</v>
      </c>
      <c r="AL13" s="279"/>
      <c r="AM13" s="280"/>
      <c r="AN13" s="280"/>
      <c r="AO13" s="282">
        <v>1</v>
      </c>
      <c r="AP13" s="279"/>
      <c r="AQ13" s="280"/>
      <c r="AR13" s="280"/>
      <c r="AS13" s="282">
        <v>1</v>
      </c>
      <c r="AT13" s="279"/>
      <c r="AU13" s="280"/>
      <c r="AV13" s="280"/>
      <c r="AW13" s="282">
        <v>1</v>
      </c>
    </row>
    <row r="14" spans="1:49" x14ac:dyDescent="0.3">
      <c r="A14" s="289" t="s">
        <v>694</v>
      </c>
      <c r="B14" s="269"/>
      <c r="E14" s="283"/>
      <c r="H14" s="250"/>
      <c r="I14" s="247"/>
      <c r="J14" s="248"/>
      <c r="K14" s="248"/>
      <c r="L14" s="249"/>
      <c r="M14" s="247"/>
      <c r="N14" s="248"/>
      <c r="O14" s="248"/>
      <c r="P14" s="249"/>
      <c r="Q14" s="247"/>
      <c r="R14" s="248"/>
      <c r="S14" s="248"/>
      <c r="T14" s="249"/>
      <c r="U14" s="247"/>
      <c r="V14" s="248"/>
      <c r="W14" s="250"/>
      <c r="X14" s="250"/>
      <c r="Y14" s="247"/>
      <c r="Z14" s="248"/>
      <c r="AA14" s="250"/>
      <c r="AB14" s="250"/>
      <c r="AC14" s="247"/>
      <c r="AD14" s="248"/>
      <c r="AE14" s="250"/>
      <c r="AF14" s="250"/>
      <c r="AH14" s="247"/>
      <c r="AK14" s="250"/>
      <c r="AL14" s="247"/>
      <c r="AO14" s="250"/>
      <c r="AP14" s="247"/>
      <c r="AS14" s="250"/>
      <c r="AT14" s="247"/>
      <c r="AW14" s="250"/>
    </row>
    <row r="15" spans="1:49" x14ac:dyDescent="0.3">
      <c r="A15" s="239" t="s">
        <v>695</v>
      </c>
      <c r="G15" s="266" t="s">
        <v>696</v>
      </c>
      <c r="H15" s="259"/>
      <c r="I15" s="297"/>
      <c r="J15" s="297"/>
      <c r="K15" s="281"/>
      <c r="L15" s="266">
        <f>((K7*L7)+(K11*L$11))*L17</f>
        <v>261.71052631578948</v>
      </c>
      <c r="M15" s="297"/>
      <c r="N15" s="297"/>
      <c r="O15" s="281"/>
      <c r="P15" s="266">
        <f>((O7*P7)+(O11*P$11))*P17</f>
        <v>261.71052631578948</v>
      </c>
      <c r="Q15" s="297"/>
      <c r="R15" s="297"/>
      <c r="S15" s="281"/>
      <c r="T15" s="266">
        <f>((S7*T7)+(S11*T$11))*T17</f>
        <v>261.71052631578948</v>
      </c>
      <c r="U15" s="297"/>
      <c r="V15" s="297"/>
      <c r="W15" s="266">
        <f>((W7*X7)+(W11*X$11))*W17</f>
        <v>261.71052631578948</v>
      </c>
      <c r="X15" s="297"/>
      <c r="Y15" s="297"/>
      <c r="Z15" s="297"/>
      <c r="AA15" s="266">
        <f>((AA7*AB7)+(AA11*AB$11))*AA17</f>
        <v>261.71052631578948</v>
      </c>
      <c r="AB15" s="297"/>
      <c r="AC15" s="297"/>
      <c r="AD15" s="297"/>
      <c r="AE15" s="266">
        <f>((AE7*AF7)+(AE11*AF$11))*AE17</f>
        <v>261.71052631578948</v>
      </c>
      <c r="AF15" s="297"/>
      <c r="AH15" s="285"/>
      <c r="AK15" s="254">
        <f>((AK7*AJ7)+(AK11*AJ$11))*AK17</f>
        <v>261.71052631578948</v>
      </c>
      <c r="AL15" s="285"/>
      <c r="AM15" s="285"/>
      <c r="AN15" s="285"/>
      <c r="AO15" s="262">
        <f>((AO7*AN7)+(AO11*AN$11))*AO17</f>
        <v>261.71052631578948</v>
      </c>
      <c r="AP15" s="284"/>
      <c r="AQ15" s="285"/>
      <c r="AR15" s="285"/>
      <c r="AS15" s="262">
        <f>((AS7*AR7)+(AS11*AR$11))*AS17</f>
        <v>261.71052631578948</v>
      </c>
      <c r="AT15" s="284"/>
      <c r="AU15" s="285"/>
      <c r="AV15" s="285"/>
      <c r="AW15" s="262">
        <f>((AW7*AV7)+(AW11*AV$11))*AW17</f>
        <v>261.71052631578948</v>
      </c>
    </row>
    <row r="16" spans="1:49" x14ac:dyDescent="0.3">
      <c r="C16" s="245"/>
      <c r="D16" s="248"/>
      <c r="E16" s="286"/>
      <c r="F16" s="286"/>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H16" s="248"/>
      <c r="AI16" s="248"/>
      <c r="AJ16" s="248"/>
      <c r="AK16" s="248"/>
      <c r="AL16" s="248"/>
      <c r="AM16" s="248"/>
      <c r="AN16" s="248"/>
      <c r="AO16" s="248"/>
      <c r="AP16" s="248"/>
      <c r="AQ16" s="248"/>
      <c r="AR16" s="248"/>
      <c r="AS16" s="248"/>
      <c r="AT16" s="248"/>
      <c r="AU16" s="248"/>
      <c r="AV16" s="248"/>
      <c r="AW16" s="239"/>
    </row>
    <row r="17" spans="1:49" hidden="1" x14ac:dyDescent="0.3">
      <c r="A17" s="288" t="s">
        <v>697</v>
      </c>
      <c r="C17" s="253" t="s">
        <v>698</v>
      </c>
      <c r="F17" s="286"/>
      <c r="I17" s="248"/>
      <c r="J17" s="248"/>
      <c r="K17" s="248"/>
      <c r="L17" s="295">
        <v>1</v>
      </c>
      <c r="M17" s="248"/>
      <c r="N17" s="248"/>
      <c r="O17" s="248"/>
      <c r="P17" s="295">
        <v>1</v>
      </c>
      <c r="Q17" s="248"/>
      <c r="R17" s="248"/>
      <c r="S17" s="248"/>
      <c r="T17" s="248">
        <v>1</v>
      </c>
      <c r="U17" s="248"/>
      <c r="V17" s="248"/>
      <c r="W17" s="248">
        <v>1</v>
      </c>
      <c r="X17" s="248"/>
      <c r="Y17" s="248"/>
      <c r="Z17" s="248"/>
      <c r="AA17" s="248">
        <v>1</v>
      </c>
      <c r="AB17" s="248"/>
      <c r="AC17" s="248"/>
      <c r="AD17" s="248"/>
      <c r="AE17" s="248">
        <v>1</v>
      </c>
      <c r="AF17" s="248"/>
      <c r="AH17" s="248"/>
      <c r="AI17" s="248"/>
      <c r="AJ17" s="248"/>
      <c r="AK17" s="248">
        <v>1</v>
      </c>
      <c r="AL17" s="248"/>
      <c r="AM17" s="256"/>
      <c r="AN17" s="256"/>
      <c r="AO17" s="258">
        <v>1</v>
      </c>
      <c r="AP17" s="255"/>
      <c r="AQ17" s="256"/>
      <c r="AR17" s="256"/>
      <c r="AS17" s="258">
        <v>1</v>
      </c>
      <c r="AT17" s="255"/>
      <c r="AU17" s="256"/>
      <c r="AV17" s="256"/>
      <c r="AW17" s="258">
        <v>1</v>
      </c>
    </row>
    <row r="18" spans="1:49" hidden="1" x14ac:dyDescent="0.3">
      <c r="A18" s="239" t="s">
        <v>699</v>
      </c>
      <c r="C18" s="287" t="s">
        <v>700</v>
      </c>
      <c r="F18" s="286"/>
      <c r="I18" s="248"/>
      <c r="J18" s="248"/>
      <c r="K18" s="248"/>
      <c r="L18" s="295">
        <v>1</v>
      </c>
      <c r="M18" s="248"/>
      <c r="N18" s="248"/>
      <c r="O18" s="248"/>
      <c r="P18" s="295">
        <v>1</v>
      </c>
      <c r="Q18" s="248"/>
      <c r="R18" s="248"/>
      <c r="S18" s="248"/>
      <c r="T18" s="248">
        <v>1</v>
      </c>
      <c r="U18" s="248"/>
      <c r="V18" s="248"/>
      <c r="W18" s="248">
        <v>1</v>
      </c>
      <c r="X18" s="248"/>
      <c r="Y18" s="248"/>
      <c r="Z18" s="248"/>
      <c r="AA18" s="248">
        <v>1</v>
      </c>
      <c r="AB18" s="248"/>
      <c r="AC18" s="248"/>
      <c r="AD18" s="248"/>
      <c r="AE18" s="248">
        <v>1</v>
      </c>
      <c r="AF18" s="248"/>
      <c r="AH18" s="248"/>
      <c r="AI18" s="248"/>
      <c r="AJ18" s="248"/>
      <c r="AK18" s="248">
        <v>1</v>
      </c>
      <c r="AL18" s="248"/>
      <c r="AM18" s="275"/>
      <c r="AN18" s="275"/>
      <c r="AO18" s="277">
        <v>1</v>
      </c>
      <c r="AP18" s="274"/>
      <c r="AQ18" s="275"/>
      <c r="AR18" s="275"/>
      <c r="AS18" s="277">
        <v>1</v>
      </c>
      <c r="AT18" s="274"/>
      <c r="AU18" s="275"/>
      <c r="AV18" s="275"/>
      <c r="AW18" s="239"/>
    </row>
    <row r="19" spans="1:49" x14ac:dyDescent="0.3">
      <c r="A19" s="239" t="s">
        <v>701</v>
      </c>
      <c r="F19" s="244"/>
      <c r="Q19" s="248"/>
      <c r="R19" s="248"/>
      <c r="S19" s="248"/>
      <c r="T19" s="248"/>
      <c r="U19" s="248"/>
      <c r="V19" s="248"/>
      <c r="W19" s="248"/>
      <c r="X19" s="248"/>
      <c r="Y19" s="248"/>
      <c r="Z19" s="248"/>
      <c r="AA19" s="248"/>
      <c r="AB19" s="248"/>
      <c r="AC19" s="248"/>
      <c r="AD19" s="248"/>
      <c r="AE19" s="248"/>
      <c r="AF19" s="248"/>
      <c r="AH19" s="248"/>
      <c r="AI19" s="248"/>
      <c r="AJ19" s="248"/>
      <c r="AK19" s="248"/>
      <c r="AL19" s="248"/>
      <c r="AW19" s="239"/>
    </row>
    <row r="20" spans="1:49" x14ac:dyDescent="0.3">
      <c r="A20" s="239" t="s">
        <v>702</v>
      </c>
      <c r="B20" s="245"/>
      <c r="F20" s="244"/>
      <c r="Q20" s="248"/>
      <c r="R20" s="248"/>
      <c r="S20" s="248"/>
      <c r="T20" s="248"/>
      <c r="U20" s="248"/>
      <c r="V20" s="248"/>
      <c r="W20" s="248"/>
      <c r="X20" s="248"/>
      <c r="Y20" s="248"/>
      <c r="Z20" s="248"/>
      <c r="AA20" s="248"/>
      <c r="AB20" s="248"/>
      <c r="AC20" s="248"/>
      <c r="AD20" s="248"/>
      <c r="AE20" s="248"/>
      <c r="AF20" s="248"/>
      <c r="AH20" s="248"/>
      <c r="AI20" s="248"/>
      <c r="AJ20" s="248"/>
      <c r="AK20" s="248"/>
      <c r="AL20" s="248"/>
    </row>
    <row r="21" spans="1:49" x14ac:dyDescent="0.3">
      <c r="A21" s="239" t="s">
        <v>703</v>
      </c>
      <c r="F21" s="244"/>
      <c r="H21" s="294"/>
      <c r="Q21" s="290"/>
      <c r="R21" s="290"/>
      <c r="S21" s="290"/>
      <c r="T21" s="290"/>
      <c r="U21" s="290"/>
      <c r="V21" s="290"/>
      <c r="W21" s="290"/>
      <c r="X21" s="290"/>
      <c r="Y21" s="290"/>
      <c r="Z21" s="290"/>
      <c r="AA21" s="290"/>
      <c r="AB21" s="290"/>
      <c r="AC21" s="290"/>
      <c r="AD21" s="290"/>
      <c r="AE21" s="290"/>
      <c r="AF21" s="290"/>
      <c r="AH21" s="290"/>
      <c r="AI21" s="290"/>
      <c r="AJ21" s="290"/>
      <c r="AK21" s="290"/>
      <c r="AL21" s="290"/>
      <c r="AM21" s="290"/>
      <c r="AN21" s="290"/>
      <c r="AO21" s="290"/>
      <c r="AP21" s="290"/>
      <c r="AQ21" s="290"/>
      <c r="AR21" s="290"/>
      <c r="AS21" s="290"/>
      <c r="AT21" s="290"/>
      <c r="AU21" s="290"/>
      <c r="AV21" s="290"/>
    </row>
    <row r="22" spans="1:49" x14ac:dyDescent="0.3">
      <c r="F22" s="244"/>
      <c r="H22" s="291"/>
      <c r="Q22" s="296"/>
      <c r="R22" s="296"/>
      <c r="S22" s="296"/>
      <c r="T22" s="296"/>
      <c r="U22" s="296"/>
      <c r="V22" s="296"/>
      <c r="W22" s="296"/>
      <c r="X22" s="296"/>
      <c r="Y22" s="296"/>
      <c r="Z22" s="296"/>
      <c r="AA22" s="296"/>
      <c r="AB22" s="296"/>
      <c r="AC22" s="296"/>
      <c r="AD22" s="296"/>
      <c r="AE22" s="296"/>
      <c r="AF22" s="296"/>
      <c r="AH22" s="296"/>
      <c r="AI22" s="296"/>
      <c r="AJ22" s="296"/>
      <c r="AK22" s="296"/>
      <c r="AL22" s="296"/>
      <c r="AM22" s="292"/>
      <c r="AN22" s="292"/>
      <c r="AO22" s="292"/>
      <c r="AP22" s="292"/>
      <c r="AQ22" s="292"/>
      <c r="AR22" s="292"/>
      <c r="AS22" s="292"/>
      <c r="AT22" s="292"/>
      <c r="AU22" s="292"/>
      <c r="AV22" s="292"/>
    </row>
    <row r="23" spans="1:49" x14ac:dyDescent="0.3">
      <c r="F23" s="244"/>
      <c r="H23" s="291"/>
      <c r="Q23" s="292"/>
      <c r="R23" s="292"/>
      <c r="S23" s="292"/>
      <c r="T23" s="292"/>
      <c r="U23" s="292"/>
      <c r="V23" s="292"/>
      <c r="W23" s="292"/>
      <c r="X23" s="292"/>
      <c r="Y23" s="292"/>
      <c r="Z23" s="292"/>
      <c r="AA23" s="292"/>
      <c r="AB23" s="292"/>
      <c r="AC23" s="292"/>
      <c r="AD23" s="292"/>
      <c r="AE23" s="292"/>
      <c r="AF23" s="292"/>
      <c r="AH23" s="292"/>
      <c r="AI23" s="292"/>
      <c r="AJ23" s="292"/>
      <c r="AK23" s="292"/>
      <c r="AL23" s="292"/>
      <c r="AM23" s="292"/>
      <c r="AN23" s="292"/>
      <c r="AO23" s="292"/>
      <c r="AP23" s="292"/>
      <c r="AQ23" s="292"/>
      <c r="AR23" s="292"/>
      <c r="AS23" s="292"/>
      <c r="AT23" s="292"/>
      <c r="AU23" s="292"/>
      <c r="AV23" s="292"/>
    </row>
    <row r="24" spans="1:49" x14ac:dyDescent="0.3">
      <c r="F24" s="244"/>
      <c r="H24" s="291"/>
      <c r="Q24" s="292"/>
      <c r="R24" s="292"/>
      <c r="S24" s="292"/>
      <c r="T24" s="292"/>
      <c r="U24" s="292"/>
      <c r="V24" s="292"/>
      <c r="W24" s="292"/>
      <c r="X24" s="292"/>
      <c r="Y24" s="292"/>
      <c r="Z24" s="292"/>
      <c r="AA24" s="292"/>
      <c r="AB24" s="292"/>
      <c r="AC24" s="292"/>
      <c r="AD24" s="292"/>
      <c r="AE24" s="292"/>
      <c r="AF24" s="292"/>
      <c r="AH24" s="292"/>
      <c r="AI24" s="292"/>
      <c r="AJ24" s="292"/>
      <c r="AK24" s="292"/>
      <c r="AL24" s="292"/>
      <c r="AM24" s="292"/>
      <c r="AN24" s="292"/>
      <c r="AO24" s="292"/>
      <c r="AP24" s="292"/>
      <c r="AQ24" s="292"/>
      <c r="AR24" s="292"/>
      <c r="AS24" s="292"/>
      <c r="AT24" s="292"/>
      <c r="AU24" s="292"/>
      <c r="AV24" s="292"/>
    </row>
    <row r="25" spans="1:49" x14ac:dyDescent="0.3">
      <c r="F25" s="244"/>
      <c r="H25" s="291"/>
      <c r="Q25" s="292"/>
      <c r="R25" s="293"/>
      <c r="S25" s="292"/>
      <c r="T25" s="292"/>
      <c r="U25" s="292"/>
      <c r="V25" s="292"/>
      <c r="W25" s="292"/>
      <c r="X25" s="292"/>
      <c r="Y25" s="292"/>
      <c r="Z25" s="292"/>
      <c r="AA25" s="292"/>
      <c r="AB25" s="292"/>
      <c r="AC25" s="292"/>
      <c r="AD25" s="292"/>
      <c r="AE25" s="292"/>
      <c r="AF25" s="292"/>
      <c r="AH25" s="292"/>
      <c r="AI25" s="292"/>
      <c r="AJ25" s="292"/>
      <c r="AK25" s="292"/>
      <c r="AL25" s="292"/>
      <c r="AM25" s="292"/>
      <c r="AN25" s="292"/>
      <c r="AO25" s="292"/>
      <c r="AP25" s="292"/>
      <c r="AQ25" s="292"/>
      <c r="AR25" s="292"/>
      <c r="AS25" s="292"/>
      <c r="AT25" s="292"/>
      <c r="AU25" s="292"/>
      <c r="AV25" s="292"/>
    </row>
    <row r="26" spans="1:49" x14ac:dyDescent="0.3">
      <c r="F26" s="244"/>
      <c r="H26" s="291"/>
      <c r="Q26" s="292"/>
      <c r="R26" s="292"/>
      <c r="S26" s="292"/>
      <c r="T26" s="292"/>
      <c r="U26" s="292"/>
      <c r="V26" s="292"/>
      <c r="W26" s="292"/>
      <c r="X26" s="292"/>
      <c r="Y26" s="292"/>
      <c r="Z26" s="292"/>
      <c r="AA26" s="292"/>
      <c r="AB26" s="292"/>
      <c r="AC26" s="292"/>
      <c r="AD26" s="292"/>
      <c r="AE26" s="292"/>
      <c r="AF26" s="292"/>
      <c r="AH26" s="292"/>
      <c r="AI26" s="292"/>
      <c r="AJ26" s="292"/>
      <c r="AK26" s="292"/>
      <c r="AL26" s="292"/>
      <c r="AM26" s="292"/>
      <c r="AN26" s="292"/>
      <c r="AO26" s="292"/>
      <c r="AP26" s="292"/>
      <c r="AQ26" s="292"/>
      <c r="AR26" s="292"/>
      <c r="AS26" s="292"/>
      <c r="AT26" s="292"/>
      <c r="AU26" s="292"/>
      <c r="AV26" s="292"/>
    </row>
    <row r="27" spans="1:49" x14ac:dyDescent="0.3">
      <c r="F27" s="244"/>
      <c r="H27" s="291"/>
      <c r="Q27" s="292"/>
      <c r="R27" s="292"/>
      <c r="S27" s="292"/>
      <c r="T27" s="292"/>
      <c r="U27" s="292"/>
      <c r="V27" s="292"/>
      <c r="W27" s="292"/>
      <c r="X27" s="292"/>
      <c r="Y27" s="292"/>
      <c r="Z27" s="292"/>
      <c r="AA27" s="292"/>
      <c r="AB27" s="292"/>
      <c r="AC27" s="292"/>
      <c r="AD27" s="292"/>
      <c r="AE27" s="292"/>
      <c r="AF27" s="292"/>
      <c r="AH27" s="292"/>
      <c r="AI27" s="292"/>
      <c r="AJ27" s="292"/>
      <c r="AK27" s="292"/>
      <c r="AL27" s="292"/>
      <c r="AM27" s="292"/>
      <c r="AN27" s="292"/>
      <c r="AO27" s="292"/>
      <c r="AP27" s="292"/>
      <c r="AQ27" s="292"/>
      <c r="AR27" s="292"/>
      <c r="AS27" s="292"/>
      <c r="AT27" s="292"/>
      <c r="AU27" s="292"/>
      <c r="AV27" s="292"/>
    </row>
    <row r="28" spans="1:49" x14ac:dyDescent="0.3">
      <c r="F28" s="244"/>
      <c r="H28" s="291"/>
      <c r="Q28" s="292"/>
      <c r="R28" s="292"/>
      <c r="S28" s="292"/>
      <c r="T28" s="292"/>
      <c r="U28" s="292"/>
      <c r="V28" s="292"/>
      <c r="W28" s="292"/>
      <c r="X28" s="292"/>
      <c r="Y28" s="292"/>
      <c r="Z28" s="292"/>
      <c r="AA28" s="292"/>
      <c r="AB28" s="292"/>
      <c r="AC28" s="292"/>
      <c r="AD28" s="292"/>
      <c r="AE28" s="292"/>
      <c r="AF28" s="292"/>
      <c r="AH28" s="292"/>
      <c r="AI28" s="292"/>
      <c r="AJ28" s="292"/>
      <c r="AK28" s="292"/>
      <c r="AL28" s="292"/>
      <c r="AM28" s="292"/>
      <c r="AN28" s="292"/>
      <c r="AO28" s="292"/>
      <c r="AP28" s="292"/>
      <c r="AQ28" s="292"/>
      <c r="AR28" s="292"/>
      <c r="AS28" s="292"/>
      <c r="AT28" s="292"/>
      <c r="AU28" s="292"/>
      <c r="AV28" s="292"/>
    </row>
    <row r="29" spans="1:49" x14ac:dyDescent="0.3">
      <c r="H29" s="291"/>
      <c r="Q29" s="292"/>
      <c r="R29" s="292"/>
      <c r="S29" s="292"/>
      <c r="T29" s="292"/>
      <c r="U29" s="292"/>
      <c r="V29" s="292"/>
      <c r="W29" s="292"/>
      <c r="X29" s="292"/>
      <c r="Y29" s="292"/>
      <c r="Z29" s="292"/>
      <c r="AA29" s="292"/>
      <c r="AB29" s="292"/>
      <c r="AC29" s="292"/>
      <c r="AD29" s="292"/>
      <c r="AE29" s="292"/>
      <c r="AF29" s="292"/>
      <c r="AH29" s="292"/>
      <c r="AI29" s="292"/>
      <c r="AJ29" s="292"/>
      <c r="AK29" s="292"/>
      <c r="AL29" s="292"/>
      <c r="AM29" s="292"/>
      <c r="AN29" s="292"/>
      <c r="AO29" s="292"/>
      <c r="AP29" s="292"/>
      <c r="AQ29" s="292"/>
      <c r="AR29" s="292"/>
      <c r="AS29" s="292"/>
      <c r="AT29" s="292"/>
      <c r="AU29" s="292"/>
      <c r="AV29" s="292"/>
    </row>
    <row r="30" spans="1:49" x14ac:dyDescent="0.3">
      <c r="H30" s="291"/>
      <c r="Q30" s="292"/>
      <c r="R30" s="292"/>
      <c r="S30" s="292"/>
      <c r="T30" s="292"/>
      <c r="U30" s="292"/>
      <c r="V30" s="292"/>
      <c r="W30" s="292"/>
      <c r="X30" s="292"/>
      <c r="Y30" s="292"/>
      <c r="Z30" s="292"/>
      <c r="AA30" s="292"/>
      <c r="AB30" s="292"/>
      <c r="AC30" s="292"/>
      <c r="AD30" s="292"/>
      <c r="AE30" s="292"/>
      <c r="AF30" s="292"/>
      <c r="AH30" s="292"/>
      <c r="AI30" s="292"/>
      <c r="AJ30" s="292"/>
      <c r="AK30" s="292"/>
      <c r="AL30" s="292"/>
      <c r="AM30" s="292"/>
      <c r="AN30" s="292"/>
      <c r="AO30" s="292"/>
      <c r="AP30" s="292"/>
      <c r="AQ30" s="292"/>
      <c r="AR30" s="292"/>
      <c r="AS30" s="292"/>
      <c r="AT30" s="292"/>
      <c r="AU30" s="292"/>
      <c r="AV30" s="292"/>
    </row>
    <row r="31" spans="1:49" x14ac:dyDescent="0.3">
      <c r="H31" s="291"/>
      <c r="Q31" s="292"/>
      <c r="R31" s="292"/>
      <c r="S31" s="292"/>
      <c r="T31" s="292"/>
      <c r="U31" s="292"/>
      <c r="V31" s="292"/>
      <c r="W31" s="292"/>
      <c r="X31" s="292"/>
      <c r="Y31" s="292"/>
      <c r="Z31" s="292"/>
      <c r="AA31" s="292"/>
      <c r="AB31" s="292"/>
      <c r="AC31" s="292"/>
      <c r="AD31" s="292"/>
      <c r="AE31" s="292"/>
      <c r="AF31" s="292"/>
      <c r="AH31" s="292"/>
      <c r="AI31" s="292"/>
      <c r="AJ31" s="292"/>
      <c r="AK31" s="292"/>
      <c r="AL31" s="292"/>
      <c r="AM31" s="292"/>
      <c r="AN31" s="292"/>
      <c r="AO31" s="292"/>
      <c r="AP31" s="292"/>
      <c r="AQ31" s="292"/>
      <c r="AR31" s="292"/>
      <c r="AS31" s="292"/>
      <c r="AT31" s="292"/>
      <c r="AU31" s="292"/>
      <c r="AV31" s="292"/>
    </row>
    <row r="32" spans="1:49" x14ac:dyDescent="0.3">
      <c r="H32" s="291"/>
      <c r="Q32" s="292"/>
      <c r="R32" s="292"/>
      <c r="S32" s="292"/>
      <c r="T32" s="292"/>
      <c r="U32" s="292"/>
      <c r="V32" s="292"/>
      <c r="W32" s="292"/>
      <c r="X32" s="292"/>
      <c r="Y32" s="292"/>
      <c r="Z32" s="292"/>
      <c r="AA32" s="292"/>
      <c r="AB32" s="292"/>
      <c r="AC32" s="292"/>
      <c r="AD32" s="292"/>
      <c r="AE32" s="292"/>
      <c r="AF32" s="292"/>
      <c r="AH32" s="292"/>
      <c r="AI32" s="292"/>
      <c r="AJ32" s="292"/>
      <c r="AK32" s="292"/>
      <c r="AL32" s="292"/>
      <c r="AM32" s="292"/>
      <c r="AN32" s="292"/>
      <c r="AO32" s="292"/>
      <c r="AP32" s="292"/>
      <c r="AQ32" s="292"/>
      <c r="AR32" s="292"/>
      <c r="AS32" s="292"/>
      <c r="AT32" s="292"/>
      <c r="AU32" s="292"/>
      <c r="AV32" s="292"/>
    </row>
    <row r="33" spans="8:48" x14ac:dyDescent="0.3">
      <c r="H33" s="291"/>
      <c r="Q33" s="292"/>
      <c r="R33" s="292"/>
      <c r="S33" s="292"/>
      <c r="T33" s="292"/>
      <c r="U33" s="292"/>
      <c r="V33" s="292"/>
      <c r="W33" s="292"/>
      <c r="X33" s="292"/>
      <c r="Y33" s="292"/>
      <c r="Z33" s="292"/>
      <c r="AA33" s="292"/>
      <c r="AB33" s="292"/>
      <c r="AC33" s="292"/>
      <c r="AD33" s="292"/>
      <c r="AE33" s="292"/>
      <c r="AF33" s="292"/>
      <c r="AH33" s="292"/>
      <c r="AI33" s="292"/>
      <c r="AJ33" s="292"/>
      <c r="AK33" s="292"/>
      <c r="AL33" s="292"/>
      <c r="AM33" s="292"/>
      <c r="AN33" s="292"/>
      <c r="AO33" s="292"/>
      <c r="AP33" s="292"/>
      <c r="AQ33" s="292"/>
      <c r="AR33" s="292"/>
      <c r="AS33" s="292"/>
      <c r="AT33" s="292"/>
      <c r="AU33" s="292"/>
      <c r="AV33" s="292"/>
    </row>
    <row r="34" spans="8:48" x14ac:dyDescent="0.3">
      <c r="H34" s="291"/>
      <c r="Q34" s="292"/>
      <c r="R34" s="292"/>
      <c r="S34" s="292"/>
      <c r="T34" s="292"/>
      <c r="U34" s="292"/>
      <c r="V34" s="292"/>
      <c r="W34" s="292"/>
      <c r="X34" s="292"/>
      <c r="Y34" s="292"/>
      <c r="Z34" s="292"/>
      <c r="AA34" s="292"/>
      <c r="AB34" s="292"/>
      <c r="AC34" s="292"/>
      <c r="AD34" s="292"/>
      <c r="AE34" s="292"/>
      <c r="AF34" s="292"/>
      <c r="AH34" s="292"/>
      <c r="AI34" s="292"/>
      <c r="AJ34" s="292"/>
      <c r="AK34" s="292"/>
      <c r="AL34" s="292"/>
      <c r="AM34" s="292"/>
      <c r="AN34" s="292"/>
      <c r="AO34" s="292"/>
      <c r="AP34" s="292"/>
      <c r="AQ34" s="292"/>
      <c r="AR34" s="292"/>
      <c r="AS34" s="292"/>
      <c r="AT34" s="292"/>
      <c r="AU34" s="292"/>
      <c r="AV34" s="292"/>
    </row>
    <row r="35" spans="8:48" x14ac:dyDescent="0.3">
      <c r="H35" s="291"/>
      <c r="Q35" s="292"/>
      <c r="R35" s="292"/>
      <c r="S35" s="292"/>
      <c r="T35" s="292"/>
      <c r="U35" s="292"/>
      <c r="V35" s="292"/>
      <c r="W35" s="292"/>
      <c r="X35" s="292"/>
      <c r="Y35" s="292"/>
      <c r="Z35" s="292"/>
      <c r="AA35" s="292"/>
      <c r="AB35" s="292"/>
      <c r="AC35" s="292"/>
      <c r="AD35" s="292"/>
      <c r="AE35" s="292"/>
      <c r="AF35" s="292"/>
      <c r="AH35" s="292"/>
      <c r="AI35" s="292"/>
      <c r="AJ35" s="292"/>
      <c r="AK35" s="292"/>
      <c r="AL35" s="292"/>
      <c r="AM35" s="292"/>
      <c r="AN35" s="292"/>
      <c r="AO35" s="292"/>
      <c r="AP35" s="292"/>
      <c r="AQ35" s="292"/>
      <c r="AR35" s="292"/>
      <c r="AS35" s="292"/>
      <c r="AT35" s="292"/>
      <c r="AU35" s="292"/>
      <c r="AV35" s="292"/>
    </row>
    <row r="36" spans="8:48" x14ac:dyDescent="0.3">
      <c r="H36" s="291"/>
      <c r="Q36" s="292"/>
      <c r="R36" s="292"/>
      <c r="S36" s="292"/>
      <c r="T36" s="292"/>
      <c r="U36" s="292"/>
      <c r="V36" s="292"/>
      <c r="W36" s="292"/>
      <c r="X36" s="292"/>
      <c r="Y36" s="292"/>
      <c r="Z36" s="292"/>
      <c r="AA36" s="292"/>
      <c r="AB36" s="292"/>
      <c r="AC36" s="292"/>
      <c r="AD36" s="292"/>
      <c r="AE36" s="292"/>
      <c r="AF36" s="292"/>
      <c r="AH36" s="292"/>
      <c r="AI36" s="292"/>
      <c r="AJ36" s="292"/>
      <c r="AK36" s="292"/>
      <c r="AL36" s="292"/>
      <c r="AM36" s="292"/>
      <c r="AN36" s="292"/>
      <c r="AO36" s="292"/>
      <c r="AP36" s="292"/>
      <c r="AQ36" s="292"/>
      <c r="AR36" s="292"/>
      <c r="AS36" s="292"/>
      <c r="AT36" s="292"/>
      <c r="AU36" s="292"/>
      <c r="AV36" s="292"/>
    </row>
    <row r="37" spans="8:48" x14ac:dyDescent="0.3">
      <c r="H37" s="291"/>
      <c r="Q37" s="292"/>
      <c r="R37" s="292"/>
      <c r="S37" s="292"/>
      <c r="T37" s="292"/>
      <c r="U37" s="292"/>
      <c r="V37" s="292"/>
      <c r="W37" s="292"/>
      <c r="X37" s="292"/>
      <c r="Y37" s="292"/>
      <c r="Z37" s="292"/>
      <c r="AA37" s="292"/>
      <c r="AB37" s="292"/>
      <c r="AC37" s="292"/>
      <c r="AD37" s="292"/>
      <c r="AE37" s="292"/>
      <c r="AF37" s="292"/>
      <c r="AH37" s="292"/>
      <c r="AI37" s="292"/>
      <c r="AJ37" s="292"/>
      <c r="AK37" s="292"/>
      <c r="AL37" s="292"/>
      <c r="AM37" s="292"/>
      <c r="AN37" s="292"/>
      <c r="AO37" s="292"/>
      <c r="AP37" s="292"/>
      <c r="AQ37" s="292"/>
      <c r="AR37" s="292"/>
      <c r="AS37" s="292"/>
      <c r="AT37" s="292"/>
      <c r="AU37" s="292"/>
      <c r="AV37" s="292"/>
    </row>
    <row r="38" spans="8:48" x14ac:dyDescent="0.3">
      <c r="H38" s="291"/>
      <c r="Q38" s="292"/>
      <c r="R38" s="292"/>
      <c r="S38" s="292"/>
      <c r="T38" s="292"/>
      <c r="U38" s="292"/>
      <c r="V38" s="292"/>
      <c r="W38" s="292"/>
      <c r="X38" s="292"/>
      <c r="Y38" s="292"/>
      <c r="Z38" s="292"/>
      <c r="AA38" s="292"/>
      <c r="AB38" s="292"/>
      <c r="AC38" s="292"/>
      <c r="AD38" s="292"/>
      <c r="AE38" s="292"/>
      <c r="AF38" s="292"/>
      <c r="AH38" s="292"/>
      <c r="AI38" s="292"/>
      <c r="AJ38" s="292"/>
      <c r="AK38" s="292"/>
      <c r="AL38" s="292"/>
      <c r="AM38" s="292"/>
      <c r="AN38" s="292"/>
      <c r="AO38" s="292"/>
      <c r="AP38" s="292"/>
      <c r="AQ38" s="292"/>
      <c r="AR38" s="292"/>
      <c r="AS38" s="292"/>
      <c r="AT38" s="292"/>
      <c r="AU38" s="292"/>
      <c r="AV38" s="292"/>
    </row>
    <row r="39" spans="8:48" x14ac:dyDescent="0.3">
      <c r="H39" s="291"/>
      <c r="Q39" s="292"/>
      <c r="R39" s="292"/>
      <c r="S39" s="292"/>
      <c r="T39" s="292"/>
      <c r="U39" s="292"/>
      <c r="V39" s="292"/>
      <c r="W39" s="292"/>
      <c r="X39" s="292"/>
      <c r="Y39" s="292"/>
      <c r="Z39" s="292"/>
      <c r="AA39" s="292"/>
      <c r="AB39" s="292"/>
      <c r="AC39" s="292"/>
      <c r="AD39" s="292"/>
      <c r="AE39" s="292"/>
      <c r="AF39" s="292"/>
      <c r="AH39" s="292"/>
      <c r="AI39" s="292"/>
      <c r="AJ39" s="292"/>
      <c r="AK39" s="292"/>
      <c r="AL39" s="292"/>
      <c r="AM39" s="292"/>
      <c r="AN39" s="292"/>
      <c r="AO39" s="292"/>
      <c r="AP39" s="292"/>
      <c r="AQ39" s="292"/>
      <c r="AR39" s="292"/>
      <c r="AS39" s="292"/>
      <c r="AT39" s="292"/>
      <c r="AU39" s="292"/>
      <c r="AV39" s="292"/>
    </row>
    <row r="40" spans="8:48" x14ac:dyDescent="0.3">
      <c r="H40" s="291"/>
      <c r="Q40" s="292"/>
      <c r="R40" s="292"/>
      <c r="S40" s="292"/>
      <c r="T40" s="292"/>
      <c r="U40" s="292"/>
      <c r="V40" s="292"/>
      <c r="W40" s="292"/>
      <c r="X40" s="292"/>
      <c r="Y40" s="292"/>
      <c r="Z40" s="292"/>
      <c r="AA40" s="292"/>
      <c r="AB40" s="292"/>
      <c r="AC40" s="292"/>
      <c r="AD40" s="292"/>
      <c r="AE40" s="292"/>
      <c r="AF40" s="292"/>
      <c r="AH40" s="292"/>
      <c r="AI40" s="292"/>
      <c r="AJ40" s="292"/>
      <c r="AK40" s="292"/>
      <c r="AL40" s="292"/>
      <c r="AM40" s="292"/>
      <c r="AN40" s="292"/>
      <c r="AO40" s="292"/>
      <c r="AP40" s="292"/>
      <c r="AQ40" s="292"/>
      <c r="AR40" s="292"/>
      <c r="AS40" s="292"/>
      <c r="AT40" s="292"/>
      <c r="AU40" s="292"/>
      <c r="AV40" s="292"/>
    </row>
    <row r="41" spans="8:48" x14ac:dyDescent="0.3">
      <c r="H41" s="291"/>
      <c r="Q41" s="292"/>
      <c r="R41" s="292"/>
      <c r="S41" s="292"/>
      <c r="T41" s="292"/>
      <c r="U41" s="292"/>
      <c r="V41" s="292"/>
      <c r="W41" s="292"/>
      <c r="X41" s="292"/>
      <c r="Y41" s="292"/>
      <c r="Z41" s="292"/>
      <c r="AA41" s="292"/>
      <c r="AB41" s="292"/>
      <c r="AC41" s="292"/>
      <c r="AD41" s="292"/>
      <c r="AE41" s="292"/>
      <c r="AF41" s="292"/>
      <c r="AH41" s="292"/>
      <c r="AI41" s="292"/>
      <c r="AJ41" s="292"/>
      <c r="AK41" s="292"/>
      <c r="AL41" s="292"/>
      <c r="AM41" s="292"/>
      <c r="AN41" s="292"/>
      <c r="AO41" s="292"/>
      <c r="AP41" s="292"/>
      <c r="AQ41" s="292"/>
      <c r="AR41" s="292"/>
      <c r="AS41" s="292"/>
      <c r="AT41" s="292"/>
      <c r="AU41" s="292"/>
      <c r="AV41" s="292"/>
    </row>
    <row r="42" spans="8:48" x14ac:dyDescent="0.3">
      <c r="H42" s="291"/>
      <c r="Q42" s="292"/>
      <c r="R42" s="292"/>
      <c r="S42" s="292"/>
      <c r="T42" s="292"/>
      <c r="U42" s="292"/>
      <c r="V42" s="292"/>
      <c r="W42" s="292"/>
      <c r="X42" s="292"/>
      <c r="Y42" s="292"/>
      <c r="Z42" s="292"/>
      <c r="AA42" s="292"/>
      <c r="AB42" s="292"/>
      <c r="AC42" s="292"/>
      <c r="AD42" s="292"/>
      <c r="AE42" s="292"/>
      <c r="AF42" s="292"/>
      <c r="AH42" s="292"/>
      <c r="AI42" s="292"/>
      <c r="AJ42" s="292"/>
      <c r="AK42" s="292"/>
      <c r="AL42" s="292"/>
      <c r="AM42" s="292"/>
      <c r="AN42" s="292"/>
      <c r="AO42" s="292"/>
      <c r="AP42" s="292"/>
      <c r="AQ42" s="292"/>
      <c r="AR42" s="292"/>
      <c r="AS42" s="292"/>
      <c r="AT42" s="292"/>
      <c r="AU42" s="292"/>
      <c r="AV42" s="292"/>
    </row>
    <row r="43" spans="8:48" x14ac:dyDescent="0.3">
      <c r="H43" s="291"/>
      <c r="Q43" s="292"/>
      <c r="R43" s="292"/>
      <c r="S43" s="292"/>
      <c r="T43" s="292"/>
      <c r="U43" s="292"/>
      <c r="V43" s="292"/>
      <c r="W43" s="292"/>
      <c r="X43" s="292"/>
      <c r="Y43" s="292"/>
      <c r="Z43" s="292"/>
      <c r="AA43" s="292"/>
      <c r="AB43" s="292"/>
      <c r="AC43" s="292"/>
      <c r="AD43" s="292"/>
      <c r="AE43" s="292"/>
      <c r="AF43" s="292"/>
      <c r="AH43" s="292"/>
      <c r="AI43" s="292"/>
      <c r="AJ43" s="292"/>
      <c r="AK43" s="292"/>
      <c r="AL43" s="292"/>
      <c r="AM43" s="292"/>
      <c r="AN43" s="292"/>
      <c r="AO43" s="292"/>
      <c r="AP43" s="292"/>
      <c r="AQ43" s="292"/>
      <c r="AR43" s="292"/>
      <c r="AS43" s="292"/>
      <c r="AT43" s="292"/>
      <c r="AU43" s="292"/>
      <c r="AV43" s="292"/>
    </row>
    <row r="44" spans="8:48" x14ac:dyDescent="0.3">
      <c r="H44" s="291"/>
    </row>
    <row r="45" spans="8:48" x14ac:dyDescent="0.3">
      <c r="H45" s="291"/>
    </row>
    <row r="46" spans="8:48" x14ac:dyDescent="0.3">
      <c r="H46" s="291"/>
    </row>
    <row r="47" spans="8:48" x14ac:dyDescent="0.3">
      <c r="H47" s="291"/>
    </row>
    <row r="48" spans="8:48" x14ac:dyDescent="0.3">
      <c r="H48" s="291"/>
    </row>
    <row r="49" spans="8:8" x14ac:dyDescent="0.3">
      <c r="H49" s="291"/>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horizontalDpi="0" verticalDpi="0"/>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L38"/>
  <sheetViews>
    <sheetView workbookViewId="0"/>
  </sheetViews>
  <sheetFormatPr defaultColWidth="9" defaultRowHeight="16.5" x14ac:dyDescent="0.3"/>
  <cols>
    <col min="1" max="1" width="21.140625" style="239" customWidth="1"/>
    <col min="2" max="2" width="8.140625" style="239" customWidth="1"/>
    <col min="3" max="5" width="6.140625" style="239" customWidth="1"/>
    <col min="6" max="6" width="7.85546875" style="239" customWidth="1"/>
    <col min="7" max="7" width="9.85546875" style="239" customWidth="1"/>
    <col min="8" max="8" width="6.42578125" style="239" customWidth="1"/>
    <col min="9" max="9" width="9.85546875" style="239" customWidth="1"/>
    <col min="10" max="11" width="11" style="239" customWidth="1"/>
    <col min="12" max="12" width="10.5703125" style="245" customWidth="1"/>
    <col min="13" max="16" width="10" style="239" customWidth="1"/>
    <col min="17" max="17" width="10.5703125" style="245" customWidth="1"/>
    <col min="18" max="18" width="9.42578125" style="278" customWidth="1"/>
    <col min="19" max="19" width="8.85546875" style="245" customWidth="1"/>
    <col min="20" max="20" width="7.85546875" style="245" customWidth="1"/>
    <col min="21" max="25" width="7.85546875" style="245" hidden="1" customWidth="1"/>
    <col min="26" max="30" width="7.85546875" style="245" customWidth="1"/>
    <col min="31" max="31" width="10.42578125" style="278" customWidth="1"/>
    <col min="32" max="38" width="8.5703125" style="278" customWidth="1"/>
    <col min="39" max="16384" width="9" style="239"/>
  </cols>
  <sheetData>
    <row r="1" spans="1:38" ht="67.349999999999994" customHeight="1" x14ac:dyDescent="0.3">
      <c r="A1" s="561"/>
      <c r="B1" s="1003" t="s">
        <v>704</v>
      </c>
      <c r="C1" s="1004"/>
      <c r="D1" s="1004"/>
      <c r="E1" s="1004"/>
      <c r="F1" s="1004"/>
      <c r="G1" s="1005"/>
      <c r="H1" s="682"/>
      <c r="I1" s="682"/>
      <c r="J1" s="682"/>
      <c r="K1" s="682"/>
      <c r="L1" s="1006"/>
      <c r="M1" s="1006"/>
      <c r="N1" s="1006"/>
      <c r="O1" s="1006"/>
      <c r="P1" s="1006"/>
      <c r="Q1" s="1006"/>
      <c r="R1" s="1006"/>
      <c r="S1" s="1007"/>
      <c r="T1" s="996" t="s">
        <v>705</v>
      </c>
      <c r="U1" s="1008" t="s">
        <v>706</v>
      </c>
      <c r="V1" s="1008"/>
      <c r="W1" s="1008"/>
      <c r="X1" s="1008"/>
      <c r="Y1" s="996" t="s">
        <v>707</v>
      </c>
      <c r="Z1" s="996" t="s">
        <v>708</v>
      </c>
      <c r="AA1" s="1009" t="s">
        <v>709</v>
      </c>
      <c r="AB1" s="1010"/>
      <c r="AC1" s="1009" t="s">
        <v>710</v>
      </c>
      <c r="AD1" s="1010"/>
      <c r="AE1" s="993" t="s">
        <v>711</v>
      </c>
      <c r="AF1" s="994"/>
      <c r="AG1" s="994"/>
      <c r="AH1" s="995"/>
      <c r="AI1" s="993" t="s">
        <v>655</v>
      </c>
      <c r="AJ1" s="994"/>
      <c r="AK1" s="994"/>
      <c r="AL1" s="995"/>
    </row>
    <row r="2" spans="1:38" s="314" customFormat="1" ht="73.349999999999994" customHeight="1" thickBot="1" x14ac:dyDescent="0.35">
      <c r="A2" s="562" t="s">
        <v>712</v>
      </c>
      <c r="B2" s="650" t="s">
        <v>713</v>
      </c>
      <c r="C2" s="651" t="s">
        <v>714</v>
      </c>
      <c r="D2" s="651" t="s">
        <v>715</v>
      </c>
      <c r="E2" s="651" t="s">
        <v>716</v>
      </c>
      <c r="F2" s="652" t="s">
        <v>717</v>
      </c>
      <c r="G2" s="653" t="s">
        <v>718</v>
      </c>
      <c r="H2" s="652" t="s">
        <v>719</v>
      </c>
      <c r="I2" s="652" t="s">
        <v>720</v>
      </c>
      <c r="J2" s="652" t="s">
        <v>721</v>
      </c>
      <c r="K2" s="652" t="s">
        <v>722</v>
      </c>
      <c r="L2" s="654" t="s">
        <v>723</v>
      </c>
      <c r="M2" s="655" t="s">
        <v>724</v>
      </c>
      <c r="N2" s="654" t="s">
        <v>725</v>
      </c>
      <c r="O2" s="654" t="s">
        <v>726</v>
      </c>
      <c r="P2" s="655" t="s">
        <v>727</v>
      </c>
      <c r="Q2" s="654" t="s">
        <v>728</v>
      </c>
      <c r="R2" s="565" t="s">
        <v>729</v>
      </c>
      <c r="S2" s="564" t="s">
        <v>730</v>
      </c>
      <c r="T2" s="996"/>
      <c r="U2" s="563" t="s">
        <v>731</v>
      </c>
      <c r="V2" s="565" t="s">
        <v>732</v>
      </c>
      <c r="W2" s="564" t="s">
        <v>733</v>
      </c>
      <c r="X2" s="564" t="s">
        <v>734</v>
      </c>
      <c r="Y2" s="996"/>
      <c r="Z2" s="996"/>
      <c r="AA2" s="566" t="s">
        <v>735</v>
      </c>
      <c r="AB2" s="566" t="s">
        <v>736</v>
      </c>
      <c r="AC2" s="566" t="s">
        <v>737</v>
      </c>
      <c r="AD2" s="566" t="s">
        <v>736</v>
      </c>
      <c r="AE2" s="567" t="s">
        <v>657</v>
      </c>
      <c r="AF2" s="567" t="s">
        <v>658</v>
      </c>
      <c r="AG2" s="567" t="s">
        <v>659</v>
      </c>
      <c r="AH2" s="567" t="s">
        <v>660</v>
      </c>
      <c r="AI2" s="567" t="s">
        <v>661</v>
      </c>
      <c r="AJ2" s="567" t="s">
        <v>662</v>
      </c>
      <c r="AK2" s="567" t="s">
        <v>663</v>
      </c>
      <c r="AL2" s="567" t="s">
        <v>664</v>
      </c>
    </row>
    <row r="3" spans="1:38" x14ac:dyDescent="0.3">
      <c r="A3" s="341" t="s">
        <v>738</v>
      </c>
      <c r="B3" s="318">
        <v>10</v>
      </c>
      <c r="C3" s="319">
        <v>14</v>
      </c>
      <c r="D3" s="319">
        <v>164</v>
      </c>
      <c r="E3" s="319">
        <v>4</v>
      </c>
      <c r="F3" s="588">
        <f>+D3*E3</f>
        <v>656</v>
      </c>
      <c r="G3" s="320">
        <f>(60/B3)*C3*F3</f>
        <v>55104</v>
      </c>
      <c r="H3" s="570">
        <f>10.86+8.6</f>
        <v>19.46</v>
      </c>
      <c r="I3" s="269">
        <f>+G3*H3</f>
        <v>1072323.8400000001</v>
      </c>
      <c r="J3" s="656">
        <f>2145+1895</f>
        <v>4040</v>
      </c>
      <c r="K3" s="657">
        <f>228+1895</f>
        <v>2123</v>
      </c>
      <c r="L3" s="245">
        <f>+J3*1000000/I3</f>
        <v>3767.5185884144848</v>
      </c>
      <c r="M3" s="245">
        <f>+K3*1000000/I3</f>
        <v>1979.8123671296908</v>
      </c>
      <c r="N3" s="321">
        <v>0.2</v>
      </c>
      <c r="O3" s="245">
        <f>+M3*N3</f>
        <v>395.96247342593819</v>
      </c>
      <c r="P3" s="321">
        <v>0.26</v>
      </c>
      <c r="Q3" s="245">
        <f>+O3*P3</f>
        <v>102.95024309074392</v>
      </c>
      <c r="R3" s="1011"/>
      <c r="S3" s="1011"/>
      <c r="T3" s="245">
        <f>+L3-S3</f>
        <v>3767.5185884144848</v>
      </c>
      <c r="U3" s="243"/>
      <c r="V3" s="244"/>
      <c r="X3" s="246"/>
      <c r="Y3" s="302"/>
      <c r="Z3" s="302">
        <f>+T3+Y3</f>
        <v>3767.5185884144848</v>
      </c>
      <c r="AA3" s="322"/>
      <c r="AB3" s="322"/>
      <c r="AC3" s="322"/>
      <c r="AD3" s="322"/>
      <c r="AE3" s="323"/>
      <c r="AF3" s="323"/>
      <c r="AG3" s="323"/>
      <c r="AH3" s="323"/>
      <c r="AI3" s="323"/>
      <c r="AJ3" s="323"/>
      <c r="AK3" s="323"/>
      <c r="AL3" s="324"/>
    </row>
    <row r="4" spans="1:38" ht="15" customHeight="1" x14ac:dyDescent="0.3">
      <c r="A4" s="341" t="s">
        <v>739</v>
      </c>
      <c r="B4" s="318">
        <v>10</v>
      </c>
      <c r="C4" s="319">
        <v>14</v>
      </c>
      <c r="D4" s="319">
        <v>164</v>
      </c>
      <c r="E4" s="319">
        <v>2</v>
      </c>
      <c r="F4" s="588">
        <f>+D4*E4</f>
        <v>328</v>
      </c>
      <c r="G4" s="320">
        <f>(60/B4)*C4*F4</f>
        <v>27552</v>
      </c>
      <c r="H4" s="570">
        <v>11.24</v>
      </c>
      <c r="I4" s="269">
        <f t="shared" ref="I4:I6" si="0">+G4*H4</f>
        <v>309684.47999999998</v>
      </c>
      <c r="J4" s="656">
        <v>897</v>
      </c>
      <c r="K4" s="657">
        <v>54</v>
      </c>
      <c r="L4" s="245">
        <f t="shared" ref="L4:L5" si="1">+J4*1000000/I4</f>
        <v>2896.4964598807151</v>
      </c>
      <c r="M4" s="245">
        <f t="shared" ref="M4:M5" si="2">+K4*1000000/I4</f>
        <v>174.37102434064505</v>
      </c>
      <c r="N4" s="321">
        <v>0.2</v>
      </c>
      <c r="O4" s="245">
        <f t="shared" ref="O4:O7" si="3">+M4*N4</f>
        <v>34.874204868129013</v>
      </c>
      <c r="P4" s="321">
        <v>0.13</v>
      </c>
      <c r="Q4" s="245">
        <f t="shared" ref="Q4:Q7" si="4">+O4*P4</f>
        <v>4.5336466328567715</v>
      </c>
      <c r="R4" s="1012"/>
      <c r="S4" s="1012"/>
      <c r="T4" s="245">
        <f>+L4-S4</f>
        <v>2896.4964598807151</v>
      </c>
      <c r="U4" s="243"/>
      <c r="V4" s="244"/>
      <c r="X4" s="246"/>
      <c r="Y4" s="302"/>
      <c r="Z4" s="302">
        <f>+T4+Y4</f>
        <v>2896.4964598807151</v>
      </c>
      <c r="AA4" s="322"/>
      <c r="AB4" s="322"/>
      <c r="AC4" s="322"/>
      <c r="AD4" s="322"/>
      <c r="AE4" s="323"/>
      <c r="AF4" s="323"/>
      <c r="AG4" s="323"/>
      <c r="AH4" s="323"/>
      <c r="AI4" s="323"/>
      <c r="AJ4" s="323"/>
      <c r="AK4" s="323"/>
      <c r="AL4" s="324"/>
    </row>
    <row r="5" spans="1:38" ht="15" customHeight="1" x14ac:dyDescent="0.3">
      <c r="A5" s="341" t="s">
        <v>740</v>
      </c>
      <c r="B5" s="318">
        <v>10</v>
      </c>
      <c r="C5" s="319">
        <v>14</v>
      </c>
      <c r="D5" s="319">
        <v>100</v>
      </c>
      <c r="E5" s="319">
        <v>1</v>
      </c>
      <c r="F5" s="588">
        <f>+D5*E5</f>
        <v>100</v>
      </c>
      <c r="G5" s="320">
        <f>(60/B5)*C5*F5</f>
        <v>8400</v>
      </c>
      <c r="H5" s="570">
        <f>19.37+9.87+14</f>
        <v>43.24</v>
      </c>
      <c r="I5" s="269">
        <f t="shared" si="0"/>
        <v>363216</v>
      </c>
      <c r="J5" s="656">
        <f>300+312+621</f>
        <v>1233</v>
      </c>
      <c r="K5" s="657">
        <f>300+312+197</f>
        <v>809</v>
      </c>
      <c r="L5" s="245">
        <f t="shared" si="1"/>
        <v>3394.6742434253997</v>
      </c>
      <c r="M5" s="245">
        <f t="shared" si="2"/>
        <v>2227.3247874542972</v>
      </c>
      <c r="N5" s="321">
        <v>0.51</v>
      </c>
      <c r="O5" s="245">
        <f t="shared" si="3"/>
        <v>1135.9356416016915</v>
      </c>
      <c r="P5" s="321">
        <v>0.57999999999999996</v>
      </c>
      <c r="Q5" s="245">
        <f t="shared" si="4"/>
        <v>658.84267212898101</v>
      </c>
      <c r="R5" s="1012"/>
      <c r="S5" s="1012"/>
      <c r="T5" s="245">
        <f>+L5-S5</f>
        <v>3394.6742434253997</v>
      </c>
      <c r="U5" s="243"/>
      <c r="V5" s="244"/>
      <c r="X5" s="246"/>
      <c r="Y5" s="302"/>
      <c r="Z5" s="302">
        <f>+T5+Y5</f>
        <v>3394.6742434253997</v>
      </c>
      <c r="AA5" s="322"/>
      <c r="AB5" s="322"/>
      <c r="AC5" s="322"/>
      <c r="AD5" s="322"/>
      <c r="AE5" s="323"/>
      <c r="AF5" s="323"/>
      <c r="AG5" s="323"/>
      <c r="AH5" s="323"/>
      <c r="AI5" s="323"/>
      <c r="AJ5" s="323"/>
      <c r="AK5" s="323"/>
      <c r="AL5" s="324"/>
    </row>
    <row r="6" spans="1:38" ht="15" customHeight="1" x14ac:dyDescent="0.3">
      <c r="A6" s="341" t="s">
        <v>741</v>
      </c>
      <c r="B6" s="318">
        <v>15</v>
      </c>
      <c r="C6" s="319">
        <v>4</v>
      </c>
      <c r="D6" s="319">
        <v>59</v>
      </c>
      <c r="E6" s="319">
        <v>1</v>
      </c>
      <c r="F6" s="588">
        <f>+D6*E6</f>
        <v>59</v>
      </c>
      <c r="G6" s="320">
        <f>(60/B6)*C6*F6</f>
        <v>944</v>
      </c>
      <c r="H6" s="570">
        <v>103.9</v>
      </c>
      <c r="I6" s="269">
        <f t="shared" si="0"/>
        <v>98081.600000000006</v>
      </c>
      <c r="J6" s="656">
        <v>62.3</v>
      </c>
      <c r="K6" s="657">
        <v>62.3</v>
      </c>
      <c r="L6" s="245">
        <f t="shared" ref="L6" si="5">+J6*1000000/I6</f>
        <v>635.18539664932052</v>
      </c>
      <c r="M6" s="245">
        <f t="shared" ref="M6" si="6">+K6*1000000/I6</f>
        <v>635.18539664932052</v>
      </c>
      <c r="N6" s="321">
        <v>0.25</v>
      </c>
      <c r="O6" s="245">
        <f t="shared" si="3"/>
        <v>158.79634916233013</v>
      </c>
      <c r="P6" s="321">
        <v>1</v>
      </c>
      <c r="Q6" s="245">
        <f t="shared" si="4"/>
        <v>158.79634916233013</v>
      </c>
      <c r="R6" s="1012"/>
      <c r="S6" s="1012"/>
      <c r="T6" s="245">
        <f>+L6-S6</f>
        <v>635.18539664932052</v>
      </c>
      <c r="U6" s="243"/>
      <c r="V6" s="244"/>
      <c r="X6" s="246"/>
      <c r="Y6" s="302"/>
      <c r="Z6" s="302">
        <f>+T6+Y6</f>
        <v>635.18539664932052</v>
      </c>
      <c r="AA6" s="322"/>
      <c r="AB6" s="322"/>
      <c r="AC6" s="322"/>
      <c r="AD6" s="322"/>
      <c r="AE6" s="323"/>
      <c r="AF6" s="323"/>
      <c r="AG6" s="323"/>
      <c r="AH6" s="323"/>
      <c r="AI6" s="323"/>
      <c r="AJ6" s="323"/>
      <c r="AK6" s="323"/>
      <c r="AL6" s="324"/>
    </row>
    <row r="7" spans="1:38" ht="15" customHeight="1" x14ac:dyDescent="0.3">
      <c r="A7" s="341" t="s">
        <v>742</v>
      </c>
      <c r="B7" s="318">
        <v>30</v>
      </c>
      <c r="C7" s="319">
        <v>10</v>
      </c>
      <c r="D7" s="319">
        <v>40</v>
      </c>
      <c r="E7" s="319">
        <v>1</v>
      </c>
      <c r="F7" s="588">
        <f>+D7*E7</f>
        <v>40</v>
      </c>
      <c r="G7" s="320">
        <f>(60/B7)*C7*F7</f>
        <v>800</v>
      </c>
      <c r="H7" s="569">
        <v>2617</v>
      </c>
      <c r="I7" s="269">
        <f>+G7*H7</f>
        <v>2093600</v>
      </c>
      <c r="J7" s="656">
        <v>677.7</v>
      </c>
      <c r="K7" s="657">
        <v>677.7</v>
      </c>
      <c r="L7" s="245">
        <f t="shared" ref="L7" si="7">+J7*1000000/I7</f>
        <v>323.70080244554833</v>
      </c>
      <c r="M7" s="245">
        <f t="shared" ref="M7" si="8">+K7*1000000/I7</f>
        <v>323.70080244554833</v>
      </c>
      <c r="N7" s="321">
        <v>0.32</v>
      </c>
      <c r="O7" s="245">
        <f t="shared" si="3"/>
        <v>103.58425678257547</v>
      </c>
      <c r="P7" s="321">
        <v>1</v>
      </c>
      <c r="Q7" s="245">
        <f t="shared" si="4"/>
        <v>103.58425678257547</v>
      </c>
      <c r="R7" s="1013"/>
      <c r="S7" s="1013"/>
      <c r="T7" s="245">
        <f>+L7-S7</f>
        <v>323.70080244554833</v>
      </c>
      <c r="U7" s="243"/>
      <c r="V7" s="244"/>
      <c r="X7" s="246"/>
      <c r="Y7" s="302"/>
      <c r="Z7" s="302">
        <f>+T7+Y7</f>
        <v>323.70080244554833</v>
      </c>
      <c r="AA7" s="322"/>
      <c r="AB7" s="322"/>
      <c r="AC7" s="322"/>
      <c r="AD7" s="322"/>
      <c r="AE7" s="323"/>
      <c r="AF7" s="323"/>
      <c r="AG7" s="323"/>
      <c r="AH7" s="323"/>
      <c r="AI7" s="323"/>
      <c r="AJ7" s="323"/>
      <c r="AK7" s="323"/>
      <c r="AL7" s="324"/>
    </row>
    <row r="8" spans="1:38" x14ac:dyDescent="0.3">
      <c r="A8" s="342" t="s">
        <v>743</v>
      </c>
      <c r="B8" s="325"/>
      <c r="C8" s="326"/>
      <c r="D8" s="326"/>
      <c r="E8" s="326"/>
      <c r="F8" s="326"/>
      <c r="G8" s="327"/>
      <c r="H8" s="326"/>
      <c r="I8" s="326"/>
      <c r="J8" s="326"/>
      <c r="K8" s="326"/>
      <c r="L8" s="329"/>
      <c r="M8" s="326"/>
      <c r="N8" s="329"/>
      <c r="O8" s="329"/>
      <c r="P8" s="326"/>
      <c r="Q8" s="329"/>
      <c r="R8" s="330"/>
      <c r="S8" s="329"/>
      <c r="T8" s="331"/>
      <c r="U8" s="328"/>
      <c r="V8" s="330"/>
      <c r="W8" s="329"/>
      <c r="X8" s="332"/>
      <c r="Y8" s="331"/>
      <c r="Z8" s="328"/>
      <c r="AA8" s="333"/>
      <c r="AB8" s="333"/>
      <c r="AC8" s="333"/>
      <c r="AD8" s="333"/>
      <c r="AE8" s="333"/>
      <c r="AF8" s="333"/>
      <c r="AG8" s="333"/>
      <c r="AH8" s="333"/>
      <c r="AI8" s="333"/>
      <c r="AJ8" s="333"/>
      <c r="AK8" s="333"/>
      <c r="AL8" s="334"/>
    </row>
    <row r="9" spans="1:38" ht="15" customHeight="1" x14ac:dyDescent="0.3">
      <c r="A9" s="341" t="s">
        <v>744</v>
      </c>
      <c r="B9" s="997"/>
      <c r="C9" s="998"/>
      <c r="D9" s="998"/>
      <c r="E9" s="998"/>
      <c r="F9" s="998"/>
      <c r="G9" s="269">
        <f>+G3+G4+G5</f>
        <v>91056</v>
      </c>
      <c r="H9" s="998"/>
      <c r="I9" s="998"/>
      <c r="J9" s="998"/>
      <c r="K9" s="998"/>
      <c r="L9" s="998"/>
      <c r="M9" s="998"/>
      <c r="N9" s="998"/>
      <c r="O9" s="998"/>
      <c r="P9" s="998"/>
      <c r="Q9" s="245">
        <f>+Q3+Q4+Q5</f>
        <v>766.32656185258168</v>
      </c>
      <c r="R9" s="335">
        <v>0.28000000000000003</v>
      </c>
      <c r="S9" s="245">
        <f>+Q9*R9</f>
        <v>214.5714373187229</v>
      </c>
      <c r="T9" s="302">
        <f>+Q9-S9</f>
        <v>551.75512453385875</v>
      </c>
      <c r="U9" s="243"/>
      <c r="V9" s="244"/>
      <c r="X9" s="246"/>
      <c r="Y9" s="302"/>
      <c r="Z9" s="302">
        <f>+T9+Y9</f>
        <v>551.75512453385875</v>
      </c>
      <c r="AA9" s="323">
        <v>0.69</v>
      </c>
      <c r="AB9" s="302">
        <f>+Z9*AA9</f>
        <v>380.71103592836249</v>
      </c>
      <c r="AC9" s="323">
        <v>0.15</v>
      </c>
      <c r="AD9" s="302">
        <f>+Z9*AC9</f>
        <v>82.763268680078809</v>
      </c>
      <c r="AE9" s="323"/>
      <c r="AF9" s="323"/>
      <c r="AG9" s="323"/>
      <c r="AH9" s="323"/>
      <c r="AI9" s="323"/>
      <c r="AJ9" s="323"/>
      <c r="AK9" s="323"/>
      <c r="AL9" s="324"/>
    </row>
    <row r="10" spans="1:38" ht="15" customHeight="1" x14ac:dyDescent="0.3">
      <c r="A10" s="341" t="s">
        <v>741</v>
      </c>
      <c r="B10" s="999"/>
      <c r="C10" s="1000"/>
      <c r="D10" s="1000"/>
      <c r="E10" s="1000"/>
      <c r="F10" s="1000"/>
      <c r="G10" s="320">
        <f>+G6</f>
        <v>944</v>
      </c>
      <c r="H10" s="1000"/>
      <c r="I10" s="1000"/>
      <c r="J10" s="1000"/>
      <c r="K10" s="1000"/>
      <c r="L10" s="1000"/>
      <c r="M10" s="1000"/>
      <c r="N10" s="1000"/>
      <c r="O10" s="1000"/>
      <c r="P10" s="1000"/>
      <c r="Q10" s="245">
        <f>+Q6</f>
        <v>158.79634916233013</v>
      </c>
      <c r="R10" s="335">
        <v>0.28000000000000003</v>
      </c>
      <c r="S10" s="245">
        <f>+Q10*R10</f>
        <v>44.462977765452443</v>
      </c>
      <c r="T10" s="302">
        <f>+Q10-S10</f>
        <v>114.33337139687768</v>
      </c>
      <c r="U10" s="243"/>
      <c r="V10" s="244"/>
      <c r="X10" s="246"/>
      <c r="Y10" s="302"/>
      <c r="Z10" s="302">
        <f>+T10+Y10</f>
        <v>114.33337139687768</v>
      </c>
      <c r="AA10" s="323">
        <v>0.04</v>
      </c>
      <c r="AB10" s="302">
        <f>+Z10*AA10</f>
        <v>4.5733348558751077</v>
      </c>
      <c r="AC10" s="323">
        <v>0.21</v>
      </c>
      <c r="AD10" s="302">
        <f>+Z10*AC10</f>
        <v>24.010007993344313</v>
      </c>
      <c r="AE10" s="323"/>
      <c r="AF10" s="323"/>
      <c r="AG10" s="323"/>
      <c r="AH10" s="323"/>
      <c r="AI10" s="323"/>
      <c r="AJ10" s="323"/>
      <c r="AK10" s="323"/>
      <c r="AL10" s="324"/>
    </row>
    <row r="11" spans="1:38" s="314" customFormat="1" ht="16.350000000000001" customHeight="1" thickBot="1" x14ac:dyDescent="0.35">
      <c r="A11" s="344" t="s">
        <v>745</v>
      </c>
      <c r="B11" s="1001"/>
      <c r="C11" s="1002"/>
      <c r="D11" s="1002"/>
      <c r="E11" s="1002"/>
      <c r="F11" s="1002"/>
      <c r="G11" s="347">
        <f>+G7</f>
        <v>800</v>
      </c>
      <c r="H11" s="1002"/>
      <c r="I11" s="1002"/>
      <c r="J11" s="1002"/>
      <c r="K11" s="1002"/>
      <c r="L11" s="1002"/>
      <c r="M11" s="1002"/>
      <c r="N11" s="1002"/>
      <c r="O11" s="1002"/>
      <c r="P11" s="1002"/>
      <c r="Q11" s="349">
        <f>+Q7</f>
        <v>103.58425678257547</v>
      </c>
      <c r="R11" s="355">
        <v>0.28000000000000003</v>
      </c>
      <c r="S11" s="349">
        <f>+Q11*R11</f>
        <v>29.003591899121133</v>
      </c>
      <c r="T11" s="351">
        <f>+Q11-S11</f>
        <v>74.580664883454332</v>
      </c>
      <c r="U11" s="348"/>
      <c r="V11" s="350"/>
      <c r="W11" s="349"/>
      <c r="X11" s="352"/>
      <c r="Y11" s="351"/>
      <c r="Z11" s="351">
        <f>+T11+Y11</f>
        <v>74.580664883454332</v>
      </c>
      <c r="AA11" s="356">
        <v>0.27</v>
      </c>
      <c r="AB11" s="351">
        <f>+Z11*AA11</f>
        <v>20.13677951853267</v>
      </c>
      <c r="AC11" s="356">
        <v>0.64</v>
      </c>
      <c r="AD11" s="351">
        <f>+Z11*AC11</f>
        <v>47.731625525410777</v>
      </c>
      <c r="AE11" s="356"/>
      <c r="AF11" s="356"/>
      <c r="AG11" s="356"/>
      <c r="AH11" s="356"/>
      <c r="AI11" s="356"/>
      <c r="AJ11" s="356"/>
      <c r="AK11" s="356"/>
      <c r="AL11" s="357"/>
    </row>
    <row r="12" spans="1:38" s="314" customFormat="1" ht="17.25" thickBot="1" x14ac:dyDescent="0.35">
      <c r="A12" s="344"/>
      <c r="B12" s="345"/>
      <c r="C12" s="346"/>
      <c r="D12" s="346"/>
      <c r="E12" s="346"/>
      <c r="F12" s="346"/>
      <c r="G12" s="347"/>
      <c r="H12" s="346"/>
      <c r="I12" s="346"/>
      <c r="J12" s="346"/>
      <c r="K12" s="346"/>
      <c r="L12" s="349"/>
      <c r="M12" s="346"/>
      <c r="N12" s="346"/>
      <c r="O12" s="346"/>
      <c r="P12" s="346"/>
      <c r="Q12" s="349"/>
      <c r="R12" s="350"/>
      <c r="S12" s="349"/>
      <c r="T12" s="351"/>
      <c r="U12" s="348"/>
      <c r="V12" s="350"/>
      <c r="W12" s="349"/>
      <c r="X12" s="352"/>
      <c r="Y12" s="351"/>
      <c r="Z12" s="348"/>
      <c r="AA12" s="353"/>
      <c r="AB12" s="353"/>
      <c r="AC12" s="353"/>
      <c r="AD12" s="353"/>
      <c r="AE12" s="353"/>
      <c r="AF12" s="353"/>
      <c r="AG12" s="353"/>
      <c r="AH12" s="353"/>
      <c r="AI12" s="353"/>
      <c r="AJ12" s="353"/>
      <c r="AK12" s="353"/>
      <c r="AL12" s="354"/>
    </row>
    <row r="13" spans="1:38" ht="17.25" thickBot="1" x14ac:dyDescent="0.35">
      <c r="G13" s="269"/>
      <c r="H13" s="269"/>
      <c r="I13" s="269"/>
      <c r="J13" s="269"/>
      <c r="K13" s="269"/>
      <c r="M13" s="269"/>
      <c r="N13" s="269"/>
      <c r="O13" s="269"/>
      <c r="P13" s="269"/>
      <c r="Z13" s="358" t="s">
        <v>100</v>
      </c>
      <c r="AA13" s="359">
        <f>SUM(AA3:AA12)</f>
        <v>1</v>
      </c>
      <c r="AB13" s="360">
        <f>SUM(AB9:AB11)</f>
        <v>405.42115030277023</v>
      </c>
      <c r="AC13" s="359">
        <f>SUM(AC3:AC12)</f>
        <v>1</v>
      </c>
      <c r="AD13" s="361">
        <f>SUM(AD9:AD11)</f>
        <v>154.50490219883392</v>
      </c>
      <c r="AE13" s="337">
        <f>SUM(AE3:AE12)</f>
        <v>0</v>
      </c>
      <c r="AF13" s="336">
        <f t="shared" ref="AF13:AL13" si="9">SUM(AF3:AF12)</f>
        <v>0</v>
      </c>
      <c r="AG13" s="336">
        <f t="shared" si="9"/>
        <v>0</v>
      </c>
      <c r="AH13" s="336">
        <f t="shared" si="9"/>
        <v>0</v>
      </c>
      <c r="AI13" s="336">
        <f t="shared" si="9"/>
        <v>0</v>
      </c>
      <c r="AJ13" s="336">
        <f t="shared" si="9"/>
        <v>0</v>
      </c>
      <c r="AK13" s="336">
        <f t="shared" si="9"/>
        <v>0</v>
      </c>
      <c r="AL13" s="337">
        <f t="shared" si="9"/>
        <v>0</v>
      </c>
    </row>
    <row r="14" spans="1:38" x14ac:dyDescent="0.3">
      <c r="G14" s="291"/>
      <c r="H14" s="291"/>
      <c r="I14" s="291"/>
      <c r="J14" s="291"/>
      <c r="K14" s="291"/>
      <c r="L14" s="291"/>
      <c r="M14" s="291"/>
      <c r="N14" s="291"/>
      <c r="O14" s="291"/>
      <c r="P14" s="291"/>
    </row>
    <row r="15" spans="1:38" x14ac:dyDescent="0.3">
      <c r="A15" s="288" t="s">
        <v>693</v>
      </c>
      <c r="G15" s="291"/>
      <c r="H15" s="291"/>
      <c r="I15" s="291"/>
      <c r="J15" s="291"/>
      <c r="K15" s="291"/>
      <c r="L15" s="291"/>
      <c r="M15" s="291"/>
      <c r="N15" s="291"/>
      <c r="O15" s="291"/>
      <c r="P15" s="291"/>
      <c r="U15" s="338"/>
      <c r="V15" s="278"/>
    </row>
    <row r="16" spans="1:38" x14ac:dyDescent="0.3">
      <c r="A16" s="343" t="s">
        <v>694</v>
      </c>
      <c r="G16" s="291"/>
      <c r="H16" s="291"/>
      <c r="I16" s="291"/>
      <c r="J16" s="291"/>
      <c r="K16" s="291"/>
      <c r="L16" s="291"/>
      <c r="M16" s="291"/>
      <c r="N16" s="291"/>
      <c r="O16" s="291"/>
      <c r="P16" s="291"/>
      <c r="R16" s="362"/>
      <c r="V16" s="339"/>
    </row>
    <row r="17" spans="1:38" x14ac:dyDescent="0.3">
      <c r="G17" s="245"/>
      <c r="H17" s="245"/>
      <c r="I17" s="245"/>
      <c r="J17" s="245"/>
      <c r="K17" s="245"/>
      <c r="V17" s="339"/>
    </row>
    <row r="18" spans="1:38" x14ac:dyDescent="0.3">
      <c r="A18" s="288" t="s">
        <v>746</v>
      </c>
      <c r="G18" s="245"/>
      <c r="H18" s="245"/>
      <c r="I18" s="245"/>
      <c r="J18" s="245"/>
      <c r="K18" s="245"/>
      <c r="V18" s="339"/>
      <c r="AE18" s="244"/>
      <c r="AF18" s="244"/>
      <c r="AG18" s="244"/>
      <c r="AH18" s="244"/>
      <c r="AI18" s="244"/>
      <c r="AJ18" s="244"/>
      <c r="AK18" s="244"/>
      <c r="AL18" s="244"/>
    </row>
    <row r="19" spans="1:38" x14ac:dyDescent="0.3">
      <c r="A19" s="239" t="s">
        <v>747</v>
      </c>
      <c r="G19" s="245"/>
      <c r="H19" s="245"/>
      <c r="I19" s="245"/>
      <c r="J19" s="245"/>
      <c r="K19" s="245"/>
      <c r="V19" s="339"/>
      <c r="AA19" s="244"/>
      <c r="AB19" s="244"/>
      <c r="AC19" s="244"/>
      <c r="AD19" s="244"/>
      <c r="AE19" s="244"/>
      <c r="AF19" s="244"/>
      <c r="AG19" s="244"/>
      <c r="AH19" s="244"/>
      <c r="AI19" s="244"/>
      <c r="AJ19" s="244"/>
      <c r="AK19" s="244"/>
      <c r="AL19" s="244"/>
    </row>
    <row r="20" spans="1:38" x14ac:dyDescent="0.3">
      <c r="G20" s="245"/>
      <c r="H20" s="245"/>
      <c r="I20" s="245"/>
      <c r="J20" s="245"/>
      <c r="K20" s="245"/>
      <c r="V20" s="339"/>
      <c r="AA20" s="244"/>
      <c r="AB20" s="244"/>
      <c r="AC20" s="244"/>
      <c r="AD20" s="244"/>
      <c r="AE20" s="244"/>
      <c r="AF20" s="244"/>
      <c r="AG20" s="244"/>
      <c r="AH20" s="244"/>
      <c r="AI20" s="244"/>
      <c r="AJ20" s="244"/>
      <c r="AK20" s="244"/>
      <c r="AL20" s="244"/>
    </row>
    <row r="21" spans="1:38" x14ac:dyDescent="0.3">
      <c r="A21" s="288" t="s">
        <v>697</v>
      </c>
      <c r="V21" s="339"/>
      <c r="AE21" s="244"/>
      <c r="AF21" s="244"/>
      <c r="AG21" s="244"/>
      <c r="AH21" s="244"/>
      <c r="AI21" s="244"/>
      <c r="AJ21" s="244"/>
      <c r="AK21" s="244"/>
      <c r="AL21" s="244"/>
    </row>
    <row r="22" spans="1:38" x14ac:dyDescent="0.3">
      <c r="A22" s="239" t="s">
        <v>748</v>
      </c>
      <c r="AG22" s="340"/>
    </row>
    <row r="23" spans="1:38" x14ac:dyDescent="0.3">
      <c r="A23" s="239" t="s">
        <v>749</v>
      </c>
    </row>
    <row r="24" spans="1:38" x14ac:dyDescent="0.3">
      <c r="A24" s="239" t="s">
        <v>750</v>
      </c>
    </row>
    <row r="25" spans="1:38" x14ac:dyDescent="0.3">
      <c r="AE25" s="245"/>
      <c r="AF25" s="245"/>
    </row>
    <row r="26" spans="1:38" x14ac:dyDescent="0.3">
      <c r="AE26" s="245"/>
      <c r="AF26" s="245"/>
    </row>
    <row r="27" spans="1:38" x14ac:dyDescent="0.3">
      <c r="AE27" s="245"/>
      <c r="AF27" s="245"/>
    </row>
    <row r="28" spans="1:38" x14ac:dyDescent="0.3">
      <c r="AE28" s="245"/>
      <c r="AF28" s="245"/>
    </row>
    <row r="29" spans="1:38" x14ac:dyDescent="0.3">
      <c r="AE29" s="245"/>
      <c r="AF29" s="245"/>
    </row>
    <row r="30" spans="1:38" x14ac:dyDescent="0.3">
      <c r="AE30" s="245"/>
      <c r="AF30" s="245"/>
    </row>
    <row r="31" spans="1:38" x14ac:dyDescent="0.3">
      <c r="AE31" s="245"/>
      <c r="AF31" s="245"/>
    </row>
    <row r="32" spans="1:38" x14ac:dyDescent="0.3">
      <c r="AE32" s="245"/>
      <c r="AF32" s="245"/>
    </row>
    <row r="33" spans="31:32" x14ac:dyDescent="0.3">
      <c r="AE33" s="245"/>
      <c r="AF33" s="245"/>
    </row>
    <row r="34" spans="31:32" x14ac:dyDescent="0.3">
      <c r="AE34" s="245"/>
      <c r="AF34" s="245"/>
    </row>
    <row r="35" spans="31:32" x14ac:dyDescent="0.3">
      <c r="AE35" s="245"/>
      <c r="AF35" s="245"/>
    </row>
    <row r="36" spans="31:32" x14ac:dyDescent="0.3">
      <c r="AE36" s="245"/>
      <c r="AF36" s="245"/>
    </row>
    <row r="37" spans="31:32" x14ac:dyDescent="0.3">
      <c r="AE37" s="245"/>
      <c r="AF37" s="245"/>
    </row>
    <row r="38" spans="31:32" x14ac:dyDescent="0.3">
      <c r="AE38" s="245"/>
      <c r="AF38" s="245"/>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workbookViewId="0"/>
  </sheetViews>
  <sheetFormatPr defaultColWidth="9" defaultRowHeight="15.75" x14ac:dyDescent="0.25"/>
  <cols>
    <col min="1" max="1" width="0.85546875" customWidth="1"/>
    <col min="2" max="2" width="24.85546875" customWidth="1"/>
    <col min="3" max="8" width="9" customWidth="1"/>
    <col min="9" max="9" width="7.5703125" customWidth="1"/>
    <col min="10" max="10" width="9" style="421" customWidth="1"/>
    <col min="11" max="11" width="10.140625" style="422" customWidth="1"/>
    <col min="12" max="12" width="8.85546875" style="2" customWidth="1"/>
    <col min="13" max="13" width="9" style="422" customWidth="1"/>
    <col min="14" max="18" width="10.5703125" style="422" hidden="1" customWidth="1"/>
    <col min="19" max="26" width="8.85546875" style="422" customWidth="1"/>
    <col min="27" max="27" width="9" customWidth="1"/>
  </cols>
  <sheetData>
    <row r="1" spans="1:875" s="408" customFormat="1" ht="47.1" customHeight="1" x14ac:dyDescent="0.3">
      <c r="A1"/>
      <c r="B1" s="434"/>
      <c r="C1" s="1020" t="s">
        <v>751</v>
      </c>
      <c r="D1" s="1021"/>
      <c r="E1" s="1022"/>
      <c r="F1" s="435"/>
      <c r="G1" s="1020" t="s">
        <v>752</v>
      </c>
      <c r="H1" s="1021"/>
      <c r="I1" s="1022"/>
      <c r="J1" s="1024" t="s">
        <v>753</v>
      </c>
      <c r="K1" s="1025"/>
      <c r="L1" s="1025"/>
      <c r="M1" s="1026"/>
      <c r="N1" s="1024" t="s">
        <v>754</v>
      </c>
      <c r="O1" s="1025"/>
      <c r="P1" s="1025"/>
      <c r="Q1" s="1026"/>
      <c r="R1" s="1027" t="s">
        <v>755</v>
      </c>
      <c r="S1" s="1018" t="s">
        <v>756</v>
      </c>
      <c r="T1" s="1019"/>
      <c r="U1" s="1019"/>
      <c r="V1" s="1019"/>
      <c r="W1" s="683"/>
      <c r="X1" s="1018" t="s">
        <v>757</v>
      </c>
      <c r="Y1" s="1019"/>
      <c r="Z1" s="1023"/>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row>
    <row r="2" spans="1:875" s="408" customFormat="1" ht="46.35" customHeight="1" x14ac:dyDescent="0.3">
      <c r="A2"/>
      <c r="B2" s="460" t="s">
        <v>758</v>
      </c>
      <c r="C2" s="409" t="s">
        <v>629</v>
      </c>
      <c r="D2" s="409" t="s">
        <v>630</v>
      </c>
      <c r="E2" s="409" t="s">
        <v>627</v>
      </c>
      <c r="F2" s="317" t="s">
        <v>759</v>
      </c>
      <c r="G2" s="409" t="s">
        <v>629</v>
      </c>
      <c r="H2" s="409" t="s">
        <v>630</v>
      </c>
      <c r="I2" s="409" t="s">
        <v>627</v>
      </c>
      <c r="J2" s="678" t="s">
        <v>760</v>
      </c>
      <c r="K2" s="241" t="s">
        <v>761</v>
      </c>
      <c r="L2" s="679" t="s">
        <v>733</v>
      </c>
      <c r="M2" s="679" t="s">
        <v>762</v>
      </c>
      <c r="N2" s="678" t="s">
        <v>731</v>
      </c>
      <c r="O2" s="241" t="s">
        <v>763</v>
      </c>
      <c r="P2" s="679" t="s">
        <v>733</v>
      </c>
      <c r="Q2" s="679" t="s">
        <v>762</v>
      </c>
      <c r="R2" s="1028"/>
      <c r="S2" s="410" t="s">
        <v>764</v>
      </c>
      <c r="T2" s="410" t="s">
        <v>765</v>
      </c>
      <c r="U2" s="410" t="s">
        <v>766</v>
      </c>
      <c r="V2" s="410" t="s">
        <v>767</v>
      </c>
      <c r="W2" s="410" t="s">
        <v>764</v>
      </c>
      <c r="X2" s="410" t="s">
        <v>765</v>
      </c>
      <c r="Y2" s="410" t="s">
        <v>767</v>
      </c>
      <c r="Z2" s="436" t="s">
        <v>767</v>
      </c>
      <c r="AA2"/>
      <c r="AB2" s="411"/>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row>
    <row r="3" spans="1:875" x14ac:dyDescent="0.25">
      <c r="B3" s="437" t="s">
        <v>768</v>
      </c>
      <c r="C3" s="412">
        <v>400</v>
      </c>
      <c r="D3" s="412">
        <v>600</v>
      </c>
      <c r="E3" s="412">
        <v>800</v>
      </c>
      <c r="F3" s="235">
        <v>0.1</v>
      </c>
      <c r="G3" s="413">
        <f>+C3/$F3</f>
        <v>4000</v>
      </c>
      <c r="H3" s="413">
        <f t="shared" ref="H3:I6" si="0">+D3/$F3</f>
        <v>6000</v>
      </c>
      <c r="I3" s="414">
        <f t="shared" si="0"/>
        <v>8000</v>
      </c>
      <c r="J3" s="428">
        <v>160</v>
      </c>
      <c r="K3" s="127">
        <v>0.45</v>
      </c>
      <c r="L3" s="415">
        <f>+J3*K3</f>
        <v>72</v>
      </c>
      <c r="M3" s="415">
        <f>+J3-L3</f>
        <v>88</v>
      </c>
      <c r="N3" s="415"/>
      <c r="O3" s="6"/>
      <c r="P3" s="415"/>
      <c r="Q3" s="415"/>
      <c r="R3" s="415">
        <f>+M3+Q3</f>
        <v>88</v>
      </c>
      <c r="S3" s="416" t="s">
        <v>629</v>
      </c>
      <c r="T3" s="414">
        <f>HLOOKUP(S3,G2:I6,2,TRUE)</f>
        <v>4000</v>
      </c>
      <c r="U3" s="433">
        <v>0.15</v>
      </c>
      <c r="V3" s="415">
        <f>+R3*1000/T3*U3</f>
        <v>3.3</v>
      </c>
      <c r="W3" s="416" t="s">
        <v>629</v>
      </c>
      <c r="X3" s="414">
        <f>HLOOKUP(W3,G2:I6,2,TRUE)</f>
        <v>4000</v>
      </c>
      <c r="Y3" s="127">
        <v>0.15</v>
      </c>
      <c r="Z3" s="438">
        <f>+M3*1000/X3*Y3</f>
        <v>3.3</v>
      </c>
    </row>
    <row r="4" spans="1:875" x14ac:dyDescent="0.25">
      <c r="B4" s="439" t="s">
        <v>769</v>
      </c>
      <c r="C4" s="412">
        <v>400</v>
      </c>
      <c r="D4" s="412">
        <v>600</v>
      </c>
      <c r="E4" s="412">
        <v>800</v>
      </c>
      <c r="F4" s="236">
        <v>0.1</v>
      </c>
      <c r="G4" s="418">
        <f>+C4/$F4</f>
        <v>4000</v>
      </c>
      <c r="H4" s="418">
        <f t="shared" si="0"/>
        <v>6000</v>
      </c>
      <c r="I4" s="417">
        <f t="shared" si="0"/>
        <v>8000</v>
      </c>
      <c r="J4" s="427">
        <v>375</v>
      </c>
      <c r="K4" s="127">
        <v>0.45</v>
      </c>
      <c r="L4" s="419">
        <f>+J4*K4</f>
        <v>168.75</v>
      </c>
      <c r="M4" s="419">
        <f>+J4-L4</f>
        <v>206.25</v>
      </c>
      <c r="N4" s="419"/>
      <c r="O4" s="5"/>
      <c r="P4" s="419"/>
      <c r="Q4" s="419"/>
      <c r="R4" s="419">
        <f>+M4+Q4</f>
        <v>206.25</v>
      </c>
      <c r="S4" s="420" t="s">
        <v>629</v>
      </c>
      <c r="T4" s="417">
        <f>HLOOKUP(S4,G2:I6,3,TRUE)</f>
        <v>4000</v>
      </c>
      <c r="U4" s="432">
        <v>0.35</v>
      </c>
      <c r="V4" s="419">
        <f>+R4*1000/T4*U4</f>
        <v>18.046875</v>
      </c>
      <c r="W4" s="420" t="s">
        <v>629</v>
      </c>
      <c r="X4" s="417">
        <f>HLOOKUP(W4,$G$2:$I$6,3,TRUE)</f>
        <v>4000</v>
      </c>
      <c r="Y4" s="128">
        <v>0.35</v>
      </c>
      <c r="Z4" s="440">
        <f>+M4*1000/X4*Y4</f>
        <v>18.046875</v>
      </c>
    </row>
    <row r="5" spans="1:875" x14ac:dyDescent="0.25">
      <c r="B5" s="439" t="s">
        <v>770</v>
      </c>
      <c r="C5" s="412">
        <v>170</v>
      </c>
      <c r="D5" s="412">
        <v>250</v>
      </c>
      <c r="E5" s="412">
        <v>375</v>
      </c>
      <c r="F5" s="236">
        <v>0.1</v>
      </c>
      <c r="G5" s="418">
        <f>+C5/$F5</f>
        <v>1700</v>
      </c>
      <c r="H5" s="418">
        <f t="shared" si="0"/>
        <v>2500</v>
      </c>
      <c r="I5" s="417">
        <f t="shared" si="0"/>
        <v>3750</v>
      </c>
      <c r="J5" s="427">
        <v>64</v>
      </c>
      <c r="K5" s="127">
        <v>0.45</v>
      </c>
      <c r="L5" s="419">
        <f>+J5*K5</f>
        <v>28.8</v>
      </c>
      <c r="M5" s="419">
        <f>+J5-L5</f>
        <v>35.200000000000003</v>
      </c>
      <c r="N5" s="419"/>
      <c r="O5" s="5"/>
      <c r="P5" s="419"/>
      <c r="Q5" s="419"/>
      <c r="R5" s="419">
        <f>+M5+Q5</f>
        <v>35.200000000000003</v>
      </c>
      <c r="S5" s="420" t="s">
        <v>629</v>
      </c>
      <c r="T5" s="417">
        <f>HLOOKUP(S5,G2:I6,4,TRUE)</f>
        <v>1700</v>
      </c>
      <c r="U5" s="432">
        <v>7.0000000000000007E-2</v>
      </c>
      <c r="V5" s="419">
        <f>+R5*1000/T5*U5</f>
        <v>1.4494117647058826</v>
      </c>
      <c r="W5" s="420" t="s">
        <v>629</v>
      </c>
      <c r="X5" s="417">
        <f>HLOOKUP(W5,$G$2:$I$6,4,TRUE)</f>
        <v>1700</v>
      </c>
      <c r="Y5" s="128">
        <v>7.0000000000000007E-2</v>
      </c>
      <c r="Z5" s="440">
        <f>+M5*1000/X5*Y5</f>
        <v>1.4494117647058826</v>
      </c>
    </row>
    <row r="6" spans="1:875" ht="16.5" thickBot="1" x14ac:dyDescent="0.3">
      <c r="B6" s="441" t="s">
        <v>771</v>
      </c>
      <c r="C6" s="442">
        <f>30*60*0.4</f>
        <v>720</v>
      </c>
      <c r="D6" s="442">
        <f>41*60*0.4</f>
        <v>984</v>
      </c>
      <c r="E6" s="442">
        <f>62*60*0.4</f>
        <v>1488</v>
      </c>
      <c r="F6" s="443">
        <v>0.1</v>
      </c>
      <c r="G6" s="444">
        <f>+C6/$F6</f>
        <v>7200</v>
      </c>
      <c r="H6" s="444">
        <f t="shared" si="0"/>
        <v>9840</v>
      </c>
      <c r="I6" s="445">
        <f t="shared" si="0"/>
        <v>14880</v>
      </c>
      <c r="J6" s="446">
        <v>460</v>
      </c>
      <c r="K6" s="447">
        <v>0.45</v>
      </c>
      <c r="L6" s="448">
        <f>+J6*K6</f>
        <v>207</v>
      </c>
      <c r="M6" s="448">
        <f>+J6-L6</f>
        <v>253</v>
      </c>
      <c r="N6" s="448"/>
      <c r="O6" s="449"/>
      <c r="P6" s="448"/>
      <c r="Q6" s="448"/>
      <c r="R6" s="448">
        <f>+M6+Q6</f>
        <v>253</v>
      </c>
      <c r="S6" s="450" t="s">
        <v>629</v>
      </c>
      <c r="T6" s="445">
        <f>HLOOKUP(S6,G2:I6,5,TRUE)</f>
        <v>7200</v>
      </c>
      <c r="U6" s="451">
        <v>0.43</v>
      </c>
      <c r="V6" s="448">
        <f>+R6*1000/T6*U6</f>
        <v>15.109722222222221</v>
      </c>
      <c r="W6" s="450" t="s">
        <v>629</v>
      </c>
      <c r="X6" s="445">
        <f>HLOOKUP(W6,$G$2:$I$6,5,TRUE)</f>
        <v>7200</v>
      </c>
      <c r="Y6" s="452">
        <v>0.43</v>
      </c>
      <c r="Z6" s="453">
        <f>+M6*1000/X6*Y6</f>
        <v>15.109722222222221</v>
      </c>
    </row>
    <row r="7" spans="1:875" ht="17.25" thickBot="1" x14ac:dyDescent="0.35">
      <c r="C7" s="423"/>
      <c r="D7" s="423"/>
      <c r="E7" s="423"/>
      <c r="F7" s="423"/>
      <c r="G7" s="423"/>
      <c r="H7" s="423"/>
      <c r="I7" s="423"/>
      <c r="L7" s="1"/>
      <c r="N7" s="288"/>
      <c r="O7" s="288"/>
      <c r="P7" s="288"/>
      <c r="Q7" s="288"/>
      <c r="R7" s="288"/>
      <c r="S7" s="1014" t="s">
        <v>100</v>
      </c>
      <c r="T7" s="1015"/>
      <c r="U7" s="429">
        <f>SUM(U3:U6)</f>
        <v>1</v>
      </c>
      <c r="V7" s="430">
        <f>SUM(V3:V6)</f>
        <v>37.9060089869281</v>
      </c>
      <c r="W7" s="1016"/>
      <c r="X7" s="1017"/>
      <c r="Y7" s="429">
        <f>SUM(Y3:Y6)</f>
        <v>1</v>
      </c>
      <c r="Z7" s="431">
        <f>SUM(Z3:Z6)</f>
        <v>37.9060089869281</v>
      </c>
    </row>
    <row r="8" spans="1:875" x14ac:dyDescent="0.25">
      <c r="L8" s="1"/>
    </row>
    <row r="9" spans="1:875" ht="16.5" x14ac:dyDescent="0.3">
      <c r="B9" s="288" t="s">
        <v>693</v>
      </c>
      <c r="C9" s="423"/>
      <c r="D9" s="423"/>
      <c r="E9" s="423"/>
      <c r="M9" s="421"/>
      <c r="Y9" s="217"/>
      <c r="Z9" s="217"/>
    </row>
    <row r="10" spans="1:875" x14ac:dyDescent="0.25">
      <c r="B10" s="424" t="s">
        <v>694</v>
      </c>
      <c r="D10" s="423"/>
      <c r="E10" s="423"/>
      <c r="M10" s="421"/>
      <c r="T10" s="216"/>
      <c r="U10" s="216"/>
      <c r="V10" s="217"/>
      <c r="W10" s="217"/>
      <c r="Y10" s="216"/>
      <c r="Z10" s="217"/>
    </row>
    <row r="11" spans="1:875" x14ac:dyDescent="0.25">
      <c r="B11" t="s">
        <v>772</v>
      </c>
      <c r="D11" s="423"/>
      <c r="E11" s="423"/>
      <c r="M11" s="421"/>
      <c r="T11" s="216"/>
      <c r="U11" s="216"/>
      <c r="V11" s="217"/>
      <c r="W11" s="217"/>
      <c r="Y11" s="216"/>
      <c r="Z11" s="217"/>
    </row>
    <row r="12" spans="1:875" x14ac:dyDescent="0.25">
      <c r="D12" s="423"/>
      <c r="E12" s="423"/>
      <c r="M12" s="421"/>
      <c r="T12" s="216"/>
      <c r="U12" s="216"/>
      <c r="V12" s="217"/>
      <c r="W12" s="217"/>
      <c r="Y12" s="216"/>
      <c r="Z12" s="217"/>
    </row>
    <row r="13" spans="1:875" ht="16.5" x14ac:dyDescent="0.3">
      <c r="B13" s="288" t="s">
        <v>746</v>
      </c>
      <c r="D13" s="423"/>
      <c r="E13" s="423"/>
      <c r="M13" s="421"/>
      <c r="T13" s="216"/>
      <c r="U13" s="216"/>
      <c r="V13" s="217"/>
      <c r="W13" s="217"/>
      <c r="Y13" s="216"/>
      <c r="Z13" s="217"/>
    </row>
    <row r="14" spans="1:875" x14ac:dyDescent="0.25">
      <c r="B14" t="s">
        <v>773</v>
      </c>
      <c r="D14" s="423"/>
      <c r="E14" s="423"/>
      <c r="M14" s="421"/>
      <c r="T14" s="216"/>
      <c r="U14" s="216"/>
      <c r="V14" s="217"/>
      <c r="W14" s="217"/>
      <c r="Y14" s="216"/>
      <c r="Z14" s="217"/>
    </row>
    <row r="15" spans="1:875" x14ac:dyDescent="0.25">
      <c r="D15" s="423"/>
      <c r="E15" s="423"/>
      <c r="M15" s="421"/>
      <c r="T15" s="216"/>
      <c r="U15" s="216"/>
      <c r="V15" s="217"/>
      <c r="W15" s="217"/>
      <c r="Y15" s="216"/>
      <c r="Z15" s="217"/>
    </row>
    <row r="16" spans="1:875" ht="16.5" x14ac:dyDescent="0.3">
      <c r="B16" s="288" t="s">
        <v>697</v>
      </c>
      <c r="D16" s="423"/>
      <c r="E16" s="423"/>
      <c r="M16" s="421"/>
      <c r="T16" s="216"/>
      <c r="U16" s="216"/>
      <c r="V16" s="217"/>
      <c r="W16" s="217"/>
      <c r="Y16" s="216"/>
      <c r="Z16" s="217"/>
    </row>
    <row r="17" spans="2:26" x14ac:dyDescent="0.25">
      <c r="B17" t="s">
        <v>774</v>
      </c>
      <c r="D17" s="423"/>
      <c r="E17" s="423"/>
      <c r="M17" s="421"/>
      <c r="T17" s="216"/>
      <c r="U17" s="216"/>
      <c r="V17" s="217"/>
      <c r="W17" s="217"/>
      <c r="Y17" s="216"/>
      <c r="Z17" s="217"/>
    </row>
    <row r="18" spans="2:26" x14ac:dyDescent="0.25">
      <c r="B18" t="s">
        <v>775</v>
      </c>
      <c r="D18" s="423"/>
      <c r="E18" s="423"/>
      <c r="M18" s="421"/>
      <c r="T18" s="216"/>
      <c r="U18" s="216"/>
      <c r="V18" s="217"/>
      <c r="W18" s="217"/>
      <c r="Y18" s="216"/>
      <c r="Z18" s="217"/>
    </row>
    <row r="19" spans="2:26" x14ac:dyDescent="0.25">
      <c r="B19" t="s">
        <v>776</v>
      </c>
      <c r="D19" s="423"/>
      <c r="E19" s="423"/>
      <c r="M19" s="421"/>
      <c r="T19" s="216"/>
      <c r="U19" s="216"/>
      <c r="V19" s="217"/>
      <c r="W19" s="217"/>
      <c r="Y19" s="216"/>
      <c r="Z19" s="217"/>
    </row>
    <row r="20" spans="2:26" x14ac:dyDescent="0.25">
      <c r="B20" t="s">
        <v>777</v>
      </c>
      <c r="D20" s="423"/>
      <c r="E20" s="423"/>
      <c r="M20" s="421"/>
      <c r="T20" s="216"/>
      <c r="U20" s="216"/>
      <c r="V20" s="217"/>
      <c r="W20" s="217"/>
      <c r="Y20" s="216"/>
      <c r="Z20" s="217"/>
    </row>
    <row r="21" spans="2:26" x14ac:dyDescent="0.25">
      <c r="B21" t="s">
        <v>778</v>
      </c>
      <c r="D21" s="423"/>
      <c r="E21" s="423"/>
      <c r="M21" s="421"/>
      <c r="T21" s="216"/>
      <c r="U21" s="216"/>
      <c r="V21" s="217"/>
      <c r="W21" s="217"/>
      <c r="Y21" s="216"/>
      <c r="Z21" s="217"/>
    </row>
    <row r="22" spans="2:26" x14ac:dyDescent="0.25">
      <c r="C22" s="423"/>
      <c r="D22" s="423"/>
      <c r="E22" s="423"/>
      <c r="M22" s="421"/>
      <c r="T22" s="216"/>
      <c r="U22" s="216"/>
      <c r="V22" s="217"/>
      <c r="W22" s="217"/>
      <c r="Y22" s="216"/>
      <c r="Z22" s="217"/>
    </row>
    <row r="23" spans="2:26" x14ac:dyDescent="0.25">
      <c r="C23" s="423"/>
      <c r="D23" s="423"/>
      <c r="E23" s="423"/>
      <c r="M23" s="421"/>
      <c r="T23" s="216"/>
      <c r="U23" s="216"/>
      <c r="V23" s="217"/>
      <c r="W23" s="217"/>
      <c r="Y23" s="216"/>
      <c r="Z23" s="217"/>
    </row>
    <row r="24" spans="2:26" x14ac:dyDescent="0.25">
      <c r="B24" t="s">
        <v>779</v>
      </c>
    </row>
    <row r="25" spans="2:26" ht="16.5" x14ac:dyDescent="0.3">
      <c r="B25" s="283" t="s">
        <v>780</v>
      </c>
    </row>
    <row r="26" spans="2:26" ht="16.5" x14ac:dyDescent="0.3">
      <c r="B26" s="283" t="s">
        <v>781</v>
      </c>
      <c r="K26" s="425"/>
      <c r="M26" s="425"/>
    </row>
    <row r="27" spans="2:26" ht="16.5" x14ac:dyDescent="0.3">
      <c r="B27" s="283" t="s">
        <v>782</v>
      </c>
      <c r="D27" s="411"/>
      <c r="J27"/>
      <c r="M27" s="421"/>
      <c r="N27" s="2"/>
    </row>
    <row r="28" spans="2:26" x14ac:dyDescent="0.25">
      <c r="D28" s="411"/>
      <c r="J28"/>
      <c r="L28"/>
      <c r="M28" s="421"/>
      <c r="N28" s="2"/>
      <c r="X28"/>
      <c r="Y28"/>
      <c r="Z28"/>
    </row>
    <row r="29" spans="2:26" x14ac:dyDescent="0.25">
      <c r="E29" s="411"/>
      <c r="J29"/>
      <c r="K29"/>
      <c r="L29"/>
      <c r="M29" s="421"/>
      <c r="N29" s="2"/>
      <c r="X29"/>
      <c r="Y29"/>
      <c r="Z29"/>
    </row>
    <row r="30" spans="2:26" x14ac:dyDescent="0.25">
      <c r="E30" s="411"/>
      <c r="J30"/>
      <c r="K30"/>
      <c r="L30"/>
      <c r="M30" s="421"/>
      <c r="N30" s="2"/>
      <c r="Z30"/>
    </row>
    <row r="31" spans="2:26" x14ac:dyDescent="0.25">
      <c r="B31" s="422"/>
      <c r="C31" s="422"/>
      <c r="D31" s="422"/>
      <c r="E31" s="422"/>
      <c r="F31" s="422"/>
      <c r="J31"/>
      <c r="K31"/>
      <c r="L31" s="140"/>
      <c r="M31" s="421"/>
      <c r="N31" s="2"/>
    </row>
    <row r="32" spans="2:26" x14ac:dyDescent="0.25">
      <c r="B32" s="422"/>
      <c r="C32" s="422"/>
      <c r="D32" s="422"/>
      <c r="E32" s="422"/>
      <c r="F32" s="422"/>
      <c r="J32"/>
      <c r="K32"/>
      <c r="L32"/>
    </row>
    <row r="33" spans="2:26" ht="64.349999999999994" customHeight="1" x14ac:dyDescent="0.25">
      <c r="B33" s="1029" t="s">
        <v>783</v>
      </c>
      <c r="C33" s="1030"/>
      <c r="D33" s="1031"/>
      <c r="G33" s="1029" t="s">
        <v>784</v>
      </c>
      <c r="H33" s="1030"/>
      <c r="I33" s="1031"/>
      <c r="K33" s="1032" t="s">
        <v>785</v>
      </c>
      <c r="L33" s="1032"/>
      <c r="Z33"/>
    </row>
    <row r="34" spans="2:26" ht="13.35" customHeight="1" x14ac:dyDescent="0.25">
      <c r="B34" s="458" t="s">
        <v>677</v>
      </c>
      <c r="C34" s="458" t="s">
        <v>786</v>
      </c>
      <c r="D34" s="458" t="s">
        <v>787</v>
      </c>
      <c r="G34" s="458" t="s">
        <v>677</v>
      </c>
      <c r="H34" s="458" t="s">
        <v>786</v>
      </c>
      <c r="I34" s="458" t="s">
        <v>788</v>
      </c>
      <c r="K34" s="458" t="s">
        <v>789</v>
      </c>
      <c r="L34" s="458" t="s">
        <v>790</v>
      </c>
      <c r="N34" s="458" t="s">
        <v>791</v>
      </c>
      <c r="Z34"/>
    </row>
    <row r="35" spans="2:26" ht="13.35" customHeight="1" x14ac:dyDescent="0.25">
      <c r="B35" s="458" t="s">
        <v>626</v>
      </c>
      <c r="C35" s="458" t="s">
        <v>792</v>
      </c>
      <c r="D35" s="458">
        <v>65</v>
      </c>
      <c r="G35" s="458" t="s">
        <v>626</v>
      </c>
      <c r="H35" s="458" t="s">
        <v>793</v>
      </c>
      <c r="I35" s="458">
        <v>150</v>
      </c>
      <c r="K35" s="458" t="s">
        <v>677</v>
      </c>
      <c r="L35" s="458" t="s">
        <v>794</v>
      </c>
      <c r="N35" s="458" t="s">
        <v>795</v>
      </c>
    </row>
    <row r="36" spans="2:26" ht="13.35" customHeight="1" x14ac:dyDescent="0.25">
      <c r="B36" s="458" t="s">
        <v>628</v>
      </c>
      <c r="C36" s="458" t="s">
        <v>796</v>
      </c>
      <c r="D36" s="458">
        <v>105</v>
      </c>
      <c r="G36" s="458" t="s">
        <v>628</v>
      </c>
      <c r="H36" s="458" t="s">
        <v>797</v>
      </c>
      <c r="I36" s="458">
        <v>230</v>
      </c>
      <c r="K36" s="458" t="s">
        <v>626</v>
      </c>
      <c r="L36" s="458" t="s">
        <v>798</v>
      </c>
      <c r="N36" s="458" t="s">
        <v>799</v>
      </c>
    </row>
    <row r="37" spans="2:26" ht="13.35" customHeight="1" x14ac:dyDescent="0.25">
      <c r="B37" s="458" t="s">
        <v>629</v>
      </c>
      <c r="C37" s="458" t="s">
        <v>800</v>
      </c>
      <c r="D37" s="458">
        <v>170</v>
      </c>
      <c r="G37" s="458" t="s">
        <v>629</v>
      </c>
      <c r="H37" s="458" t="s">
        <v>801</v>
      </c>
      <c r="I37" s="458">
        <v>350</v>
      </c>
      <c r="K37" s="458" t="s">
        <v>628</v>
      </c>
      <c r="L37" s="458" t="s">
        <v>802</v>
      </c>
      <c r="N37" s="458" t="s">
        <v>803</v>
      </c>
    </row>
    <row r="38" spans="2:26" ht="13.35" customHeight="1" x14ac:dyDescent="0.25">
      <c r="B38" s="458" t="s">
        <v>630</v>
      </c>
      <c r="C38" s="458" t="s">
        <v>804</v>
      </c>
      <c r="D38" s="458">
        <v>250</v>
      </c>
      <c r="G38" s="458" t="s">
        <v>630</v>
      </c>
      <c r="H38" s="458" t="s">
        <v>805</v>
      </c>
      <c r="I38" s="458">
        <v>500</v>
      </c>
      <c r="K38" s="458" t="s">
        <v>629</v>
      </c>
      <c r="L38" s="458" t="s">
        <v>806</v>
      </c>
      <c r="N38" s="458" t="s">
        <v>807</v>
      </c>
    </row>
    <row r="39" spans="2:26" ht="13.35" customHeight="1" x14ac:dyDescent="0.25">
      <c r="B39" s="458" t="s">
        <v>627</v>
      </c>
      <c r="C39" s="458" t="s">
        <v>808</v>
      </c>
      <c r="D39" s="458">
        <v>325</v>
      </c>
      <c r="G39" s="458" t="s">
        <v>627</v>
      </c>
      <c r="H39" s="458" t="s">
        <v>809</v>
      </c>
      <c r="I39" s="458">
        <v>630</v>
      </c>
      <c r="K39" s="458" t="s">
        <v>630</v>
      </c>
      <c r="L39" s="458" t="s">
        <v>810</v>
      </c>
      <c r="N39" s="458" t="s">
        <v>811</v>
      </c>
    </row>
    <row r="40" spans="2:26" ht="13.35" customHeight="1" x14ac:dyDescent="0.25">
      <c r="B40" s="458" t="s">
        <v>812</v>
      </c>
      <c r="C40" s="458" t="s">
        <v>813</v>
      </c>
      <c r="D40" s="458" t="s">
        <v>814</v>
      </c>
      <c r="G40" s="458" t="s">
        <v>812</v>
      </c>
      <c r="H40" s="458" t="s">
        <v>815</v>
      </c>
      <c r="I40" s="458" t="s">
        <v>814</v>
      </c>
      <c r="K40" s="458" t="s">
        <v>627</v>
      </c>
      <c r="L40" s="458" t="s">
        <v>816</v>
      </c>
      <c r="N40" s="458" t="s">
        <v>817</v>
      </c>
    </row>
    <row r="41" spans="2:26" ht="13.35" customHeight="1" x14ac:dyDescent="0.3">
      <c r="B41" s="259"/>
      <c r="C41" s="259"/>
      <c r="D41" s="457"/>
      <c r="G41" s="259"/>
      <c r="H41" s="259"/>
      <c r="I41" s="259"/>
      <c r="K41" s="458" t="s">
        <v>812</v>
      </c>
      <c r="L41" s="458" t="s">
        <v>818</v>
      </c>
      <c r="N41" s="459"/>
    </row>
    <row r="42" spans="2:26" ht="13.35" customHeight="1" x14ac:dyDescent="0.25"/>
    <row r="43" spans="2:26" ht="13.35" customHeight="1" x14ac:dyDescent="0.25">
      <c r="B43" s="1034" t="s">
        <v>819</v>
      </c>
      <c r="C43" s="1035"/>
      <c r="D43" s="1035"/>
      <c r="E43" s="1035"/>
      <c r="F43" s="1035"/>
      <c r="G43" s="1035"/>
    </row>
    <row r="44" spans="2:26" ht="13.35" customHeight="1" x14ac:dyDescent="0.25">
      <c r="C44" s="458" t="s">
        <v>820</v>
      </c>
      <c r="D44" s="458"/>
      <c r="E44" s="458" t="s">
        <v>821</v>
      </c>
      <c r="F44" s="458"/>
      <c r="G44" s="458" t="s">
        <v>822</v>
      </c>
    </row>
    <row r="45" spans="2:26" ht="13.35" customHeight="1" x14ac:dyDescent="0.25">
      <c r="B45" s="458" t="s">
        <v>823</v>
      </c>
      <c r="C45" s="458" t="s">
        <v>824</v>
      </c>
      <c r="D45" s="458" t="s">
        <v>825</v>
      </c>
      <c r="E45" s="458" t="s">
        <v>826</v>
      </c>
      <c r="F45" s="458" t="s">
        <v>827</v>
      </c>
      <c r="G45" s="458"/>
    </row>
    <row r="46" spans="2:26" ht="13.35" customHeight="1" x14ac:dyDescent="0.25">
      <c r="B46" s="458" t="s">
        <v>828</v>
      </c>
      <c r="C46" s="458" t="s">
        <v>829</v>
      </c>
      <c r="D46" s="458" t="s">
        <v>830</v>
      </c>
      <c r="E46" s="458" t="s">
        <v>831</v>
      </c>
      <c r="F46" s="458" t="s">
        <v>832</v>
      </c>
      <c r="G46" s="458">
        <v>0.21</v>
      </c>
    </row>
    <row r="47" spans="2:26" ht="13.35" customHeight="1" x14ac:dyDescent="0.25">
      <c r="B47" s="458" t="s">
        <v>833</v>
      </c>
      <c r="C47" s="458" t="s">
        <v>834</v>
      </c>
      <c r="D47" s="458" t="s">
        <v>835</v>
      </c>
      <c r="E47" s="458" t="s">
        <v>836</v>
      </c>
      <c r="F47" s="458" t="s">
        <v>837</v>
      </c>
      <c r="G47" s="458" t="s">
        <v>838</v>
      </c>
    </row>
    <row r="48" spans="2:26" ht="13.35" customHeight="1" x14ac:dyDescent="0.25">
      <c r="B48" s="458" t="s">
        <v>839</v>
      </c>
      <c r="C48" s="458" t="s">
        <v>840</v>
      </c>
      <c r="D48" s="458" t="s">
        <v>841</v>
      </c>
      <c r="E48" s="458" t="s">
        <v>842</v>
      </c>
      <c r="F48" s="458" t="s">
        <v>843</v>
      </c>
      <c r="G48" s="458" t="s">
        <v>844</v>
      </c>
      <c r="K48" s="1033" t="s">
        <v>845</v>
      </c>
      <c r="L48" s="1033"/>
    </row>
    <row r="49" spans="2:27" ht="13.35" customHeight="1" x14ac:dyDescent="0.25">
      <c r="B49" s="458" t="s">
        <v>846</v>
      </c>
      <c r="C49" s="458" t="s">
        <v>847</v>
      </c>
      <c r="D49" s="458" t="s">
        <v>848</v>
      </c>
      <c r="E49" s="458" t="s">
        <v>849</v>
      </c>
      <c r="F49" s="458" t="s">
        <v>850</v>
      </c>
      <c r="G49" s="458" t="s">
        <v>851</v>
      </c>
      <c r="K49" s="1033"/>
      <c r="L49" s="1033"/>
    </row>
    <row r="50" spans="2:27" ht="13.35" customHeight="1" x14ac:dyDescent="0.25">
      <c r="B50" s="458" t="s">
        <v>852</v>
      </c>
      <c r="C50" s="458" t="s">
        <v>853</v>
      </c>
      <c r="D50" s="458" t="s">
        <v>854</v>
      </c>
      <c r="E50" s="458" t="s">
        <v>855</v>
      </c>
      <c r="F50" s="458" t="s">
        <v>856</v>
      </c>
      <c r="G50" s="458" t="s">
        <v>857</v>
      </c>
      <c r="K50" s="1033"/>
      <c r="L50" s="1033"/>
    </row>
    <row r="51" spans="2:27" ht="13.35" customHeight="1" x14ac:dyDescent="0.25">
      <c r="B51" s="458" t="s">
        <v>858</v>
      </c>
      <c r="C51" s="458" t="s">
        <v>859</v>
      </c>
      <c r="D51" s="458" t="s">
        <v>859</v>
      </c>
      <c r="E51" s="458" t="s">
        <v>860</v>
      </c>
      <c r="F51" s="458" t="s">
        <v>861</v>
      </c>
      <c r="G51" s="458" t="s">
        <v>859</v>
      </c>
      <c r="V51" s="103"/>
      <c r="W51" s="103"/>
      <c r="X51" s="103"/>
      <c r="Y51" s="103"/>
      <c r="Z51" s="103"/>
      <c r="AA51" s="103"/>
    </row>
    <row r="52" spans="2:27" ht="13.35" customHeight="1" x14ac:dyDescent="0.25">
      <c r="E52" s="422"/>
      <c r="F52" s="422"/>
      <c r="G52" s="422"/>
      <c r="H52" s="422"/>
      <c r="I52" s="422"/>
      <c r="J52" s="422"/>
      <c r="K52"/>
      <c r="L52" s="1"/>
      <c r="M52" s="421"/>
      <c r="N52" s="1"/>
      <c r="Q52" s="103"/>
      <c r="R52" s="103"/>
      <c r="S52" s="103"/>
      <c r="T52" s="103"/>
      <c r="U52" s="103"/>
      <c r="V52" s="103"/>
      <c r="W52" s="103"/>
      <c r="X52" s="103"/>
      <c r="Y52" s="103"/>
      <c r="Z52" s="103"/>
      <c r="AA52" s="103"/>
    </row>
    <row r="53" spans="2:27" ht="13.35" customHeight="1" x14ac:dyDescent="0.25">
      <c r="J53"/>
      <c r="K53"/>
      <c r="L53" s="1"/>
      <c r="M53" s="421"/>
      <c r="N53" s="1"/>
      <c r="Q53" s="455" t="s">
        <v>677</v>
      </c>
      <c r="R53" s="455" t="s">
        <v>862</v>
      </c>
    </row>
    <row r="54" spans="2:27" ht="13.35" customHeight="1" x14ac:dyDescent="0.25">
      <c r="J54"/>
      <c r="K54"/>
      <c r="L54" s="1"/>
      <c r="M54" s="421"/>
      <c r="N54" s="1"/>
      <c r="Q54" s="456"/>
      <c r="R54" s="456" t="s">
        <v>863</v>
      </c>
    </row>
    <row r="55" spans="2:27" ht="13.35" customHeight="1" x14ac:dyDescent="0.25">
      <c r="J55"/>
      <c r="K55"/>
      <c r="L55" s="1"/>
      <c r="M55" s="421"/>
      <c r="N55" s="1"/>
      <c r="Q55" s="456" t="s">
        <v>626</v>
      </c>
      <c r="R55" s="456" t="s">
        <v>864</v>
      </c>
    </row>
    <row r="56" spans="2:27" ht="13.35" customHeight="1" x14ac:dyDescent="0.25">
      <c r="J56"/>
      <c r="K56"/>
      <c r="L56" s="1"/>
      <c r="M56" s="421"/>
      <c r="N56" s="1"/>
      <c r="Q56" s="456" t="s">
        <v>628</v>
      </c>
      <c r="R56" s="456" t="s">
        <v>865</v>
      </c>
    </row>
    <row r="57" spans="2:27" ht="13.35" customHeight="1" x14ac:dyDescent="0.25">
      <c r="J57"/>
      <c r="K57"/>
      <c r="L57" s="1"/>
      <c r="M57" s="421"/>
      <c r="N57" s="1"/>
      <c r="Q57" s="456" t="s">
        <v>629</v>
      </c>
      <c r="R57" s="456" t="s">
        <v>866</v>
      </c>
    </row>
    <row r="58" spans="2:27" ht="13.35" customHeight="1" x14ac:dyDescent="0.25">
      <c r="J58"/>
      <c r="K58"/>
      <c r="L58" s="1"/>
      <c r="M58" s="421"/>
      <c r="N58" s="1"/>
      <c r="Q58" s="456" t="s">
        <v>630</v>
      </c>
      <c r="R58" s="456" t="s">
        <v>867</v>
      </c>
    </row>
    <row r="59" spans="2:27" ht="13.35" customHeight="1" x14ac:dyDescent="0.25">
      <c r="J59"/>
      <c r="K59"/>
      <c r="L59" s="1"/>
      <c r="M59" s="421"/>
      <c r="N59" s="1"/>
      <c r="Q59" s="456" t="s">
        <v>627</v>
      </c>
      <c r="R59" s="456" t="s">
        <v>868</v>
      </c>
    </row>
    <row r="60" spans="2:27" ht="13.35" customHeight="1" x14ac:dyDescent="0.25">
      <c r="J60"/>
      <c r="K60"/>
      <c r="L60" s="1"/>
      <c r="M60" s="421"/>
      <c r="N60" s="1"/>
      <c r="Q60" s="456" t="s">
        <v>812</v>
      </c>
      <c r="R60" s="456" t="s">
        <v>860</v>
      </c>
    </row>
    <row r="61" spans="2:27" x14ac:dyDescent="0.25">
      <c r="J61"/>
      <c r="K61"/>
      <c r="L61" s="1"/>
      <c r="M61" s="421"/>
      <c r="N61" s="1"/>
    </row>
    <row r="62" spans="2:27" x14ac:dyDescent="0.25">
      <c r="J62"/>
      <c r="K62"/>
      <c r="L62" s="1"/>
      <c r="M62" s="421"/>
      <c r="N62" s="1"/>
    </row>
    <row r="63" spans="2:27" x14ac:dyDescent="0.25">
      <c r="J63"/>
      <c r="K63"/>
      <c r="M63" s="421"/>
      <c r="N63" s="2"/>
    </row>
    <row r="64" spans="2:27" x14ac:dyDescent="0.25">
      <c r="J64"/>
      <c r="K64"/>
      <c r="M64" s="421"/>
      <c r="N64" s="2"/>
    </row>
    <row r="65" spans="2:14" x14ac:dyDescent="0.25">
      <c r="J65"/>
      <c r="K65"/>
      <c r="M65" s="421"/>
      <c r="N65" s="2"/>
    </row>
    <row r="66" spans="2:14" x14ac:dyDescent="0.25">
      <c r="J66"/>
      <c r="K66"/>
      <c r="M66" s="421"/>
      <c r="N66" s="2"/>
    </row>
    <row r="67" spans="2:14" x14ac:dyDescent="0.25">
      <c r="B67" s="426"/>
      <c r="J67"/>
      <c r="K67"/>
      <c r="M67" s="421"/>
      <c r="N67" s="2"/>
    </row>
    <row r="68" spans="2:14" x14ac:dyDescent="0.25">
      <c r="D68" s="411"/>
      <c r="J68"/>
      <c r="K68"/>
      <c r="M68" s="421"/>
      <c r="N68" s="2"/>
    </row>
    <row r="69" spans="2:14" x14ac:dyDescent="0.25">
      <c r="E69" s="411"/>
      <c r="J69"/>
      <c r="K69"/>
      <c r="L69"/>
      <c r="M69" s="421"/>
      <c r="N69" s="2"/>
    </row>
    <row r="70" spans="2:14" x14ac:dyDescent="0.25">
      <c r="E70" s="411"/>
      <c r="J70"/>
      <c r="K70"/>
      <c r="L70"/>
      <c r="M70" s="421"/>
      <c r="N70" s="2"/>
    </row>
    <row r="71" spans="2:14" x14ac:dyDescent="0.25">
      <c r="M71" s="103"/>
      <c r="N71" s="2"/>
    </row>
    <row r="72" spans="2:14" x14ac:dyDescent="0.25">
      <c r="M72" s="103"/>
      <c r="N72" s="2"/>
    </row>
    <row r="73" spans="2:14" x14ac:dyDescent="0.25">
      <c r="N73" s="2"/>
    </row>
    <row r="74" spans="2:14" ht="14.25" customHeight="1" x14ac:dyDescent="0.25">
      <c r="N74" s="2"/>
    </row>
    <row r="75" spans="2:14" x14ac:dyDescent="0.25">
      <c r="L75" s="422"/>
    </row>
    <row r="76" spans="2:14" x14ac:dyDescent="0.25">
      <c r="L76" s="422"/>
    </row>
    <row r="77" spans="2:14" x14ac:dyDescent="0.25">
      <c r="L77" s="422"/>
    </row>
    <row r="78" spans="2:14" x14ac:dyDescent="0.25">
      <c r="L78" s="422"/>
    </row>
    <row r="79" spans="2:14" x14ac:dyDescent="0.25">
      <c r="L79" s="422"/>
    </row>
    <row r="80" spans="2:14" x14ac:dyDescent="0.25">
      <c r="L80" s="422"/>
    </row>
    <row r="81" spans="10:21" x14ac:dyDescent="0.25">
      <c r="L81" s="422"/>
    </row>
    <row r="82" spans="10:21" x14ac:dyDescent="0.25">
      <c r="L82" s="422"/>
    </row>
    <row r="83" spans="10:21" x14ac:dyDescent="0.25">
      <c r="L83" s="422"/>
    </row>
    <row r="84" spans="10:21" x14ac:dyDescent="0.25">
      <c r="L84" s="422"/>
    </row>
    <row r="85" spans="10:21" x14ac:dyDescent="0.25">
      <c r="J85"/>
      <c r="K85"/>
      <c r="L85" s="1"/>
      <c r="M85" s="421"/>
      <c r="N85" s="1"/>
    </row>
    <row r="86" spans="10:21" ht="89.25" x14ac:dyDescent="0.25">
      <c r="J86"/>
      <c r="K86"/>
      <c r="L86" s="1"/>
      <c r="M86" s="421"/>
      <c r="N86" s="1"/>
      <c r="Q86" s="454" t="s">
        <v>869</v>
      </c>
      <c r="R86" s="103"/>
      <c r="S86" s="103"/>
      <c r="T86" s="103"/>
      <c r="U86" s="103"/>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heetViews>
  <sheetFormatPr defaultColWidth="9" defaultRowHeight="15.75" x14ac:dyDescent="0.25"/>
  <cols>
    <col min="3" max="3" width="14.85546875" customWidth="1"/>
    <col min="17" max="17" width="12.140625" customWidth="1"/>
  </cols>
  <sheetData>
    <row r="7" spans="3:22" x14ac:dyDescent="0.25">
      <c r="E7" s="1036" t="s">
        <v>870</v>
      </c>
      <c r="F7" s="1036"/>
    </row>
    <row r="8" spans="3:22" x14ac:dyDescent="0.25">
      <c r="D8" t="s">
        <v>871</v>
      </c>
      <c r="E8" t="s">
        <v>872</v>
      </c>
      <c r="F8" t="s">
        <v>100</v>
      </c>
      <c r="G8" t="s">
        <v>873</v>
      </c>
      <c r="H8" t="s">
        <v>874</v>
      </c>
      <c r="I8" t="s">
        <v>875</v>
      </c>
      <c r="J8" t="s">
        <v>876</v>
      </c>
      <c r="K8" t="s">
        <v>877</v>
      </c>
      <c r="L8" t="s">
        <v>878</v>
      </c>
      <c r="M8" t="s">
        <v>879</v>
      </c>
      <c r="N8" t="s">
        <v>880</v>
      </c>
      <c r="O8" t="s">
        <v>881</v>
      </c>
      <c r="Q8" t="s">
        <v>882</v>
      </c>
      <c r="R8" t="s">
        <v>883</v>
      </c>
      <c r="S8" t="s">
        <v>884</v>
      </c>
      <c r="T8" t="s">
        <v>100</v>
      </c>
      <c r="V8" t="s">
        <v>885</v>
      </c>
    </row>
    <row r="9" spans="3:22" x14ac:dyDescent="0.25">
      <c r="C9" t="s">
        <v>886</v>
      </c>
      <c r="D9">
        <v>8.76</v>
      </c>
      <c r="E9">
        <v>6.62</v>
      </c>
      <c r="F9">
        <v>7.12</v>
      </c>
      <c r="G9" s="2">
        <v>1</v>
      </c>
      <c r="H9" s="196">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887</v>
      </c>
      <c r="D13">
        <v>0.21299999999999999</v>
      </c>
    </row>
    <row r="14" spans="3:22" x14ac:dyDescent="0.25">
      <c r="C14" t="s">
        <v>888</v>
      </c>
      <c r="D14" s="197"/>
      <c r="Q14" t="s">
        <v>889</v>
      </c>
      <c r="R14">
        <v>7.0000000000000001E-3</v>
      </c>
      <c r="S14">
        <f>+R14+R15+R16</f>
        <v>0.21299999999999999</v>
      </c>
      <c r="U14">
        <v>2450</v>
      </c>
    </row>
    <row r="15" spans="3:22" x14ac:dyDescent="0.25">
      <c r="Q15" t="s">
        <v>890</v>
      </c>
      <c r="R15">
        <v>8.6999999999999994E-2</v>
      </c>
      <c r="U15">
        <v>133</v>
      </c>
    </row>
    <row r="16" spans="3:22" x14ac:dyDescent="0.25">
      <c r="D16" s="196">
        <v>2.5000000000000001E-2</v>
      </c>
      <c r="E16">
        <v>25</v>
      </c>
      <c r="F16">
        <v>0.21299999999999999</v>
      </c>
      <c r="Q16" t="s">
        <v>891</v>
      </c>
      <c r="R16">
        <v>0.11899999999999999</v>
      </c>
      <c r="U16">
        <f>+U14/U15</f>
        <v>18.421052631578949</v>
      </c>
    </row>
    <row r="17" spans="3:19" x14ac:dyDescent="0.25">
      <c r="C17">
        <v>1</v>
      </c>
      <c r="D17">
        <v>0.21299999999999999</v>
      </c>
      <c r="F17" s="198">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882</v>
      </c>
      <c r="R20">
        <v>365</v>
      </c>
    </row>
    <row r="21" spans="3:19" x14ac:dyDescent="0.25">
      <c r="C21">
        <v>5</v>
      </c>
      <c r="D21">
        <f t="shared" si="0"/>
        <v>0.23511214570312489</v>
      </c>
      <c r="Q21" t="s">
        <v>892</v>
      </c>
      <c r="R21">
        <v>0.21299999999999999</v>
      </c>
    </row>
    <row r="22" spans="3:19" x14ac:dyDescent="0.25">
      <c r="C22">
        <v>6</v>
      </c>
      <c r="D22">
        <f t="shared" si="0"/>
        <v>0.24098994934570298</v>
      </c>
      <c r="Q22" t="s">
        <v>884</v>
      </c>
      <c r="R22">
        <v>18.18</v>
      </c>
    </row>
    <row r="23" spans="3:19" x14ac:dyDescent="0.25">
      <c r="C23">
        <v>7</v>
      </c>
      <c r="D23">
        <f t="shared" si="0"/>
        <v>0.24701469807934553</v>
      </c>
      <c r="Q23" t="s">
        <v>885</v>
      </c>
      <c r="R23">
        <v>18.420000000000002</v>
      </c>
    </row>
    <row r="24" spans="3:19" x14ac:dyDescent="0.25">
      <c r="C24">
        <v>8</v>
      </c>
      <c r="D24">
        <f t="shared" si="0"/>
        <v>0.25319006553132917</v>
      </c>
      <c r="Q24" t="s">
        <v>893</v>
      </c>
      <c r="R24">
        <f>+R20*R21/R22*R23</f>
        <v>78.771336633663381</v>
      </c>
      <c r="S24" t="s">
        <v>894</v>
      </c>
    </row>
    <row r="25" spans="3:19" x14ac:dyDescent="0.25">
      <c r="C25">
        <v>9</v>
      </c>
      <c r="D25">
        <f t="shared" si="0"/>
        <v>0.25951981716961237</v>
      </c>
      <c r="Q25" t="s">
        <v>876</v>
      </c>
      <c r="R25">
        <v>1.3</v>
      </c>
    </row>
    <row r="26" spans="3:19" x14ac:dyDescent="0.25">
      <c r="C26">
        <v>10</v>
      </c>
      <c r="D26">
        <f t="shared" si="0"/>
        <v>0.26600781259885264</v>
      </c>
      <c r="Q26" t="s">
        <v>895</v>
      </c>
      <c r="R26">
        <f>+R24*R25</f>
        <v>102.40273762376241</v>
      </c>
    </row>
    <row r="27" spans="3:19" x14ac:dyDescent="0.25">
      <c r="C27">
        <v>11</v>
      </c>
      <c r="D27">
        <f t="shared" si="0"/>
        <v>0.27265800791382394</v>
      </c>
    </row>
    <row r="28" spans="3:19" x14ac:dyDescent="0.25">
      <c r="C28">
        <v>12</v>
      </c>
      <c r="D28">
        <f t="shared" si="0"/>
        <v>0.27947445811166949</v>
      </c>
      <c r="Q28" t="s">
        <v>896</v>
      </c>
      <c r="R28">
        <v>401.78</v>
      </c>
    </row>
    <row r="29" spans="3:19" x14ac:dyDescent="0.25">
      <c r="C29">
        <v>13</v>
      </c>
      <c r="D29">
        <f t="shared" si="0"/>
        <v>0.28646131956446119</v>
      </c>
      <c r="Q29" t="s">
        <v>897</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workbookViewId="0"/>
  </sheetViews>
  <sheetFormatPr defaultColWidth="9.42578125" defaultRowHeight="16.5" x14ac:dyDescent="0.25"/>
  <cols>
    <col min="1" max="1" width="9.42578125" style="32"/>
    <col min="2" max="2" width="5.140625" style="33" customWidth="1"/>
    <col min="3" max="3" width="36" style="34" customWidth="1"/>
    <col min="4" max="4" width="11.5703125" style="32" customWidth="1"/>
    <col min="5" max="5" width="9.42578125" style="31"/>
    <col min="6" max="6" width="15.5703125" style="31" customWidth="1"/>
    <col min="7" max="7" width="9.42578125" style="31"/>
    <col min="8" max="8" width="12.5703125" style="31" customWidth="1"/>
    <col min="9" max="10" width="9.42578125" style="31"/>
    <col min="11" max="11" width="13.140625" style="31" customWidth="1"/>
    <col min="12" max="13" width="9.42578125" style="35"/>
    <col min="14" max="14" width="12.140625" style="32" customWidth="1"/>
    <col min="15" max="15" width="13" style="36" customWidth="1"/>
    <col min="16" max="16" width="12.5703125" style="37" customWidth="1"/>
    <col min="17" max="17" width="12.5703125" style="38" customWidth="1"/>
    <col min="18" max="19" width="12" style="38" customWidth="1"/>
    <col min="20" max="20" width="12.42578125" style="38" customWidth="1"/>
    <col min="21" max="21" width="10.5703125" style="38" customWidth="1"/>
    <col min="22" max="23" width="13.5703125" style="39" customWidth="1"/>
    <col min="24" max="25" width="9.42578125" style="32"/>
    <col min="26" max="26" width="17.5703125" style="32" customWidth="1"/>
    <col min="27" max="16384" width="9.42578125" style="32"/>
  </cols>
  <sheetData>
    <row r="1" spans="2:26" x14ac:dyDescent="0.25">
      <c r="C1" s="625" t="s">
        <v>898</v>
      </c>
      <c r="D1" s="626">
        <v>44169</v>
      </c>
      <c r="E1" s="627"/>
      <c r="F1" s="627"/>
      <c r="G1" s="627"/>
      <c r="H1" s="627"/>
      <c r="I1" s="627"/>
      <c r="J1" s="627"/>
      <c r="K1" s="627"/>
      <c r="L1" s="628"/>
      <c r="M1" s="628"/>
      <c r="N1" s="629"/>
      <c r="O1" s="630"/>
      <c r="P1" s="631"/>
      <c r="Q1" s="632"/>
      <c r="R1" s="632"/>
      <c r="S1" s="632"/>
      <c r="T1" s="632"/>
      <c r="U1" s="632"/>
      <c r="V1" s="633"/>
      <c r="W1" s="633"/>
      <c r="X1" s="629"/>
      <c r="Y1" s="629"/>
      <c r="Z1" s="629"/>
    </row>
    <row r="2" spans="2:26" x14ac:dyDescent="0.25">
      <c r="C2" s="625"/>
      <c r="D2" s="629"/>
      <c r="E2" s="627"/>
      <c r="F2" s="1038" t="s">
        <v>899</v>
      </c>
      <c r="G2" s="1038"/>
      <c r="H2" s="1038"/>
      <c r="I2" s="627" t="s">
        <v>900</v>
      </c>
      <c r="J2" s="627"/>
      <c r="K2" s="627"/>
      <c r="L2" s="628"/>
      <c r="M2" s="628"/>
      <c r="N2" s="629"/>
      <c r="O2" s="630"/>
      <c r="P2" s="631"/>
      <c r="Q2" s="632"/>
      <c r="R2" s="632"/>
      <c r="S2" s="632"/>
      <c r="T2" s="632"/>
      <c r="U2" s="632"/>
      <c r="V2" s="633"/>
      <c r="W2" s="633"/>
      <c r="X2" s="629"/>
      <c r="Y2" s="629"/>
      <c r="Z2" s="629"/>
    </row>
    <row r="3" spans="2:26" s="40" customFormat="1" ht="64.5" customHeight="1" x14ac:dyDescent="0.25">
      <c r="B3" s="40" t="s">
        <v>901</v>
      </c>
      <c r="C3" s="41" t="s">
        <v>79</v>
      </c>
      <c r="D3" s="42" t="s">
        <v>80</v>
      </c>
      <c r="E3" s="43" t="s">
        <v>902</v>
      </c>
      <c r="F3" s="43" t="s">
        <v>903</v>
      </c>
      <c r="G3" s="43" t="s">
        <v>904</v>
      </c>
      <c r="H3" s="43" t="s">
        <v>905</v>
      </c>
      <c r="I3" s="43" t="s">
        <v>906</v>
      </c>
      <c r="J3" s="43" t="s">
        <v>907</v>
      </c>
      <c r="K3" s="43" t="s">
        <v>908</v>
      </c>
      <c r="L3" s="44" t="s">
        <v>909</v>
      </c>
      <c r="M3" s="44" t="s">
        <v>910</v>
      </c>
      <c r="N3" s="42" t="s">
        <v>911</v>
      </c>
      <c r="O3" s="45" t="s">
        <v>912</v>
      </c>
      <c r="P3" s="46" t="s">
        <v>913</v>
      </c>
      <c r="Q3" s="47" t="s">
        <v>914</v>
      </c>
      <c r="R3" s="47" t="s">
        <v>671</v>
      </c>
      <c r="S3" s="47" t="s">
        <v>915</v>
      </c>
      <c r="T3" s="47" t="s">
        <v>916</v>
      </c>
      <c r="U3" s="47" t="s">
        <v>917</v>
      </c>
      <c r="V3" s="48" t="s">
        <v>918</v>
      </c>
      <c r="W3" s="48" t="s">
        <v>919</v>
      </c>
      <c r="Y3" s="48" t="s">
        <v>920</v>
      </c>
      <c r="Z3" s="48" t="s">
        <v>921</v>
      </c>
    </row>
    <row r="4" spans="2:26" x14ac:dyDescent="0.25">
      <c r="B4" s="49" t="s">
        <v>435</v>
      </c>
      <c r="C4" s="634"/>
      <c r="D4" s="635"/>
      <c r="E4" s="636"/>
      <c r="F4" s="636"/>
      <c r="G4" s="636"/>
      <c r="H4" s="636"/>
      <c r="I4" s="636"/>
      <c r="J4" s="636"/>
      <c r="K4" s="636"/>
      <c r="L4" s="637"/>
      <c r="M4" s="637"/>
      <c r="N4" s="635"/>
      <c r="O4" s="638"/>
      <c r="P4" s="639"/>
      <c r="Q4" s="640"/>
      <c r="R4" s="640"/>
      <c r="S4" s="640"/>
      <c r="T4" s="640"/>
      <c r="U4" s="640"/>
      <c r="V4" s="641"/>
      <c r="W4" s="641"/>
      <c r="X4" s="629"/>
      <c r="Y4" s="629"/>
      <c r="Z4" s="629"/>
    </row>
    <row r="5" spans="2:26" x14ac:dyDescent="0.25">
      <c r="B5" s="33">
        <v>30</v>
      </c>
      <c r="C5" s="625" t="s">
        <v>132</v>
      </c>
      <c r="D5" s="629" t="s">
        <v>112</v>
      </c>
      <c r="E5" s="627">
        <v>9.85</v>
      </c>
      <c r="F5" s="50" t="s">
        <v>922</v>
      </c>
      <c r="G5" s="627"/>
      <c r="H5" s="627"/>
      <c r="I5" s="627"/>
      <c r="J5" s="627"/>
      <c r="K5" s="627">
        <v>6.25</v>
      </c>
      <c r="L5" s="628">
        <v>1</v>
      </c>
      <c r="M5" s="628">
        <v>0.98</v>
      </c>
      <c r="N5" s="627">
        <f>+E5*K5*L5*M5</f>
        <v>60.331249999999997</v>
      </c>
      <c r="O5" s="630">
        <v>8100</v>
      </c>
      <c r="P5" s="631">
        <f>IF(O5=0,0,N5/O5)</f>
        <v>7.4483024691358018E-3</v>
      </c>
      <c r="Q5" s="632">
        <v>1951500</v>
      </c>
      <c r="R5" s="632">
        <v>265680</v>
      </c>
      <c r="S5" s="632">
        <f>+Q5-R5</f>
        <v>1685820</v>
      </c>
      <c r="T5" s="632">
        <f>+P5*S5</f>
        <v>12556.497268518517</v>
      </c>
      <c r="U5" s="632">
        <f>+T5*0.5</f>
        <v>6278.2486342592583</v>
      </c>
      <c r="V5" s="633">
        <v>10.32</v>
      </c>
      <c r="W5" s="633">
        <v>9.76</v>
      </c>
      <c r="X5" s="629"/>
      <c r="Y5" s="628">
        <f>+W5*1000/U5</f>
        <v>1.5545736667295174</v>
      </c>
      <c r="Z5" s="632">
        <f>+S5*Y5</f>
        <v>2620731.3788459548</v>
      </c>
    </row>
    <row r="6" spans="2:26" x14ac:dyDescent="0.25">
      <c r="B6" s="49" t="s">
        <v>437</v>
      </c>
      <c r="C6" s="634"/>
      <c r="D6" s="635"/>
      <c r="E6" s="636"/>
      <c r="F6" s="636"/>
      <c r="G6" s="636"/>
      <c r="H6" s="636"/>
      <c r="I6" s="636"/>
      <c r="J6" s="636"/>
      <c r="K6" s="636"/>
      <c r="L6" s="637"/>
      <c r="M6" s="637"/>
      <c r="N6" s="636"/>
      <c r="O6" s="638"/>
      <c r="P6" s="639"/>
      <c r="Q6" s="640"/>
      <c r="R6" s="640"/>
      <c r="S6" s="640"/>
      <c r="T6" s="640"/>
      <c r="U6" s="640"/>
      <c r="V6" s="641"/>
      <c r="W6" s="641"/>
      <c r="X6" s="629"/>
      <c r="Y6" s="629"/>
      <c r="Z6" s="629"/>
    </row>
    <row r="7" spans="2:26" x14ac:dyDescent="0.25">
      <c r="B7" s="33">
        <v>110</v>
      </c>
      <c r="C7" s="625" t="s">
        <v>136</v>
      </c>
      <c r="D7" s="629" t="s">
        <v>112</v>
      </c>
      <c r="E7" s="627"/>
      <c r="F7" s="627">
        <v>4.96</v>
      </c>
      <c r="G7" s="627"/>
      <c r="H7" s="627"/>
      <c r="I7" s="627"/>
      <c r="J7" s="627" t="s">
        <v>923</v>
      </c>
      <c r="K7" s="627"/>
      <c r="L7" s="628"/>
      <c r="M7" s="628"/>
      <c r="N7" s="627"/>
      <c r="O7" s="630"/>
      <c r="P7" s="631"/>
      <c r="Q7" s="632"/>
      <c r="R7" s="632"/>
      <c r="S7" s="632"/>
      <c r="T7" s="632"/>
      <c r="U7" s="632"/>
      <c r="V7" s="633"/>
      <c r="W7" s="633"/>
      <c r="X7" s="629"/>
      <c r="Y7" s="628"/>
      <c r="Z7" s="632"/>
    </row>
    <row r="8" spans="2:26" x14ac:dyDescent="0.25">
      <c r="B8" s="33">
        <v>130</v>
      </c>
      <c r="C8" s="625" t="s">
        <v>138</v>
      </c>
      <c r="D8" s="629" t="s">
        <v>112</v>
      </c>
      <c r="E8" s="627">
        <v>6.96</v>
      </c>
      <c r="F8" s="627">
        <v>3.37</v>
      </c>
      <c r="G8" s="627"/>
      <c r="H8" s="627"/>
      <c r="I8" s="627"/>
      <c r="J8" s="627" t="s">
        <v>923</v>
      </c>
      <c r="K8" s="627">
        <v>6.16</v>
      </c>
      <c r="L8" s="628">
        <v>1</v>
      </c>
      <c r="M8" s="628">
        <v>0.98</v>
      </c>
      <c r="N8" s="627">
        <f>+E8*K8*L8*M8</f>
        <v>42.016128000000002</v>
      </c>
      <c r="O8" s="630">
        <v>8100</v>
      </c>
      <c r="P8" s="631">
        <f>IF(O8=0,0,N8/O8)</f>
        <v>5.1871762962962965E-3</v>
      </c>
      <c r="Q8" s="632">
        <v>1951500</v>
      </c>
      <c r="R8" s="632">
        <v>265680</v>
      </c>
      <c r="S8" s="632">
        <f>+Q8-R8</f>
        <v>1685820</v>
      </c>
      <c r="T8" s="632">
        <f>+P8*S8</f>
        <v>8744.645543822222</v>
      </c>
      <c r="U8" s="632">
        <f>+T8*0.5</f>
        <v>4372.322771911111</v>
      </c>
      <c r="V8" s="633">
        <v>7.19</v>
      </c>
      <c r="W8" s="633">
        <v>6.8</v>
      </c>
      <c r="X8" s="629"/>
      <c r="Y8" s="628">
        <f>+W8*1000/U8</f>
        <v>1.5552374229288128</v>
      </c>
      <c r="Z8" s="632">
        <f>+S8*Y8</f>
        <v>2621850.3523218511</v>
      </c>
    </row>
    <row r="9" spans="2:26" x14ac:dyDescent="0.25">
      <c r="B9" s="33">
        <v>140</v>
      </c>
      <c r="C9" s="625" t="s">
        <v>140</v>
      </c>
      <c r="D9" s="629" t="s">
        <v>112</v>
      </c>
      <c r="E9" s="627">
        <v>3.82</v>
      </c>
      <c r="F9" s="627">
        <v>3.93</v>
      </c>
      <c r="G9" s="627"/>
      <c r="H9" s="627"/>
      <c r="I9" s="627"/>
      <c r="J9" s="627" t="s">
        <v>923</v>
      </c>
      <c r="K9" s="627">
        <v>6.16</v>
      </c>
      <c r="L9" s="628">
        <v>1</v>
      </c>
      <c r="M9" s="628">
        <v>0.98</v>
      </c>
      <c r="N9" s="627">
        <f>+E9*K9*L9*M9</f>
        <v>23.060575999999998</v>
      </c>
      <c r="O9" s="630">
        <v>8100</v>
      </c>
      <c r="P9" s="631">
        <f>IF(O9=0,0,N9/O9)</f>
        <v>2.8469846913580245E-3</v>
      </c>
      <c r="Q9" s="632">
        <v>1951500</v>
      </c>
      <c r="R9" s="632">
        <v>265680</v>
      </c>
      <c r="S9" s="632">
        <f>+Q9-R9</f>
        <v>1685820</v>
      </c>
      <c r="T9" s="632">
        <f>+P9*S9</f>
        <v>4799.5037323851848</v>
      </c>
      <c r="U9" s="632">
        <f>+T9*0.5</f>
        <v>2399.7518661925924</v>
      </c>
      <c r="V9" s="633">
        <v>3.94</v>
      </c>
      <c r="W9" s="633">
        <v>3.73</v>
      </c>
      <c r="X9" s="629"/>
      <c r="Y9" s="628">
        <f>+W9*1000/U9</f>
        <v>1.5543273671531539</v>
      </c>
      <c r="Z9" s="632">
        <f>+S9*Y9</f>
        <v>2620316.1620941297</v>
      </c>
    </row>
    <row r="10" spans="2:26" x14ac:dyDescent="0.25">
      <c r="B10" s="33">
        <v>150</v>
      </c>
      <c r="C10" s="625" t="s">
        <v>142</v>
      </c>
      <c r="D10" s="629" t="s">
        <v>112</v>
      </c>
      <c r="E10" s="627">
        <v>4.96</v>
      </c>
      <c r="F10" s="627">
        <v>1.74</v>
      </c>
      <c r="G10" s="627"/>
      <c r="H10" s="627"/>
      <c r="I10" s="627"/>
      <c r="J10" s="627" t="s">
        <v>923</v>
      </c>
      <c r="K10" s="627">
        <v>6.16</v>
      </c>
      <c r="L10" s="628">
        <v>1</v>
      </c>
      <c r="M10" s="628">
        <v>0.98</v>
      </c>
      <c r="N10" s="627">
        <f>+E10*K10*L10*M10</f>
        <v>29.942527999999999</v>
      </c>
      <c r="O10" s="630">
        <v>8100</v>
      </c>
      <c r="P10" s="631">
        <f>IF(O10=0,0,N10/O10)</f>
        <v>3.6966083950617282E-3</v>
      </c>
      <c r="Q10" s="632">
        <v>1951500</v>
      </c>
      <c r="R10" s="632">
        <v>265680</v>
      </c>
      <c r="S10" s="632">
        <f>+Q10-R10</f>
        <v>1685820</v>
      </c>
      <c r="T10" s="632">
        <f>+P10*S10</f>
        <v>6231.8163645629629</v>
      </c>
      <c r="U10" s="632">
        <f>+T10*0.5</f>
        <v>3115.9081822814815</v>
      </c>
      <c r="V10" s="633">
        <v>5.12</v>
      </c>
      <c r="W10" s="633">
        <v>4.84</v>
      </c>
      <c r="X10" s="629"/>
      <c r="Y10" s="628">
        <f>+W10*1000/U10</f>
        <v>1.5533191984033787</v>
      </c>
      <c r="Z10" s="632">
        <f>+S10*Y10</f>
        <v>2618616.5710523841</v>
      </c>
    </row>
    <row r="11" spans="2:26" x14ac:dyDescent="0.25">
      <c r="B11" s="33">
        <v>151</v>
      </c>
      <c r="C11" s="625" t="s">
        <v>144</v>
      </c>
      <c r="D11" s="629" t="s">
        <v>112</v>
      </c>
      <c r="E11" s="627">
        <v>2.5</v>
      </c>
      <c r="F11" s="627">
        <v>1.51</v>
      </c>
      <c r="G11" s="627"/>
      <c r="H11" s="627"/>
      <c r="I11" s="627"/>
      <c r="J11" s="627" t="s">
        <v>923</v>
      </c>
      <c r="K11" s="627">
        <v>5.9</v>
      </c>
      <c r="L11" s="628">
        <v>1</v>
      </c>
      <c r="M11" s="628">
        <v>0.98</v>
      </c>
      <c r="N11" s="627">
        <f>+E11*K11*L11*M11</f>
        <v>14.455</v>
      </c>
      <c r="O11" s="630">
        <v>8100</v>
      </c>
      <c r="P11" s="631">
        <f>IF(O11=0,0,N11/O11)</f>
        <v>1.784567901234568E-3</v>
      </c>
      <c r="Q11" s="632">
        <v>1951500</v>
      </c>
      <c r="R11" s="632">
        <v>265680</v>
      </c>
      <c r="S11" s="632">
        <f>+Q11-R11</f>
        <v>1685820</v>
      </c>
      <c r="T11" s="632">
        <f>+P11*S11</f>
        <v>3008.4602592592596</v>
      </c>
      <c r="U11" s="632">
        <f>+T11*0.5</f>
        <v>1504.2301296296298</v>
      </c>
      <c r="V11" s="633">
        <v>2.4700000000000002</v>
      </c>
      <c r="W11" s="633">
        <v>2.33</v>
      </c>
      <c r="X11" s="629"/>
      <c r="Y11" s="628">
        <f>+W11*1000/U11</f>
        <v>1.5489651178398418</v>
      </c>
      <c r="Z11" s="632">
        <f>+S11*Y11</f>
        <v>2611276.374956762</v>
      </c>
    </row>
    <row r="12" spans="2:26" x14ac:dyDescent="0.25">
      <c r="B12" s="33">
        <v>160</v>
      </c>
      <c r="C12" s="625" t="s">
        <v>146</v>
      </c>
      <c r="D12" s="629" t="s">
        <v>112</v>
      </c>
      <c r="E12" s="627"/>
      <c r="F12" s="627">
        <v>0.99</v>
      </c>
      <c r="G12" s="627"/>
      <c r="H12" s="627"/>
      <c r="I12" s="627"/>
      <c r="J12" s="627" t="s">
        <v>923</v>
      </c>
      <c r="K12" s="627"/>
      <c r="L12" s="628"/>
      <c r="M12" s="628"/>
      <c r="N12" s="627"/>
      <c r="O12" s="630"/>
      <c r="P12" s="631"/>
      <c r="Q12" s="632"/>
      <c r="R12" s="632"/>
      <c r="S12" s="632"/>
      <c r="T12" s="632"/>
      <c r="U12" s="632"/>
      <c r="V12" s="633"/>
      <c r="W12" s="633"/>
      <c r="X12" s="629"/>
      <c r="Y12" s="628"/>
      <c r="Z12" s="632"/>
    </row>
    <row r="13" spans="2:26" x14ac:dyDescent="0.25">
      <c r="B13" s="33">
        <v>170</v>
      </c>
      <c r="C13" s="625" t="s">
        <v>148</v>
      </c>
      <c r="D13" s="629" t="s">
        <v>112</v>
      </c>
      <c r="E13" s="627"/>
      <c r="F13" s="627">
        <v>13.24</v>
      </c>
      <c r="G13" s="627"/>
      <c r="H13" s="627"/>
      <c r="I13" s="627"/>
      <c r="J13" s="627" t="s">
        <v>923</v>
      </c>
      <c r="K13" s="627"/>
      <c r="L13" s="628"/>
      <c r="M13" s="628"/>
      <c r="N13" s="627"/>
      <c r="O13" s="630"/>
      <c r="P13" s="631"/>
      <c r="Q13" s="632"/>
      <c r="R13" s="632"/>
      <c r="S13" s="632"/>
      <c r="T13" s="632"/>
      <c r="U13" s="632"/>
      <c r="V13" s="633"/>
      <c r="W13" s="633"/>
      <c r="X13" s="629"/>
      <c r="Y13" s="628"/>
      <c r="Z13" s="632"/>
    </row>
    <row r="14" spans="2:26" x14ac:dyDescent="0.25">
      <c r="B14" s="49" t="s">
        <v>438</v>
      </c>
      <c r="C14" s="634"/>
      <c r="D14" s="635"/>
      <c r="E14" s="636"/>
      <c r="F14" s="636"/>
      <c r="G14" s="636"/>
      <c r="H14" s="636"/>
      <c r="I14" s="636"/>
      <c r="J14" s="636"/>
      <c r="K14" s="636"/>
      <c r="L14" s="637"/>
      <c r="M14" s="637"/>
      <c r="N14" s="636"/>
      <c r="O14" s="638"/>
      <c r="P14" s="639"/>
      <c r="Q14" s="640"/>
      <c r="R14" s="640"/>
      <c r="S14" s="640"/>
      <c r="T14" s="640"/>
      <c r="U14" s="640"/>
      <c r="V14" s="641"/>
      <c r="W14" s="641"/>
      <c r="X14" s="629"/>
      <c r="Y14" s="629"/>
      <c r="Z14" s="629"/>
    </row>
    <row r="15" spans="2:26" x14ac:dyDescent="0.25">
      <c r="B15" s="33">
        <v>210</v>
      </c>
      <c r="C15" s="625" t="s">
        <v>150</v>
      </c>
      <c r="D15" s="629" t="s">
        <v>151</v>
      </c>
      <c r="E15" s="627">
        <v>9.57</v>
      </c>
      <c r="F15" s="627">
        <v>9.44</v>
      </c>
      <c r="G15" s="627"/>
      <c r="H15" s="627"/>
      <c r="I15" s="627"/>
      <c r="J15" s="627" t="s">
        <v>923</v>
      </c>
      <c r="K15" s="627">
        <v>6.09</v>
      </c>
      <c r="L15" s="628">
        <v>1</v>
      </c>
      <c r="M15" s="628">
        <v>0.98</v>
      </c>
      <c r="N15" s="627">
        <f t="shared" ref="N15:N28" si="0">+E15*K15*L15*M15</f>
        <v>57.115673999999999</v>
      </c>
      <c r="O15" s="630">
        <v>8100</v>
      </c>
      <c r="P15" s="631">
        <f>IF(O15=0,0,N15/O15)</f>
        <v>7.0513177777777776E-3</v>
      </c>
      <c r="Q15" s="632">
        <v>1951500</v>
      </c>
      <c r="R15" s="632">
        <v>265680</v>
      </c>
      <c r="S15" s="632">
        <f>+Q15-R15</f>
        <v>1685820</v>
      </c>
      <c r="T15" s="632">
        <f>+P15*S15</f>
        <v>11887.252536133334</v>
      </c>
      <c r="U15" s="632">
        <f>+T15*0.5</f>
        <v>5943.6262680666669</v>
      </c>
      <c r="V15" s="633">
        <v>9769.6299999999992</v>
      </c>
      <c r="W15" s="633">
        <v>9237.27</v>
      </c>
      <c r="X15" s="629"/>
      <c r="Y15" s="628">
        <f>+W15/U15</f>
        <v>1.5541471794128612</v>
      </c>
      <c r="Z15" s="632">
        <f>+S15*Y15</f>
        <v>2620012.3979977896</v>
      </c>
    </row>
    <row r="16" spans="2:26" x14ac:dyDescent="0.25">
      <c r="B16" s="50" t="s">
        <v>922</v>
      </c>
      <c r="C16" s="625" t="s">
        <v>924</v>
      </c>
      <c r="D16" s="629" t="s">
        <v>151</v>
      </c>
      <c r="E16" s="627">
        <v>6.72</v>
      </c>
      <c r="F16" s="627"/>
      <c r="G16" s="627"/>
      <c r="H16" s="627"/>
      <c r="I16" s="627"/>
      <c r="J16" s="627" t="s">
        <v>923</v>
      </c>
      <c r="K16" s="627">
        <v>6.09</v>
      </c>
      <c r="L16" s="628">
        <v>1</v>
      </c>
      <c r="M16" s="628">
        <v>0.98</v>
      </c>
      <c r="N16" s="627">
        <f t="shared" si="0"/>
        <v>40.106303999999994</v>
      </c>
      <c r="O16" s="630">
        <v>8100</v>
      </c>
      <c r="P16" s="631">
        <f>IF(O16=0,0,N16/O16)</f>
        <v>4.9513955555555546E-3</v>
      </c>
      <c r="Q16" s="632">
        <v>1951500</v>
      </c>
      <c r="R16" s="632">
        <v>265680</v>
      </c>
      <c r="S16" s="632">
        <f>+Q16-R16</f>
        <v>1685820</v>
      </c>
      <c r="T16" s="632">
        <f t="shared" ref="T16:T91" si="1">+P16*S16</f>
        <v>8347.1616554666653</v>
      </c>
      <c r="U16" s="632">
        <f t="shared" ref="U16:U91" si="2">+T16*0.5</f>
        <v>4173.5808277333326</v>
      </c>
      <c r="V16" s="633">
        <v>6860.39</v>
      </c>
      <c r="W16" s="633">
        <v>6485.95</v>
      </c>
      <c r="X16" s="629"/>
      <c r="Y16" s="628">
        <f>+W16/U16</f>
        <v>1.5540492128248808</v>
      </c>
      <c r="Z16" s="632">
        <f>+S16*Y16</f>
        <v>2619847.2439644407</v>
      </c>
    </row>
    <row r="17" spans="2:26" x14ac:dyDescent="0.25">
      <c r="B17" s="33">
        <v>220</v>
      </c>
      <c r="C17" s="625" t="s">
        <v>153</v>
      </c>
      <c r="D17" s="629" t="s">
        <v>151</v>
      </c>
      <c r="E17" s="627"/>
      <c r="F17" s="627">
        <v>7.32</v>
      </c>
      <c r="G17" s="627"/>
      <c r="H17" s="627"/>
      <c r="I17" s="627"/>
      <c r="J17" s="627" t="s">
        <v>923</v>
      </c>
      <c r="K17" s="627"/>
      <c r="L17" s="628"/>
      <c r="M17" s="628"/>
      <c r="N17" s="627"/>
      <c r="O17" s="630"/>
      <c r="P17" s="631"/>
      <c r="Q17" s="632"/>
      <c r="R17" s="632"/>
      <c r="S17" s="632"/>
      <c r="T17" s="632"/>
      <c r="U17" s="632"/>
      <c r="V17" s="633"/>
      <c r="W17" s="633"/>
      <c r="X17" s="629"/>
      <c r="Y17" s="628"/>
      <c r="Z17" s="632"/>
    </row>
    <row r="18" spans="2:26" x14ac:dyDescent="0.25">
      <c r="B18" s="33">
        <v>221</v>
      </c>
      <c r="C18" s="625" t="s">
        <v>155</v>
      </c>
      <c r="D18" s="629" t="s">
        <v>151</v>
      </c>
      <c r="E18" s="627"/>
      <c r="F18" s="627">
        <v>5.44</v>
      </c>
      <c r="G18" s="627">
        <v>2.59</v>
      </c>
      <c r="H18" s="627"/>
      <c r="I18" s="627"/>
      <c r="J18" s="627" t="s">
        <v>923</v>
      </c>
      <c r="K18" s="627"/>
      <c r="L18" s="628"/>
      <c r="M18" s="628"/>
      <c r="N18" s="627"/>
      <c r="O18" s="630"/>
      <c r="P18" s="631"/>
      <c r="Q18" s="632"/>
      <c r="R18" s="632"/>
      <c r="S18" s="632"/>
      <c r="T18" s="632"/>
      <c r="U18" s="632"/>
      <c r="V18" s="633"/>
      <c r="W18" s="633"/>
      <c r="X18" s="629"/>
      <c r="Y18" s="628"/>
      <c r="Z18" s="632"/>
    </row>
    <row r="19" spans="2:26" x14ac:dyDescent="0.25">
      <c r="B19" s="33">
        <v>222</v>
      </c>
      <c r="C19" s="625" t="s">
        <v>157</v>
      </c>
      <c r="D19" s="629" t="s">
        <v>151</v>
      </c>
      <c r="E19" s="627">
        <v>4.2</v>
      </c>
      <c r="F19" s="627">
        <v>4.45</v>
      </c>
      <c r="G19" s="627">
        <v>2.0699999999999998</v>
      </c>
      <c r="H19" s="627">
        <v>2.16</v>
      </c>
      <c r="I19" s="627"/>
      <c r="J19" s="627">
        <v>8.0399999999999991</v>
      </c>
      <c r="K19" s="627"/>
      <c r="L19" s="628"/>
      <c r="M19" s="628"/>
      <c r="N19" s="627"/>
      <c r="O19" s="630"/>
      <c r="P19" s="631"/>
      <c r="Q19" s="632"/>
      <c r="R19" s="632"/>
      <c r="S19" s="632"/>
      <c r="T19" s="632"/>
      <c r="U19" s="632"/>
      <c r="V19" s="633"/>
      <c r="W19" s="633"/>
      <c r="X19" s="629"/>
      <c r="Y19" s="628"/>
      <c r="Z19" s="632"/>
    </row>
    <row r="20" spans="2:26" x14ac:dyDescent="0.25">
      <c r="B20" s="50" t="s">
        <v>922</v>
      </c>
      <c r="C20" s="625" t="s">
        <v>925</v>
      </c>
      <c r="D20" s="629" t="s">
        <v>151</v>
      </c>
      <c r="E20" s="627"/>
      <c r="F20" s="627"/>
      <c r="G20" s="627"/>
      <c r="H20" s="627"/>
      <c r="I20" s="627"/>
      <c r="J20" s="627" t="s">
        <v>923</v>
      </c>
      <c r="K20" s="627">
        <v>6.09</v>
      </c>
      <c r="L20" s="628">
        <v>1</v>
      </c>
      <c r="M20" s="628">
        <v>0.98</v>
      </c>
      <c r="N20" s="627">
        <f>+E19*K20*L20*M20</f>
        <v>25.06644</v>
      </c>
      <c r="O20" s="630">
        <v>8100</v>
      </c>
      <c r="P20" s="631">
        <f t="shared" ref="P20:P28" si="3">IF(O20=0,0,N20/O20)</f>
        <v>3.0946222222222224E-3</v>
      </c>
      <c r="Q20" s="632">
        <v>1951500</v>
      </c>
      <c r="R20" s="632">
        <v>265680</v>
      </c>
      <c r="S20" s="632">
        <f t="shared" ref="S20:S28" si="4">+Q20-R20</f>
        <v>1685820</v>
      </c>
      <c r="T20" s="632">
        <f t="shared" si="1"/>
        <v>5216.9760346666671</v>
      </c>
      <c r="U20" s="632">
        <f t="shared" si="2"/>
        <v>2608.4880173333336</v>
      </c>
      <c r="V20" s="633">
        <v>4288.1499999999996</v>
      </c>
      <c r="W20" s="633">
        <v>4053.72</v>
      </c>
      <c r="X20" s="629"/>
      <c r="Y20" s="628">
        <f>+W20/U20</f>
        <v>1.5540496920296885</v>
      </c>
      <c r="Z20" s="632">
        <f>+S20*Y20</f>
        <v>2619848.0518174893</v>
      </c>
    </row>
    <row r="21" spans="2:26" x14ac:dyDescent="0.25">
      <c r="B21" s="33">
        <v>231</v>
      </c>
      <c r="C21" s="625" t="s">
        <v>526</v>
      </c>
      <c r="D21" s="629" t="s">
        <v>151</v>
      </c>
      <c r="E21" s="627"/>
      <c r="F21" s="627">
        <v>3.44</v>
      </c>
      <c r="G21" s="627"/>
      <c r="H21" s="627"/>
      <c r="I21" s="627"/>
      <c r="J21" s="627" t="s">
        <v>923</v>
      </c>
      <c r="K21" s="627"/>
      <c r="L21" s="628"/>
      <c r="M21" s="628"/>
      <c r="N21" s="627"/>
      <c r="O21" s="630"/>
      <c r="P21" s="631"/>
      <c r="Q21" s="632"/>
      <c r="R21" s="632"/>
      <c r="S21" s="632"/>
      <c r="T21" s="632"/>
      <c r="U21" s="632"/>
      <c r="V21" s="633"/>
      <c r="W21" s="633"/>
      <c r="X21" s="629"/>
      <c r="Y21" s="628"/>
      <c r="Z21" s="632"/>
    </row>
    <row r="22" spans="2:26" x14ac:dyDescent="0.25">
      <c r="B22" s="33">
        <v>230</v>
      </c>
      <c r="C22" s="625" t="s">
        <v>926</v>
      </c>
      <c r="D22" s="629" t="s">
        <v>151</v>
      </c>
      <c r="E22" s="627">
        <v>5.86</v>
      </c>
      <c r="F22" s="627"/>
      <c r="G22" s="627"/>
      <c r="H22" s="627"/>
      <c r="I22" s="627"/>
      <c r="J22" s="627" t="s">
        <v>923</v>
      </c>
      <c r="K22" s="627">
        <v>6.09</v>
      </c>
      <c r="L22" s="628">
        <v>1</v>
      </c>
      <c r="M22" s="628">
        <v>0.98</v>
      </c>
      <c r="N22" s="627">
        <f t="shared" si="0"/>
        <v>34.973652000000001</v>
      </c>
      <c r="O22" s="630">
        <v>8100</v>
      </c>
      <c r="P22" s="631">
        <f t="shared" si="3"/>
        <v>4.3177348148148147E-3</v>
      </c>
      <c r="Q22" s="632">
        <v>1951500</v>
      </c>
      <c r="R22" s="632">
        <v>265680</v>
      </c>
      <c r="S22" s="632">
        <f t="shared" si="4"/>
        <v>1685820</v>
      </c>
      <c r="T22" s="632">
        <f t="shared" si="1"/>
        <v>7278.9237055111107</v>
      </c>
      <c r="U22" s="632">
        <f t="shared" si="2"/>
        <v>3639.4618527555554</v>
      </c>
      <c r="V22" s="633">
        <v>5981.27</v>
      </c>
      <c r="W22" s="633">
        <v>5655.67</v>
      </c>
      <c r="X22" s="629"/>
      <c r="Y22" s="628">
        <f t="shared" ref="Y22:Y60" si="5">+W22/U22</f>
        <v>1.5539852398007434</v>
      </c>
      <c r="Z22" s="632">
        <f t="shared" ref="Z22:Z104" si="6">+S22*Y22</f>
        <v>2619739.3969608895</v>
      </c>
    </row>
    <row r="23" spans="2:26" x14ac:dyDescent="0.25">
      <c r="B23" s="33">
        <v>240</v>
      </c>
      <c r="C23" s="625" t="s">
        <v>927</v>
      </c>
      <c r="D23" s="629" t="s">
        <v>151</v>
      </c>
      <c r="E23" s="627">
        <v>4.99</v>
      </c>
      <c r="F23" s="627">
        <v>5</v>
      </c>
      <c r="G23" s="627"/>
      <c r="H23" s="627"/>
      <c r="I23" s="627"/>
      <c r="J23" s="627" t="s">
        <v>923</v>
      </c>
      <c r="K23" s="627">
        <v>6.09</v>
      </c>
      <c r="L23" s="628">
        <v>1</v>
      </c>
      <c r="M23" s="628">
        <v>0.98</v>
      </c>
      <c r="N23" s="627">
        <f t="shared" si="0"/>
        <v>29.781317999999999</v>
      </c>
      <c r="O23" s="630">
        <v>8100</v>
      </c>
      <c r="P23" s="631">
        <f t="shared" si="3"/>
        <v>3.6767059259259259E-3</v>
      </c>
      <c r="Q23" s="632">
        <v>1951500</v>
      </c>
      <c r="R23" s="632">
        <v>265680</v>
      </c>
      <c r="S23" s="632">
        <f t="shared" si="4"/>
        <v>1685820</v>
      </c>
      <c r="T23" s="632">
        <f t="shared" si="1"/>
        <v>6198.2643840444443</v>
      </c>
      <c r="U23" s="632">
        <f t="shared" si="2"/>
        <v>3099.1321920222222</v>
      </c>
      <c r="V23" s="633">
        <v>5094.01</v>
      </c>
      <c r="W23" s="633">
        <v>4815.62</v>
      </c>
      <c r="X23" s="629"/>
      <c r="Y23" s="628">
        <f t="shared" si="5"/>
        <v>1.5538607912228966</v>
      </c>
      <c r="Z23" s="632">
        <f t="shared" si="6"/>
        <v>2619529.5990593834</v>
      </c>
    </row>
    <row r="24" spans="2:26" x14ac:dyDescent="0.25">
      <c r="B24" s="33">
        <v>251</v>
      </c>
      <c r="C24" s="625" t="s">
        <v>165</v>
      </c>
      <c r="D24" s="629" t="s">
        <v>151</v>
      </c>
      <c r="E24" s="627">
        <v>3.68</v>
      </c>
      <c r="F24" s="627">
        <v>4.2699999999999996</v>
      </c>
      <c r="G24" s="627"/>
      <c r="H24" s="627"/>
      <c r="I24" s="627"/>
      <c r="J24" s="627" t="s">
        <v>923</v>
      </c>
      <c r="K24" s="627">
        <v>6.09</v>
      </c>
      <c r="L24" s="628">
        <v>1</v>
      </c>
      <c r="M24" s="628">
        <v>0.98</v>
      </c>
      <c r="N24" s="627">
        <f t="shared" si="0"/>
        <v>21.962976000000001</v>
      </c>
      <c r="O24" s="630">
        <v>8100</v>
      </c>
      <c r="P24" s="631">
        <f t="shared" si="3"/>
        <v>2.7114785185185187E-3</v>
      </c>
      <c r="Q24" s="632">
        <v>1951500</v>
      </c>
      <c r="R24" s="632">
        <v>265680</v>
      </c>
      <c r="S24" s="632">
        <f t="shared" si="4"/>
        <v>1685820</v>
      </c>
      <c r="T24" s="632">
        <f t="shared" si="1"/>
        <v>4571.0647160888893</v>
      </c>
      <c r="U24" s="632">
        <f t="shared" si="2"/>
        <v>2285.5323580444447</v>
      </c>
      <c r="V24" s="633">
        <v>3755.8</v>
      </c>
      <c r="W24" s="633">
        <v>3552.3</v>
      </c>
      <c r="X24" s="629"/>
      <c r="Y24" s="628">
        <f t="shared" si="5"/>
        <v>1.5542549583675254</v>
      </c>
      <c r="Z24" s="632">
        <f t="shared" si="6"/>
        <v>2620194.0939151417</v>
      </c>
    </row>
    <row r="25" spans="2:26" x14ac:dyDescent="0.25">
      <c r="B25" s="33">
        <v>252</v>
      </c>
      <c r="C25" s="625" t="s">
        <v>167</v>
      </c>
      <c r="D25" s="629" t="s">
        <v>151</v>
      </c>
      <c r="E25" s="627">
        <v>3.44</v>
      </c>
      <c r="F25" s="627">
        <v>3.7</v>
      </c>
      <c r="G25" s="627"/>
      <c r="H25" s="627"/>
      <c r="I25" s="627"/>
      <c r="J25" s="627" t="s">
        <v>923</v>
      </c>
      <c r="K25" s="627">
        <v>6.09</v>
      </c>
      <c r="L25" s="628">
        <v>1</v>
      </c>
      <c r="M25" s="628">
        <v>0.98</v>
      </c>
      <c r="N25" s="627">
        <f t="shared" si="0"/>
        <v>20.530608000000001</v>
      </c>
      <c r="O25" s="630">
        <v>8100</v>
      </c>
      <c r="P25" s="631">
        <f t="shared" si="3"/>
        <v>2.534642962962963E-3</v>
      </c>
      <c r="Q25" s="632">
        <v>1951500</v>
      </c>
      <c r="R25" s="632">
        <v>265680</v>
      </c>
      <c r="S25" s="632">
        <f t="shared" si="4"/>
        <v>1685820</v>
      </c>
      <c r="T25" s="632">
        <f t="shared" si="1"/>
        <v>4272.9517998222227</v>
      </c>
      <c r="U25" s="632">
        <f t="shared" si="2"/>
        <v>2136.4758999111114</v>
      </c>
      <c r="V25" s="633">
        <v>3511.6</v>
      </c>
      <c r="W25" s="633">
        <v>3319.49</v>
      </c>
      <c r="X25" s="629"/>
      <c r="Y25" s="628">
        <f t="shared" si="5"/>
        <v>1.5537221834040384</v>
      </c>
      <c r="Z25" s="632">
        <f t="shared" si="6"/>
        <v>2619295.9312261962</v>
      </c>
    </row>
    <row r="26" spans="2:26" x14ac:dyDescent="0.25">
      <c r="B26" s="33">
        <v>253</v>
      </c>
      <c r="C26" s="625" t="s">
        <v>169</v>
      </c>
      <c r="D26" s="629" t="s">
        <v>151</v>
      </c>
      <c r="E26" s="627">
        <v>2.02</v>
      </c>
      <c r="F26" s="627">
        <v>2.2000000000000002</v>
      </c>
      <c r="G26" s="627"/>
      <c r="H26" s="627"/>
      <c r="I26" s="627"/>
      <c r="J26" s="627" t="s">
        <v>923</v>
      </c>
      <c r="K26" s="627">
        <v>6.2</v>
      </c>
      <c r="L26" s="628">
        <v>1</v>
      </c>
      <c r="M26" s="628">
        <v>0.98</v>
      </c>
      <c r="N26" s="627">
        <f t="shared" si="0"/>
        <v>12.273520000000001</v>
      </c>
      <c r="O26" s="630">
        <v>8100</v>
      </c>
      <c r="P26" s="631">
        <f t="shared" si="3"/>
        <v>1.5152493827160496E-3</v>
      </c>
      <c r="Q26" s="632">
        <v>1951500</v>
      </c>
      <c r="R26" s="632">
        <v>265680</v>
      </c>
      <c r="S26" s="632">
        <f t="shared" si="4"/>
        <v>1685820</v>
      </c>
      <c r="T26" s="632">
        <f t="shared" si="1"/>
        <v>2554.4377143703709</v>
      </c>
      <c r="U26" s="632">
        <f t="shared" si="2"/>
        <v>1277.2188571851855</v>
      </c>
      <c r="V26" s="633">
        <v>2098.4899999999998</v>
      </c>
      <c r="W26" s="633">
        <v>1984.53</v>
      </c>
      <c r="X26" s="629"/>
      <c r="Y26" s="628">
        <f t="shared" si="5"/>
        <v>1.5537900876077189</v>
      </c>
      <c r="Z26" s="632">
        <f t="shared" si="6"/>
        <v>2619410.4054908445</v>
      </c>
    </row>
    <row r="27" spans="2:26" x14ac:dyDescent="0.25">
      <c r="B27" s="33">
        <v>254</v>
      </c>
      <c r="C27" s="625" t="s">
        <v>171</v>
      </c>
      <c r="D27" s="629" t="s">
        <v>151</v>
      </c>
      <c r="E27" s="627">
        <v>2.66</v>
      </c>
      <c r="F27" s="627">
        <v>2.6</v>
      </c>
      <c r="G27" s="627"/>
      <c r="H27" s="627"/>
      <c r="I27" s="627"/>
      <c r="J27" s="627" t="s">
        <v>923</v>
      </c>
      <c r="K27" s="627">
        <v>6.2</v>
      </c>
      <c r="L27" s="628">
        <v>1</v>
      </c>
      <c r="M27" s="628">
        <v>0.98</v>
      </c>
      <c r="N27" s="627">
        <f t="shared" si="0"/>
        <v>16.16216</v>
      </c>
      <c r="O27" s="630">
        <v>8100</v>
      </c>
      <c r="P27" s="631">
        <f t="shared" si="3"/>
        <v>1.9953283950617283E-3</v>
      </c>
      <c r="Q27" s="632">
        <v>1951500</v>
      </c>
      <c r="R27" s="632">
        <v>265680</v>
      </c>
      <c r="S27" s="632">
        <f t="shared" si="4"/>
        <v>1685820</v>
      </c>
      <c r="T27" s="632">
        <f t="shared" si="1"/>
        <v>3363.7645149629629</v>
      </c>
      <c r="U27" s="632">
        <f t="shared" si="2"/>
        <v>1681.8822574814815</v>
      </c>
      <c r="V27" s="633">
        <v>2764.34</v>
      </c>
      <c r="W27" s="633">
        <v>2614.5700000000002</v>
      </c>
      <c r="X27" s="629"/>
      <c r="Y27" s="628">
        <f t="shared" si="5"/>
        <v>1.5545499623232621</v>
      </c>
      <c r="Z27" s="632">
        <f t="shared" si="6"/>
        <v>2620691.417483802</v>
      </c>
    </row>
    <row r="28" spans="2:26" x14ac:dyDescent="0.25">
      <c r="B28" s="33">
        <v>255</v>
      </c>
      <c r="C28" s="625" t="s">
        <v>174</v>
      </c>
      <c r="D28" s="629" t="s">
        <v>151</v>
      </c>
      <c r="E28" s="627">
        <v>2.2799999999999998</v>
      </c>
      <c r="F28" s="627">
        <v>2.4</v>
      </c>
      <c r="G28" s="627"/>
      <c r="H28" s="627"/>
      <c r="I28" s="627"/>
      <c r="J28" s="627" t="s">
        <v>923</v>
      </c>
      <c r="K28" s="627">
        <v>6.09</v>
      </c>
      <c r="L28" s="628">
        <v>1</v>
      </c>
      <c r="M28" s="628">
        <v>0.98</v>
      </c>
      <c r="N28" s="627">
        <f t="shared" si="0"/>
        <v>13.607495999999999</v>
      </c>
      <c r="O28" s="630">
        <v>8100</v>
      </c>
      <c r="P28" s="631">
        <f t="shared" si="3"/>
        <v>1.6799377777777778E-3</v>
      </c>
      <c r="Q28" s="632">
        <v>1951500</v>
      </c>
      <c r="R28" s="632">
        <v>265680</v>
      </c>
      <c r="S28" s="632">
        <f t="shared" si="4"/>
        <v>1685820</v>
      </c>
      <c r="T28" s="632">
        <f t="shared" si="1"/>
        <v>2832.0727045333333</v>
      </c>
      <c r="U28" s="632">
        <f t="shared" si="2"/>
        <v>1416.0363522666667</v>
      </c>
      <c r="V28" s="633">
        <v>2494.1</v>
      </c>
      <c r="W28" s="633">
        <v>2358.9699999999998</v>
      </c>
      <c r="X28" s="629"/>
      <c r="Y28" s="642">
        <f t="shared" si="5"/>
        <v>1.66589649780104</v>
      </c>
      <c r="Z28" s="632">
        <f t="shared" si="6"/>
        <v>2808401.6339229494</v>
      </c>
    </row>
    <row r="29" spans="2:26" x14ac:dyDescent="0.25">
      <c r="B29" s="33">
        <v>265</v>
      </c>
      <c r="C29" s="625" t="s">
        <v>176</v>
      </c>
      <c r="D29" s="629" t="s">
        <v>151</v>
      </c>
      <c r="E29" s="627"/>
      <c r="F29" s="627">
        <v>8.6300000000000008</v>
      </c>
      <c r="G29" s="627"/>
      <c r="H29" s="627"/>
      <c r="I29" s="627"/>
      <c r="J29" s="627" t="s">
        <v>923</v>
      </c>
      <c r="K29" s="627"/>
      <c r="L29" s="628"/>
      <c r="M29" s="628"/>
      <c r="N29" s="627"/>
      <c r="O29" s="630"/>
      <c r="P29" s="631"/>
      <c r="Q29" s="632"/>
      <c r="R29" s="632"/>
      <c r="S29" s="632"/>
      <c r="T29" s="632"/>
      <c r="U29" s="632"/>
      <c r="V29" s="633"/>
      <c r="W29" s="633"/>
      <c r="X29" s="629"/>
      <c r="Y29" s="642"/>
      <c r="Z29" s="632"/>
    </row>
    <row r="30" spans="2:26" x14ac:dyDescent="0.25">
      <c r="B30" s="33">
        <v>270</v>
      </c>
      <c r="C30" s="625" t="s">
        <v>178</v>
      </c>
      <c r="D30" s="629" t="s">
        <v>151</v>
      </c>
      <c r="E30" s="627"/>
      <c r="F30" s="627">
        <v>7.83</v>
      </c>
      <c r="G30" s="627"/>
      <c r="H30" s="627"/>
      <c r="I30" s="627"/>
      <c r="J30" s="627" t="s">
        <v>923</v>
      </c>
      <c r="K30" s="627"/>
      <c r="L30" s="628"/>
      <c r="M30" s="628"/>
      <c r="N30" s="627"/>
      <c r="O30" s="630"/>
      <c r="P30" s="631"/>
      <c r="Q30" s="632"/>
      <c r="R30" s="632"/>
      <c r="S30" s="632"/>
      <c r="T30" s="632"/>
      <c r="U30" s="632"/>
      <c r="V30" s="633"/>
      <c r="W30" s="633"/>
      <c r="X30" s="629"/>
      <c r="Y30" s="642"/>
      <c r="Z30" s="632"/>
    </row>
    <row r="31" spans="2:26" x14ac:dyDescent="0.25">
      <c r="B31" s="49" t="s">
        <v>447</v>
      </c>
      <c r="C31" s="634"/>
      <c r="D31" s="635"/>
      <c r="E31" s="636"/>
      <c r="F31" s="636"/>
      <c r="G31" s="636"/>
      <c r="H31" s="636"/>
      <c r="I31" s="636"/>
      <c r="J31" s="636"/>
      <c r="K31" s="636"/>
      <c r="L31" s="637"/>
      <c r="M31" s="637"/>
      <c r="N31" s="636"/>
      <c r="O31" s="638"/>
      <c r="P31" s="639"/>
      <c r="Q31" s="640"/>
      <c r="R31" s="640"/>
      <c r="S31" s="640"/>
      <c r="T31" s="640"/>
      <c r="U31" s="640"/>
      <c r="V31" s="641"/>
      <c r="W31" s="641"/>
      <c r="X31" s="629"/>
      <c r="Y31" s="628"/>
      <c r="Z31" s="632"/>
    </row>
    <row r="32" spans="2:26" x14ac:dyDescent="0.25">
      <c r="B32" s="33">
        <v>311</v>
      </c>
      <c r="C32" s="625" t="s">
        <v>183</v>
      </c>
      <c r="D32" s="629" t="s">
        <v>181</v>
      </c>
      <c r="E32" s="627">
        <v>8.92</v>
      </c>
      <c r="F32" s="627">
        <v>4.46</v>
      </c>
      <c r="G32" s="627">
        <v>2.2400000000000002</v>
      </c>
      <c r="H32" s="627"/>
      <c r="I32" s="627"/>
      <c r="J32" s="627" t="s">
        <v>923</v>
      </c>
      <c r="K32" s="627">
        <v>6.09</v>
      </c>
      <c r="L32" s="643">
        <v>1</v>
      </c>
      <c r="M32" s="643">
        <v>0.98</v>
      </c>
      <c r="N32" s="627">
        <f>+E32*K32*L32*M32</f>
        <v>53.236344000000003</v>
      </c>
      <c r="O32" s="630">
        <v>8100</v>
      </c>
      <c r="P32" s="631">
        <f>IF(O32=0,0,N32/O32)</f>
        <v>6.5723881481481485E-3</v>
      </c>
      <c r="Q32" s="632">
        <v>1951500</v>
      </c>
      <c r="R32" s="632">
        <v>265680</v>
      </c>
      <c r="S32" s="632">
        <f>+Q32-R32</f>
        <v>1685820</v>
      </c>
      <c r="T32" s="632">
        <f t="shared" si="1"/>
        <v>11079.863387911111</v>
      </c>
      <c r="U32" s="632">
        <f t="shared" si="2"/>
        <v>5539.9316939555556</v>
      </c>
      <c r="V32" s="633">
        <v>6370.3639999999996</v>
      </c>
      <c r="W32" s="633">
        <v>6021.9719999999998</v>
      </c>
      <c r="X32" s="629"/>
      <c r="Y32" s="642">
        <f t="shared" si="5"/>
        <v>1.0870119583911808</v>
      </c>
      <c r="Z32" s="632">
        <f t="shared" si="6"/>
        <v>1832506.4996950205</v>
      </c>
    </row>
    <row r="33" spans="2:26" x14ac:dyDescent="0.25">
      <c r="B33" s="33">
        <v>310</v>
      </c>
      <c r="C33" s="625" t="s">
        <v>180</v>
      </c>
      <c r="D33" s="629" t="s">
        <v>181</v>
      </c>
      <c r="E33" s="627">
        <v>6.24</v>
      </c>
      <c r="F33" s="627">
        <v>8.36</v>
      </c>
      <c r="G33" s="627"/>
      <c r="H33" s="627">
        <v>5.49</v>
      </c>
      <c r="I33" s="627"/>
      <c r="J33" s="627" t="s">
        <v>923</v>
      </c>
      <c r="K33" s="627">
        <v>6.09</v>
      </c>
      <c r="L33" s="643">
        <v>1</v>
      </c>
      <c r="M33" s="643">
        <v>0.98</v>
      </c>
      <c r="N33" s="627">
        <f>+E33*K33*L33*M33</f>
        <v>37.241568000000001</v>
      </c>
      <c r="O33" s="630">
        <v>8100</v>
      </c>
      <c r="P33" s="631">
        <f>IF(O33=0,0,N33/O33)</f>
        <v>4.5977244444444449E-3</v>
      </c>
      <c r="Q33" s="632">
        <v>1951500</v>
      </c>
      <c r="R33" s="632">
        <v>265680</v>
      </c>
      <c r="S33" s="632">
        <f>+Q33-R33</f>
        <v>1685820</v>
      </c>
      <c r="T33" s="632">
        <f t="shared" si="1"/>
        <v>7750.9358229333338</v>
      </c>
      <c r="U33" s="632">
        <f t="shared" si="2"/>
        <v>3875.4679114666669</v>
      </c>
      <c r="V33" s="633">
        <v>9105.4040000000005</v>
      </c>
      <c r="W33" s="633">
        <v>8608.8639999999996</v>
      </c>
      <c r="X33" s="629"/>
      <c r="Y33" s="642">
        <f t="shared" si="5"/>
        <v>2.2213740886689433</v>
      </c>
      <c r="Z33" s="632">
        <f t="shared" si="6"/>
        <v>3744836.8661598777</v>
      </c>
    </row>
    <row r="34" spans="2:26" x14ac:dyDescent="0.25">
      <c r="B34" s="33">
        <v>320</v>
      </c>
      <c r="C34" s="625" t="s">
        <v>185</v>
      </c>
      <c r="D34" s="629" t="s">
        <v>181</v>
      </c>
      <c r="E34" s="627">
        <v>9.11</v>
      </c>
      <c r="F34" s="627">
        <v>3.35</v>
      </c>
      <c r="G34" s="627"/>
      <c r="H34" s="627"/>
      <c r="I34" s="627"/>
      <c r="J34" s="627" t="s">
        <v>923</v>
      </c>
      <c r="K34" s="627">
        <v>6.09</v>
      </c>
      <c r="L34" s="643">
        <v>1</v>
      </c>
      <c r="M34" s="643">
        <v>0.98</v>
      </c>
      <c r="N34" s="627">
        <f>+E34*K34*L34*M34</f>
        <v>54.370301999999995</v>
      </c>
      <c r="O34" s="630">
        <v>8100</v>
      </c>
      <c r="P34" s="631">
        <f>IF(O34=0,0,N34/O34)</f>
        <v>6.7123829629629622E-3</v>
      </c>
      <c r="Q34" s="632">
        <v>1951500</v>
      </c>
      <c r="R34" s="632">
        <v>265680</v>
      </c>
      <c r="S34" s="632">
        <f>+Q34-R34</f>
        <v>1685820</v>
      </c>
      <c r="T34" s="632">
        <f t="shared" si="1"/>
        <v>11315.86944662222</v>
      </c>
      <c r="U34" s="632">
        <f t="shared" si="2"/>
        <v>5657.9347233111102</v>
      </c>
      <c r="V34" s="633">
        <v>9299.1360000000004</v>
      </c>
      <c r="W34" s="633">
        <v>8792.8279999999995</v>
      </c>
      <c r="X34" s="629"/>
      <c r="Y34" s="642">
        <f t="shared" si="5"/>
        <v>1.5540702447083556</v>
      </c>
      <c r="Z34" s="632">
        <f t="shared" si="6"/>
        <v>2619882.69993424</v>
      </c>
    </row>
    <row r="35" spans="2:26" x14ac:dyDescent="0.25">
      <c r="B35" s="33">
        <v>312</v>
      </c>
      <c r="C35" s="625" t="s">
        <v>187</v>
      </c>
      <c r="D35" s="629" t="s">
        <v>181</v>
      </c>
      <c r="E35" s="627"/>
      <c r="F35" s="627">
        <v>4.0199999999999996</v>
      </c>
      <c r="G35" s="627"/>
      <c r="H35" s="627">
        <v>2.72</v>
      </c>
      <c r="I35" s="627"/>
      <c r="J35" s="627" t="s">
        <v>923</v>
      </c>
      <c r="K35" s="627"/>
      <c r="L35" s="643"/>
      <c r="M35" s="643"/>
      <c r="N35" s="627"/>
      <c r="O35" s="630"/>
      <c r="P35" s="631"/>
      <c r="Q35" s="632"/>
      <c r="R35" s="632"/>
      <c r="S35" s="632"/>
      <c r="T35" s="632"/>
      <c r="U35" s="632"/>
      <c r="V35" s="633"/>
      <c r="W35" s="633"/>
      <c r="X35" s="629"/>
      <c r="Y35" s="642"/>
      <c r="Z35" s="632"/>
    </row>
    <row r="36" spans="2:26" x14ac:dyDescent="0.25">
      <c r="B36" s="33">
        <v>330</v>
      </c>
      <c r="C36" s="625" t="s">
        <v>928</v>
      </c>
      <c r="D36" s="629" t="s">
        <v>181</v>
      </c>
      <c r="E36" s="627"/>
      <c r="F36" s="50" t="s">
        <v>922</v>
      </c>
      <c r="G36" s="627"/>
      <c r="H36" s="627"/>
      <c r="I36" s="627"/>
      <c r="J36" s="627" t="s">
        <v>923</v>
      </c>
      <c r="K36" s="627"/>
      <c r="L36" s="643"/>
      <c r="M36" s="643"/>
      <c r="N36" s="627"/>
      <c r="O36" s="630"/>
      <c r="P36" s="631"/>
      <c r="Q36" s="632"/>
      <c r="R36" s="632"/>
      <c r="S36" s="632"/>
      <c r="T36" s="632"/>
      <c r="U36" s="632"/>
      <c r="V36" s="633"/>
      <c r="W36" s="633"/>
      <c r="X36" s="629"/>
      <c r="Y36" s="642"/>
      <c r="Z36" s="632"/>
    </row>
    <row r="37" spans="2:26" x14ac:dyDescent="0.25">
      <c r="B37" s="49" t="s">
        <v>448</v>
      </c>
      <c r="C37" s="634"/>
      <c r="D37" s="635"/>
      <c r="E37" s="636"/>
      <c r="F37" s="636"/>
      <c r="G37" s="636"/>
      <c r="H37" s="636"/>
      <c r="I37" s="636"/>
      <c r="J37" s="636"/>
      <c r="K37" s="636"/>
      <c r="L37" s="637"/>
      <c r="M37" s="637"/>
      <c r="N37" s="636"/>
      <c r="O37" s="638"/>
      <c r="P37" s="639"/>
      <c r="Q37" s="640"/>
      <c r="R37" s="640"/>
      <c r="S37" s="640"/>
      <c r="T37" s="640"/>
      <c r="U37" s="640"/>
      <c r="V37" s="641"/>
      <c r="W37" s="641"/>
      <c r="X37" s="629"/>
      <c r="Y37" s="628"/>
      <c r="Z37" s="632"/>
    </row>
    <row r="38" spans="2:26" x14ac:dyDescent="0.25">
      <c r="B38" s="33">
        <v>420</v>
      </c>
      <c r="C38" s="625" t="s">
        <v>189</v>
      </c>
      <c r="D38" s="629" t="s">
        <v>190</v>
      </c>
      <c r="E38" s="627">
        <v>2.96</v>
      </c>
      <c r="F38" s="627">
        <v>2.41</v>
      </c>
      <c r="G38" s="627"/>
      <c r="H38" s="627"/>
      <c r="I38" s="627"/>
      <c r="J38" s="627" t="s">
        <v>923</v>
      </c>
      <c r="K38" s="627">
        <v>6.3</v>
      </c>
      <c r="L38" s="628">
        <v>1</v>
      </c>
      <c r="M38" s="628">
        <v>0.98</v>
      </c>
      <c r="N38" s="627">
        <f t="shared" ref="N38:N45" si="7">+E38*K38*L38*M38</f>
        <v>18.275040000000001</v>
      </c>
      <c r="O38" s="630">
        <v>8100</v>
      </c>
      <c r="P38" s="631">
        <f t="shared" ref="P38:P45" si="8">IF(O38=0,0,N38/O38)</f>
        <v>2.2561777777777778E-3</v>
      </c>
      <c r="Q38" s="632">
        <v>1951500</v>
      </c>
      <c r="R38" s="632">
        <v>265680</v>
      </c>
      <c r="S38" s="632">
        <f t="shared" ref="S38:S45" si="9">+Q38-R38</f>
        <v>1685820</v>
      </c>
      <c r="T38" s="632">
        <f t="shared" si="1"/>
        <v>3803.5096213333331</v>
      </c>
      <c r="U38" s="632">
        <f t="shared" si="2"/>
        <v>1901.7548106666666</v>
      </c>
      <c r="V38" s="633">
        <v>3125.76</v>
      </c>
      <c r="W38" s="633">
        <v>2954.82</v>
      </c>
      <c r="X38" s="629"/>
      <c r="Y38" s="628">
        <f t="shared" si="5"/>
        <v>1.5537334168562866</v>
      </c>
      <c r="Z38" s="632">
        <f t="shared" si="6"/>
        <v>2619314.8688046653</v>
      </c>
    </row>
    <row r="39" spans="2:26" x14ac:dyDescent="0.25">
      <c r="B39" s="33">
        <v>430</v>
      </c>
      <c r="C39" s="625" t="s">
        <v>192</v>
      </c>
      <c r="D39" s="629" t="s">
        <v>193</v>
      </c>
      <c r="E39" s="627">
        <v>35.74</v>
      </c>
      <c r="F39" s="627">
        <v>30.38</v>
      </c>
      <c r="G39" s="627"/>
      <c r="H39" s="627"/>
      <c r="I39" s="627"/>
      <c r="J39" s="627" t="s">
        <v>923</v>
      </c>
      <c r="K39" s="627">
        <v>6.3</v>
      </c>
      <c r="L39" s="628">
        <v>1</v>
      </c>
      <c r="M39" s="628">
        <v>0.98</v>
      </c>
      <c r="N39" s="627">
        <f t="shared" si="7"/>
        <v>220.65876</v>
      </c>
      <c r="O39" s="630">
        <v>8100</v>
      </c>
      <c r="P39" s="631">
        <f t="shared" si="8"/>
        <v>2.7241822222222222E-2</v>
      </c>
      <c r="Q39" s="632">
        <v>1951500</v>
      </c>
      <c r="R39" s="632">
        <v>265680</v>
      </c>
      <c r="S39" s="632">
        <f t="shared" si="9"/>
        <v>1685820</v>
      </c>
      <c r="T39" s="632">
        <f t="shared" si="1"/>
        <v>45924.808738666667</v>
      </c>
      <c r="U39" s="632">
        <f t="shared" si="2"/>
        <v>22962.404369333333</v>
      </c>
      <c r="V39" s="633">
        <v>37741.923999999999</v>
      </c>
      <c r="W39" s="633">
        <v>35685.760000000002</v>
      </c>
      <c r="X39" s="629"/>
      <c r="Y39" s="628">
        <f t="shared" si="5"/>
        <v>1.5540950950092542</v>
      </c>
      <c r="Z39" s="632">
        <f t="shared" si="6"/>
        <v>2619924.593068501</v>
      </c>
    </row>
    <row r="40" spans="2:26" x14ac:dyDescent="0.25">
      <c r="B40" s="33">
        <v>435</v>
      </c>
      <c r="C40" s="625" t="s">
        <v>929</v>
      </c>
      <c r="D40" s="629" t="s">
        <v>112</v>
      </c>
      <c r="E40" s="627"/>
      <c r="F40" s="50" t="s">
        <v>922</v>
      </c>
      <c r="G40" s="627"/>
      <c r="H40" s="627"/>
      <c r="I40" s="627"/>
      <c r="J40" s="627" t="s">
        <v>923</v>
      </c>
      <c r="K40" s="627"/>
      <c r="L40" s="628"/>
      <c r="M40" s="628">
        <v>0.98</v>
      </c>
      <c r="N40" s="627">
        <f t="shared" si="7"/>
        <v>0</v>
      </c>
      <c r="O40" s="630">
        <v>8100</v>
      </c>
      <c r="P40" s="631">
        <f t="shared" si="8"/>
        <v>0</v>
      </c>
      <c r="Q40" s="632">
        <v>1951500</v>
      </c>
      <c r="R40" s="632">
        <v>265680</v>
      </c>
      <c r="S40" s="632">
        <f t="shared" si="9"/>
        <v>1685820</v>
      </c>
      <c r="T40" s="632">
        <f t="shared" si="1"/>
        <v>0</v>
      </c>
      <c r="U40" s="632">
        <f t="shared" si="2"/>
        <v>0</v>
      </c>
      <c r="V40" s="633">
        <v>95441.5</v>
      </c>
      <c r="W40" s="633">
        <v>90241.668000000005</v>
      </c>
      <c r="X40" s="629"/>
      <c r="Y40" s="628" t="e">
        <f t="shared" si="5"/>
        <v>#DIV/0!</v>
      </c>
      <c r="Z40" s="632" t="e">
        <f t="shared" si="6"/>
        <v>#DIV/0!</v>
      </c>
    </row>
    <row r="41" spans="2:26" x14ac:dyDescent="0.25">
      <c r="B41" s="33">
        <v>444</v>
      </c>
      <c r="C41" s="625" t="s">
        <v>195</v>
      </c>
      <c r="D41" s="629" t="s">
        <v>112</v>
      </c>
      <c r="E41" s="627"/>
      <c r="F41" s="627">
        <v>78.09</v>
      </c>
      <c r="G41" s="627"/>
      <c r="H41" s="627"/>
      <c r="I41" s="627"/>
      <c r="J41" s="627" t="s">
        <v>923</v>
      </c>
      <c r="K41" s="627"/>
      <c r="L41" s="628"/>
      <c r="M41" s="628">
        <v>0.98</v>
      </c>
      <c r="N41" s="627">
        <f t="shared" si="7"/>
        <v>0</v>
      </c>
      <c r="O41" s="630">
        <v>8100</v>
      </c>
      <c r="P41" s="631">
        <f t="shared" si="8"/>
        <v>0</v>
      </c>
      <c r="Q41" s="632">
        <v>1951500</v>
      </c>
      <c r="R41" s="632">
        <v>265680</v>
      </c>
      <c r="S41" s="632">
        <f t="shared" si="9"/>
        <v>1685820</v>
      </c>
      <c r="T41" s="632">
        <f t="shared" si="1"/>
        <v>0</v>
      </c>
      <c r="U41" s="632">
        <f t="shared" si="2"/>
        <v>0</v>
      </c>
      <c r="V41" s="633">
        <v>39247.824000000001</v>
      </c>
      <c r="W41" s="633">
        <v>37400.858</v>
      </c>
      <c r="X41" s="629"/>
      <c r="Y41" s="628" t="e">
        <f t="shared" si="5"/>
        <v>#DIV/0!</v>
      </c>
      <c r="Z41" s="632" t="e">
        <f t="shared" si="6"/>
        <v>#DIV/0!</v>
      </c>
    </row>
    <row r="42" spans="2:26" x14ac:dyDescent="0.25">
      <c r="B42" s="33">
        <v>480</v>
      </c>
      <c r="C42" s="625" t="s">
        <v>199</v>
      </c>
      <c r="D42" s="629" t="s">
        <v>200</v>
      </c>
      <c r="E42" s="627">
        <v>75.760000000000005</v>
      </c>
      <c r="F42" s="627">
        <v>53.41</v>
      </c>
      <c r="G42" s="627"/>
      <c r="H42" s="627"/>
      <c r="I42" s="627"/>
      <c r="J42" s="627" t="s">
        <v>923</v>
      </c>
      <c r="K42" s="627">
        <v>6.3</v>
      </c>
      <c r="L42" s="628">
        <v>1</v>
      </c>
      <c r="M42" s="628">
        <v>0.98</v>
      </c>
      <c r="N42" s="627">
        <f t="shared" si="7"/>
        <v>467.74223999999998</v>
      </c>
      <c r="O42" s="630">
        <v>8100</v>
      </c>
      <c r="P42" s="631">
        <f t="shared" si="8"/>
        <v>5.7745955555555555E-2</v>
      </c>
      <c r="Q42" s="632">
        <v>1951500</v>
      </c>
      <c r="R42" s="632">
        <v>265680</v>
      </c>
      <c r="S42" s="632">
        <f t="shared" si="9"/>
        <v>1685820</v>
      </c>
      <c r="T42" s="632">
        <f t="shared" si="1"/>
        <v>97349.286794666667</v>
      </c>
      <c r="U42" s="632">
        <f t="shared" si="2"/>
        <v>48674.643397333333</v>
      </c>
      <c r="V42" s="633">
        <v>80003.176000000007</v>
      </c>
      <c r="W42" s="633">
        <v>75645.02</v>
      </c>
      <c r="X42" s="629"/>
      <c r="Y42" s="628">
        <f t="shared" si="5"/>
        <v>1.5540950014262305</v>
      </c>
      <c r="Z42" s="632">
        <f t="shared" si="6"/>
        <v>2619924.4353043679</v>
      </c>
    </row>
    <row r="43" spans="2:26" x14ac:dyDescent="0.25">
      <c r="B43" s="33">
        <v>490</v>
      </c>
      <c r="C43" s="625" t="s">
        <v>202</v>
      </c>
      <c r="D43" s="629" t="s">
        <v>203</v>
      </c>
      <c r="E43" s="627">
        <v>31.04</v>
      </c>
      <c r="F43" s="627">
        <v>30.32</v>
      </c>
      <c r="G43" s="627"/>
      <c r="H43" s="627"/>
      <c r="I43" s="627"/>
      <c r="J43" s="627" t="s">
        <v>923</v>
      </c>
      <c r="K43" s="627">
        <v>6.3</v>
      </c>
      <c r="L43" s="628">
        <v>1</v>
      </c>
      <c r="M43" s="628">
        <v>0.98</v>
      </c>
      <c r="N43" s="627">
        <f t="shared" si="7"/>
        <v>191.64095999999998</v>
      </c>
      <c r="O43" s="630">
        <v>8100</v>
      </c>
      <c r="P43" s="631">
        <f t="shared" si="8"/>
        <v>2.3659377777777775E-2</v>
      </c>
      <c r="Q43" s="632">
        <v>1951500</v>
      </c>
      <c r="R43" s="632">
        <v>265680</v>
      </c>
      <c r="S43" s="632">
        <f t="shared" si="9"/>
        <v>1685820</v>
      </c>
      <c r="T43" s="632">
        <f t="shared" si="1"/>
        <v>39885.452245333327</v>
      </c>
      <c r="U43" s="632">
        <f t="shared" si="2"/>
        <v>19942.726122666663</v>
      </c>
      <c r="V43" s="633">
        <v>32778.152000000002</v>
      </c>
      <c r="W43" s="633">
        <v>30992.236000000001</v>
      </c>
      <c r="X43" s="629"/>
      <c r="Y43" s="628">
        <f t="shared" si="5"/>
        <v>1.5540621582710599</v>
      </c>
      <c r="Z43" s="632">
        <f t="shared" si="6"/>
        <v>2619869.067656518</v>
      </c>
    </row>
    <row r="44" spans="2:26" x14ac:dyDescent="0.25">
      <c r="B44" s="33">
        <v>491</v>
      </c>
      <c r="C44" s="625" t="s">
        <v>205</v>
      </c>
      <c r="D44" s="629" t="s">
        <v>203</v>
      </c>
      <c r="E44" s="627">
        <v>38.700000000000003</v>
      </c>
      <c r="F44" s="50" t="s">
        <v>922</v>
      </c>
      <c r="G44" s="627"/>
      <c r="H44" s="627"/>
      <c r="I44" s="627"/>
      <c r="J44" s="627" t="s">
        <v>923</v>
      </c>
      <c r="K44" s="627">
        <v>6.3</v>
      </c>
      <c r="L44" s="628">
        <v>1</v>
      </c>
      <c r="M44" s="628">
        <v>0.98</v>
      </c>
      <c r="N44" s="627">
        <f t="shared" si="7"/>
        <v>238.93379999999999</v>
      </c>
      <c r="O44" s="630">
        <v>8100</v>
      </c>
      <c r="P44" s="631">
        <f t="shared" si="8"/>
        <v>2.9498E-2</v>
      </c>
      <c r="Q44" s="632">
        <v>1951500</v>
      </c>
      <c r="R44" s="632">
        <v>265680</v>
      </c>
      <c r="S44" s="632">
        <f t="shared" si="9"/>
        <v>1685820</v>
      </c>
      <c r="T44" s="632">
        <f t="shared" si="1"/>
        <v>49728.318359999997</v>
      </c>
      <c r="U44" s="632">
        <f t="shared" si="2"/>
        <v>24864.159179999999</v>
      </c>
      <c r="V44" s="633">
        <v>40867.684000000001</v>
      </c>
      <c r="W44" s="633">
        <v>38640.58</v>
      </c>
      <c r="X44" s="629"/>
      <c r="Y44" s="628">
        <f t="shared" si="5"/>
        <v>1.5540674317706811</v>
      </c>
      <c r="Z44" s="632">
        <f t="shared" si="6"/>
        <v>2619877.9578276495</v>
      </c>
    </row>
    <row r="45" spans="2:26" x14ac:dyDescent="0.25">
      <c r="B45" s="33">
        <v>492</v>
      </c>
      <c r="C45" s="625" t="s">
        <v>207</v>
      </c>
      <c r="D45" s="629" t="s">
        <v>112</v>
      </c>
      <c r="E45" s="627">
        <v>4.0199999999999996</v>
      </c>
      <c r="F45" s="50" t="s">
        <v>922</v>
      </c>
      <c r="G45" s="627"/>
      <c r="H45" s="627"/>
      <c r="I45" s="627"/>
      <c r="J45" s="627" t="s">
        <v>923</v>
      </c>
      <c r="K45" s="627">
        <v>6.3</v>
      </c>
      <c r="L45" s="628">
        <v>1</v>
      </c>
      <c r="M45" s="628">
        <v>0.98</v>
      </c>
      <c r="N45" s="627">
        <f t="shared" si="7"/>
        <v>24.819479999999995</v>
      </c>
      <c r="O45" s="630">
        <v>8100</v>
      </c>
      <c r="P45" s="631">
        <f t="shared" si="8"/>
        <v>3.0641333333333329E-3</v>
      </c>
      <c r="Q45" s="632">
        <v>1951500</v>
      </c>
      <c r="R45" s="632">
        <v>265680</v>
      </c>
      <c r="S45" s="632">
        <f t="shared" si="9"/>
        <v>1685820</v>
      </c>
      <c r="T45" s="632">
        <f t="shared" si="1"/>
        <v>5165.5772559999996</v>
      </c>
      <c r="U45" s="632">
        <f t="shared" si="2"/>
        <v>2582.7886279999998</v>
      </c>
      <c r="V45" s="633">
        <v>4.2458</v>
      </c>
      <c r="W45" s="633">
        <v>4.0145999999999997</v>
      </c>
      <c r="X45" s="629"/>
      <c r="Y45" s="628">
        <f t="shared" si="5"/>
        <v>1.5543664535602097E-3</v>
      </c>
      <c r="Z45" s="632">
        <f t="shared" si="6"/>
        <v>2620.3820547408727</v>
      </c>
    </row>
    <row r="46" spans="2:26" x14ac:dyDescent="0.25">
      <c r="B46" s="33">
        <v>495</v>
      </c>
      <c r="C46" s="625" t="s">
        <v>209</v>
      </c>
      <c r="D46" s="629" t="s">
        <v>112</v>
      </c>
      <c r="E46" s="627"/>
      <c r="F46" s="627">
        <v>28.82</v>
      </c>
      <c r="G46" s="627"/>
      <c r="H46" s="627"/>
      <c r="I46" s="627"/>
      <c r="J46" s="627" t="s">
        <v>923</v>
      </c>
      <c r="K46" s="627"/>
      <c r="L46" s="628"/>
      <c r="M46" s="628"/>
      <c r="N46" s="627"/>
      <c r="O46" s="630"/>
      <c r="P46" s="631"/>
      <c r="Q46" s="632"/>
      <c r="R46" s="632"/>
      <c r="S46" s="632"/>
      <c r="T46" s="632"/>
      <c r="U46" s="632"/>
      <c r="V46" s="633"/>
      <c r="W46" s="633"/>
      <c r="X46" s="629"/>
      <c r="Y46" s="628"/>
      <c r="Z46" s="632"/>
    </row>
    <row r="47" spans="2:26" x14ac:dyDescent="0.25">
      <c r="B47" s="49" t="s">
        <v>452</v>
      </c>
      <c r="C47" s="634"/>
      <c r="D47" s="635"/>
      <c r="E47" s="636"/>
      <c r="F47" s="636"/>
      <c r="G47" s="636"/>
      <c r="H47" s="636"/>
      <c r="I47" s="636"/>
      <c r="J47" s="636"/>
      <c r="K47" s="636"/>
      <c r="L47" s="637"/>
      <c r="M47" s="637"/>
      <c r="N47" s="636"/>
      <c r="O47" s="638"/>
      <c r="P47" s="639"/>
      <c r="Q47" s="640"/>
      <c r="R47" s="640"/>
      <c r="S47" s="640"/>
      <c r="T47" s="640"/>
      <c r="U47" s="640"/>
      <c r="V47" s="641"/>
      <c r="W47" s="641"/>
      <c r="X47" s="629"/>
      <c r="Y47" s="628"/>
      <c r="Z47" s="632"/>
    </row>
    <row r="48" spans="2:26" x14ac:dyDescent="0.25">
      <c r="B48" s="33">
        <v>520</v>
      </c>
      <c r="C48" s="625" t="s">
        <v>211</v>
      </c>
      <c r="D48" s="629" t="s">
        <v>212</v>
      </c>
      <c r="E48" s="627">
        <v>1.29</v>
      </c>
      <c r="F48" s="627">
        <v>1.89</v>
      </c>
      <c r="G48" s="627"/>
      <c r="H48" s="627"/>
      <c r="I48" s="627"/>
      <c r="J48" s="627" t="s">
        <v>923</v>
      </c>
      <c r="K48" s="627">
        <v>1.25</v>
      </c>
      <c r="L48" s="628">
        <v>0.75</v>
      </c>
      <c r="M48" s="628">
        <v>0.98</v>
      </c>
      <c r="N48" s="627">
        <f t="shared" ref="N48:N56" si="10">+E48*K48*L48*M48</f>
        <v>1.1851875000000001</v>
      </c>
      <c r="O48" s="630">
        <v>8100</v>
      </c>
      <c r="P48" s="631">
        <f>IF(O48=0,0,N48/O48)</f>
        <v>1.4631944444444444E-4</v>
      </c>
      <c r="Q48" s="632">
        <v>1951500</v>
      </c>
      <c r="R48" s="632">
        <v>265680</v>
      </c>
      <c r="S48" s="632">
        <f>+Q48-R48</f>
        <v>1685820</v>
      </c>
      <c r="T48" s="632">
        <f t="shared" si="1"/>
        <v>246.66824583333334</v>
      </c>
      <c r="U48" s="632">
        <f t="shared" si="2"/>
        <v>123.33412291666667</v>
      </c>
      <c r="V48" s="633">
        <v>203.5</v>
      </c>
      <c r="W48" s="633">
        <v>192.10400000000001</v>
      </c>
      <c r="X48" s="629"/>
      <c r="Y48" s="628">
        <f t="shared" si="5"/>
        <v>1.557590028266542</v>
      </c>
      <c r="Z48" s="632">
        <f t="shared" si="6"/>
        <v>2625816.421452302</v>
      </c>
    </row>
    <row r="49" spans="2:26" x14ac:dyDescent="0.25">
      <c r="B49" s="33">
        <v>530</v>
      </c>
      <c r="C49" s="625" t="s">
        <v>214</v>
      </c>
      <c r="D49" s="629" t="s">
        <v>212</v>
      </c>
      <c r="E49" s="627">
        <v>1.71</v>
      </c>
      <c r="F49" s="627">
        <v>2.0299999999999998</v>
      </c>
      <c r="G49" s="627"/>
      <c r="H49" s="627"/>
      <c r="I49" s="627"/>
      <c r="J49" s="627" t="s">
        <v>923</v>
      </c>
      <c r="K49" s="627">
        <v>4</v>
      </c>
      <c r="L49" s="628">
        <v>1</v>
      </c>
      <c r="M49" s="628">
        <v>0.98</v>
      </c>
      <c r="N49" s="627">
        <f t="shared" si="10"/>
        <v>6.7031999999999998</v>
      </c>
      <c r="O49" s="630">
        <v>8100</v>
      </c>
      <c r="P49" s="631">
        <f>IF(O49=0,0,N49/O49)</f>
        <v>8.2755555555555555E-4</v>
      </c>
      <c r="Q49" s="632">
        <v>1951500</v>
      </c>
      <c r="R49" s="632">
        <v>265680</v>
      </c>
      <c r="S49" s="632">
        <f>+Q49-R49</f>
        <v>1685820</v>
      </c>
      <c r="T49" s="632">
        <f t="shared" si="1"/>
        <v>1395.1097066666666</v>
      </c>
      <c r="U49" s="632">
        <f t="shared" si="2"/>
        <v>697.55485333333331</v>
      </c>
      <c r="V49" s="633">
        <v>1146.1120000000001</v>
      </c>
      <c r="W49" s="633">
        <v>1084.248</v>
      </c>
      <c r="X49" s="629"/>
      <c r="Y49" s="628">
        <f t="shared" si="5"/>
        <v>1.5543551805550719</v>
      </c>
      <c r="Z49" s="632">
        <f t="shared" si="6"/>
        <v>2620363.0504833516</v>
      </c>
    </row>
    <row r="50" spans="2:26" x14ac:dyDescent="0.25">
      <c r="B50" s="33">
        <v>534</v>
      </c>
      <c r="C50" s="625" t="s">
        <v>216</v>
      </c>
      <c r="D50" s="629" t="s">
        <v>212</v>
      </c>
      <c r="E50" s="627"/>
      <c r="F50" s="627">
        <v>4.1100000000000003</v>
      </c>
      <c r="G50" s="627"/>
      <c r="H50" s="627"/>
      <c r="I50" s="627"/>
      <c r="J50" s="627" t="s">
        <v>923</v>
      </c>
      <c r="K50" s="627"/>
      <c r="L50" s="628"/>
      <c r="M50" s="628"/>
      <c r="N50" s="627"/>
      <c r="O50" s="630"/>
      <c r="P50" s="631"/>
      <c r="Q50" s="632"/>
      <c r="R50" s="632"/>
      <c r="S50" s="632"/>
      <c r="T50" s="632"/>
      <c r="U50" s="632"/>
      <c r="V50" s="633"/>
      <c r="W50" s="633"/>
      <c r="X50" s="629"/>
      <c r="Y50" s="628"/>
      <c r="Z50" s="632"/>
    </row>
    <row r="51" spans="2:26" x14ac:dyDescent="0.25">
      <c r="B51" s="33">
        <v>536</v>
      </c>
      <c r="C51" s="625" t="s">
        <v>218</v>
      </c>
      <c r="D51" s="629" t="s">
        <v>212</v>
      </c>
      <c r="E51" s="627"/>
      <c r="F51" s="627">
        <v>2.48</v>
      </c>
      <c r="G51" s="627"/>
      <c r="H51" s="627"/>
      <c r="I51" s="627"/>
      <c r="J51" s="627" t="s">
        <v>923</v>
      </c>
      <c r="K51" s="627"/>
      <c r="L51" s="628"/>
      <c r="M51" s="628"/>
      <c r="N51" s="627"/>
      <c r="O51" s="630"/>
      <c r="P51" s="631"/>
      <c r="Q51" s="632"/>
      <c r="R51" s="632"/>
      <c r="S51" s="632"/>
      <c r="T51" s="632"/>
      <c r="U51" s="632"/>
      <c r="V51" s="633"/>
      <c r="W51" s="633"/>
      <c r="X51" s="629"/>
      <c r="Y51" s="628"/>
      <c r="Z51" s="632"/>
    </row>
    <row r="52" spans="2:26" x14ac:dyDescent="0.25">
      <c r="B52" s="33">
        <v>537</v>
      </c>
      <c r="C52" s="625" t="s">
        <v>220</v>
      </c>
      <c r="D52" s="629" t="s">
        <v>212</v>
      </c>
      <c r="E52" s="627"/>
      <c r="F52" s="627">
        <v>1.85</v>
      </c>
      <c r="G52" s="627"/>
      <c r="H52" s="627"/>
      <c r="I52" s="627"/>
      <c r="J52" s="627" t="s">
        <v>923</v>
      </c>
      <c r="K52" s="627"/>
      <c r="L52" s="628"/>
      <c r="M52" s="628"/>
      <c r="N52" s="627"/>
      <c r="O52" s="630"/>
      <c r="P52" s="631"/>
      <c r="Q52" s="632"/>
      <c r="R52" s="632"/>
      <c r="S52" s="632"/>
      <c r="T52" s="632"/>
      <c r="U52" s="632"/>
      <c r="V52" s="633"/>
      <c r="W52" s="633"/>
      <c r="X52" s="629"/>
      <c r="Y52" s="628"/>
      <c r="Z52" s="632"/>
    </row>
    <row r="53" spans="2:26" x14ac:dyDescent="0.25">
      <c r="B53" s="33">
        <v>540</v>
      </c>
      <c r="C53" s="625" t="s">
        <v>222</v>
      </c>
      <c r="D53" s="629" t="s">
        <v>212</v>
      </c>
      <c r="E53" s="627">
        <v>1.2</v>
      </c>
      <c r="F53" s="627">
        <v>1.1499999999999999</v>
      </c>
      <c r="G53" s="627"/>
      <c r="H53" s="627"/>
      <c r="I53" s="627"/>
      <c r="J53" s="627" t="s">
        <v>923</v>
      </c>
      <c r="K53" s="627">
        <v>6.07</v>
      </c>
      <c r="L53" s="628">
        <v>1</v>
      </c>
      <c r="M53" s="628">
        <v>0.98</v>
      </c>
      <c r="N53" s="627">
        <f t="shared" si="10"/>
        <v>7.1383199999999993</v>
      </c>
      <c r="O53" s="630">
        <v>8100</v>
      </c>
      <c r="P53" s="631">
        <f>IF(O53=0,0,N53/O53)</f>
        <v>8.8127407407407395E-4</v>
      </c>
      <c r="Q53" s="632">
        <v>1951500</v>
      </c>
      <c r="R53" s="632">
        <v>265680</v>
      </c>
      <c r="S53" s="632">
        <f>+Q53-R53</f>
        <v>1685820</v>
      </c>
      <c r="T53" s="632">
        <f t="shared" si="1"/>
        <v>1485.6694595555552</v>
      </c>
      <c r="U53" s="632">
        <f t="shared" si="2"/>
        <v>742.83472977777762</v>
      </c>
      <c r="V53" s="633">
        <v>1221</v>
      </c>
      <c r="W53" s="633">
        <v>1154.252</v>
      </c>
      <c r="X53" s="629"/>
      <c r="Y53" s="628">
        <f t="shared" si="5"/>
        <v>1.5538476510721297</v>
      </c>
      <c r="Z53" s="632">
        <f t="shared" si="6"/>
        <v>2619507.4471304179</v>
      </c>
    </row>
    <row r="54" spans="2:26" x14ac:dyDescent="0.25">
      <c r="B54" s="33">
        <v>550</v>
      </c>
      <c r="C54" s="625" t="s">
        <v>224</v>
      </c>
      <c r="D54" s="629" t="s">
        <v>212</v>
      </c>
      <c r="E54" s="627">
        <v>2.38</v>
      </c>
      <c r="F54" s="627">
        <v>1.56</v>
      </c>
      <c r="G54" s="627"/>
      <c r="H54" s="627"/>
      <c r="I54" s="627"/>
      <c r="J54" s="627" t="s">
        <v>923</v>
      </c>
      <c r="K54" s="627">
        <v>6.07</v>
      </c>
      <c r="L54" s="628">
        <v>1</v>
      </c>
      <c r="M54" s="628">
        <v>0.98</v>
      </c>
      <c r="N54" s="627">
        <f t="shared" si="10"/>
        <v>14.157667999999999</v>
      </c>
      <c r="O54" s="630">
        <v>8100</v>
      </c>
      <c r="P54" s="631">
        <f>IF(O54=0,0,N54/O54)</f>
        <v>1.7478602469135802E-3</v>
      </c>
      <c r="Q54" s="632">
        <v>1951500</v>
      </c>
      <c r="R54" s="632">
        <v>265680</v>
      </c>
      <c r="S54" s="632">
        <f>+Q54-R54</f>
        <v>1685820</v>
      </c>
      <c r="T54" s="632">
        <f t="shared" si="1"/>
        <v>2946.577761451852</v>
      </c>
      <c r="U54" s="632">
        <f t="shared" si="2"/>
        <v>1473.288880725926</v>
      </c>
      <c r="V54" s="633">
        <v>2420.8359999999998</v>
      </c>
      <c r="W54" s="633">
        <v>2288.9679999999998</v>
      </c>
      <c r="X54" s="629"/>
      <c r="Y54" s="628">
        <f t="shared" si="5"/>
        <v>1.5536450657743162</v>
      </c>
      <c r="Z54" s="632">
        <f t="shared" si="6"/>
        <v>2619165.9247836578</v>
      </c>
    </row>
    <row r="55" spans="2:26" x14ac:dyDescent="0.25">
      <c r="B55" s="33">
        <v>560</v>
      </c>
      <c r="C55" s="625" t="s">
        <v>930</v>
      </c>
      <c r="D55" s="629" t="s">
        <v>112</v>
      </c>
      <c r="E55" s="627">
        <v>9.11</v>
      </c>
      <c r="F55" s="627">
        <v>6.95</v>
      </c>
      <c r="G55" s="627"/>
      <c r="H55" s="627"/>
      <c r="I55" s="627"/>
      <c r="J55" s="627" t="s">
        <v>923</v>
      </c>
      <c r="K55" s="627">
        <v>4</v>
      </c>
      <c r="L55" s="628">
        <v>1</v>
      </c>
      <c r="M55" s="628">
        <v>0.98</v>
      </c>
      <c r="N55" s="627">
        <f t="shared" si="10"/>
        <v>35.711199999999998</v>
      </c>
      <c r="O55" s="630">
        <v>8100</v>
      </c>
      <c r="P55" s="631">
        <f>IF(O55=0,0,N55/O55)</f>
        <v>4.40879012345679E-3</v>
      </c>
      <c r="Q55" s="632">
        <v>1951500</v>
      </c>
      <c r="R55" s="632">
        <v>265680</v>
      </c>
      <c r="S55" s="632">
        <f>+Q55-R55</f>
        <v>1685820</v>
      </c>
      <c r="T55" s="632">
        <f t="shared" si="1"/>
        <v>7432.4265659259254</v>
      </c>
      <c r="U55" s="632">
        <f t="shared" si="2"/>
        <v>3716.2132829629627</v>
      </c>
      <c r="V55" s="633">
        <v>6.1082999999999998</v>
      </c>
      <c r="W55" s="633">
        <v>5.7744999999999997</v>
      </c>
      <c r="X55" s="629"/>
      <c r="Y55" s="628">
        <f>+W55*1000/U55</f>
        <v>1.5538666810307376</v>
      </c>
      <c r="Z55" s="632">
        <f t="shared" si="6"/>
        <v>2619539.5282152379</v>
      </c>
    </row>
    <row r="56" spans="2:26" x14ac:dyDescent="0.25">
      <c r="B56" s="33">
        <v>565</v>
      </c>
      <c r="C56" s="625" t="s">
        <v>228</v>
      </c>
      <c r="D56" s="629" t="s">
        <v>112</v>
      </c>
      <c r="E56" s="627">
        <v>79.260000000000005</v>
      </c>
      <c r="F56" s="627">
        <v>47.62</v>
      </c>
      <c r="G56" s="627"/>
      <c r="H56" s="627"/>
      <c r="I56" s="627"/>
      <c r="J56" s="627" t="s">
        <v>923</v>
      </c>
      <c r="K56" s="627">
        <v>1.25</v>
      </c>
      <c r="L56" s="628">
        <v>0.5</v>
      </c>
      <c r="M56" s="628">
        <v>0.98</v>
      </c>
      <c r="N56" s="627">
        <f t="shared" si="10"/>
        <v>48.546750000000003</v>
      </c>
      <c r="O56" s="630">
        <v>8100</v>
      </c>
      <c r="P56" s="631">
        <f>IF(O56=0,0,N56/O56)</f>
        <v>5.9934259259259264E-3</v>
      </c>
      <c r="Q56" s="632">
        <v>1951500</v>
      </c>
      <c r="R56" s="632">
        <v>265680</v>
      </c>
      <c r="S56" s="632">
        <f>+Q56-R56</f>
        <v>1685820</v>
      </c>
      <c r="T56" s="632">
        <f t="shared" si="1"/>
        <v>10103.837294444445</v>
      </c>
      <c r="U56" s="632">
        <f t="shared" si="2"/>
        <v>5051.9186472222227</v>
      </c>
      <c r="V56" s="633">
        <v>8.3027999999999995</v>
      </c>
      <c r="W56" s="633">
        <v>7.8517999999999999</v>
      </c>
      <c r="X56" s="629"/>
      <c r="Y56" s="628">
        <f>+W56*1000/U56</f>
        <v>1.5542213856347986</v>
      </c>
      <c r="Z56" s="632">
        <f t="shared" si="6"/>
        <v>2620137.4963308563</v>
      </c>
    </row>
    <row r="57" spans="2:26" x14ac:dyDescent="0.25">
      <c r="B57" s="33">
        <v>575</v>
      </c>
      <c r="C57" s="625" t="s">
        <v>931</v>
      </c>
      <c r="D57" s="629" t="s">
        <v>112</v>
      </c>
      <c r="E57" s="627"/>
      <c r="F57" s="50" t="s">
        <v>922</v>
      </c>
      <c r="G57" s="627"/>
      <c r="H57" s="627"/>
      <c r="I57" s="627"/>
      <c r="J57" s="627" t="s">
        <v>923</v>
      </c>
      <c r="K57" s="627"/>
      <c r="L57" s="628"/>
      <c r="M57" s="628"/>
      <c r="N57" s="627"/>
      <c r="O57" s="630"/>
      <c r="P57" s="631"/>
      <c r="Q57" s="632"/>
      <c r="R57" s="632"/>
      <c r="S57" s="632"/>
      <c r="T57" s="632"/>
      <c r="U57" s="632"/>
      <c r="V57" s="633"/>
      <c r="W57" s="633"/>
      <c r="X57" s="629"/>
      <c r="Y57" s="628"/>
      <c r="Z57" s="632"/>
    </row>
    <row r="58" spans="2:26" x14ac:dyDescent="0.25">
      <c r="B58" s="49" t="s">
        <v>453</v>
      </c>
      <c r="C58" s="634"/>
      <c r="D58" s="635"/>
      <c r="E58" s="636"/>
      <c r="F58" s="636"/>
      <c r="G58" s="636"/>
      <c r="H58" s="636"/>
      <c r="I58" s="636"/>
      <c r="J58" s="636"/>
      <c r="K58" s="636"/>
      <c r="L58" s="637"/>
      <c r="M58" s="637"/>
      <c r="N58" s="636"/>
      <c r="O58" s="638"/>
      <c r="P58" s="639"/>
      <c r="Q58" s="640"/>
      <c r="R58" s="640"/>
      <c r="S58" s="640"/>
      <c r="T58" s="640"/>
      <c r="U58" s="640"/>
      <c r="V58" s="641"/>
      <c r="W58" s="641"/>
      <c r="X58" s="629"/>
      <c r="Y58" s="628"/>
      <c r="Z58" s="632"/>
    </row>
    <row r="59" spans="2:26" x14ac:dyDescent="0.25">
      <c r="B59" s="33">
        <v>610</v>
      </c>
      <c r="C59" s="625" t="s">
        <v>230</v>
      </c>
      <c r="D59" s="629" t="s">
        <v>112</v>
      </c>
      <c r="E59" s="627">
        <v>17.57</v>
      </c>
      <c r="F59" s="627">
        <v>10.72</v>
      </c>
      <c r="G59" s="627"/>
      <c r="H59" s="627"/>
      <c r="I59" s="627"/>
      <c r="J59" s="627" t="s">
        <v>923</v>
      </c>
      <c r="K59" s="627">
        <v>6.2</v>
      </c>
      <c r="L59" s="628">
        <v>1</v>
      </c>
      <c r="M59" s="628">
        <v>0.98</v>
      </c>
      <c r="N59" s="627">
        <f>+E59*K59*L59*M59</f>
        <v>106.75532000000001</v>
      </c>
      <c r="O59" s="630">
        <v>8100</v>
      </c>
      <c r="P59" s="631">
        <f>IF(O59=0,0,N59/O59)</f>
        <v>1.317966913580247E-2</v>
      </c>
      <c r="Q59" s="632">
        <v>1951500</v>
      </c>
      <c r="R59" s="632">
        <v>265680</v>
      </c>
      <c r="S59" s="632">
        <f>+Q59-R59</f>
        <v>1685820</v>
      </c>
      <c r="T59" s="632">
        <f t="shared" si="1"/>
        <v>22218.549822518518</v>
      </c>
      <c r="U59" s="632">
        <f t="shared" si="2"/>
        <v>11109.274911259259</v>
      </c>
      <c r="V59" s="633">
        <v>18.259599999999999</v>
      </c>
      <c r="W59" s="633">
        <v>17.264900000000001</v>
      </c>
      <c r="X59" s="629"/>
      <c r="Y59" s="628">
        <f>+W59*1000/U59</f>
        <v>1.5540978270779862</v>
      </c>
      <c r="Z59" s="632">
        <f t="shared" si="6"/>
        <v>2619929.1988446107</v>
      </c>
    </row>
    <row r="60" spans="2:26" x14ac:dyDescent="0.25">
      <c r="B60" s="33">
        <v>620</v>
      </c>
      <c r="C60" s="625" t="s">
        <v>232</v>
      </c>
      <c r="D60" s="629" t="s">
        <v>172</v>
      </c>
      <c r="E60" s="627">
        <v>2.37</v>
      </c>
      <c r="F60" s="627">
        <v>3.06</v>
      </c>
      <c r="G60" s="627"/>
      <c r="H60" s="627"/>
      <c r="I60" s="627"/>
      <c r="J60" s="627" t="s">
        <v>923</v>
      </c>
      <c r="K60" s="627">
        <v>6.2</v>
      </c>
      <c r="L60" s="628">
        <v>1</v>
      </c>
      <c r="M60" s="628">
        <v>0.98</v>
      </c>
      <c r="N60" s="627">
        <f>+E60*K60*L60*M60</f>
        <v>14.400120000000001</v>
      </c>
      <c r="O60" s="630">
        <v>8100</v>
      </c>
      <c r="P60" s="631">
        <f>IF(O60=0,0,N60/O60)</f>
        <v>1.7777925925925927E-3</v>
      </c>
      <c r="Q60" s="632">
        <v>1951500</v>
      </c>
      <c r="R60" s="632">
        <v>265680</v>
      </c>
      <c r="S60" s="632">
        <f>+Q60-R60</f>
        <v>1685820</v>
      </c>
      <c r="T60" s="632">
        <f t="shared" si="1"/>
        <v>2997.0383084444447</v>
      </c>
      <c r="U60" s="632">
        <f t="shared" si="2"/>
        <v>1498.5191542222224</v>
      </c>
      <c r="V60" s="633">
        <v>2463.1640000000002</v>
      </c>
      <c r="W60" s="633">
        <v>2328.04</v>
      </c>
      <c r="X60" s="629"/>
      <c r="Y60" s="628">
        <f t="shared" si="5"/>
        <v>1.5535603888949452</v>
      </c>
      <c r="Z60" s="632">
        <f t="shared" si="6"/>
        <v>2619023.1748068766</v>
      </c>
    </row>
    <row r="61" spans="2:26" x14ac:dyDescent="0.25">
      <c r="B61" s="33">
        <v>630</v>
      </c>
      <c r="C61" s="625" t="s">
        <v>234</v>
      </c>
      <c r="D61" s="629" t="s">
        <v>112</v>
      </c>
      <c r="E61" s="627">
        <v>31.45</v>
      </c>
      <c r="F61" s="627">
        <v>38.159999999999997</v>
      </c>
      <c r="G61" s="627"/>
      <c r="H61" s="627"/>
      <c r="I61" s="627"/>
      <c r="J61" s="627" t="s">
        <v>923</v>
      </c>
      <c r="K61" s="627">
        <v>6.2</v>
      </c>
      <c r="L61" s="628">
        <v>1</v>
      </c>
      <c r="M61" s="628">
        <v>0.98</v>
      </c>
      <c r="N61" s="627">
        <f>+E61*K61*L61*M61</f>
        <v>191.09020000000001</v>
      </c>
      <c r="O61" s="630">
        <v>8100</v>
      </c>
      <c r="P61" s="631">
        <f>IF(O61=0,0,N61/O61)</f>
        <v>2.3591382716049384E-2</v>
      </c>
      <c r="Q61" s="632">
        <v>1951500</v>
      </c>
      <c r="R61" s="632">
        <v>265680</v>
      </c>
      <c r="S61" s="632">
        <f>+Q61-R61</f>
        <v>1685820</v>
      </c>
      <c r="T61" s="632">
        <f t="shared" si="1"/>
        <v>39770.824810370374</v>
      </c>
      <c r="U61" s="632">
        <f t="shared" si="2"/>
        <v>19885.412405185187</v>
      </c>
      <c r="V61" s="633">
        <v>32.683700000000002</v>
      </c>
      <c r="W61" s="633">
        <v>30.902699999999999</v>
      </c>
      <c r="X61" s="629"/>
      <c r="Y61" s="628">
        <f>+W61*1000/U61</f>
        <v>1.5540386777164359</v>
      </c>
      <c r="Z61" s="632">
        <f t="shared" si="6"/>
        <v>2619829.4836679217</v>
      </c>
    </row>
    <row r="62" spans="2:26" x14ac:dyDescent="0.25">
      <c r="B62" s="33">
        <v>640</v>
      </c>
      <c r="C62" s="625" t="s">
        <v>236</v>
      </c>
      <c r="D62" s="629" t="s">
        <v>112</v>
      </c>
      <c r="E62" s="627"/>
      <c r="F62" s="627">
        <v>21.5</v>
      </c>
      <c r="G62" s="627"/>
      <c r="H62" s="627"/>
      <c r="I62" s="627"/>
      <c r="J62" s="627" t="s">
        <v>923</v>
      </c>
      <c r="K62" s="627"/>
      <c r="L62" s="628"/>
      <c r="M62" s="628"/>
      <c r="N62" s="627"/>
      <c r="O62" s="630"/>
      <c r="P62" s="631"/>
      <c r="Q62" s="632"/>
      <c r="R62" s="632"/>
      <c r="S62" s="632"/>
      <c r="T62" s="632"/>
      <c r="U62" s="632"/>
      <c r="V62" s="633"/>
      <c r="W62" s="633"/>
      <c r="X62" s="629"/>
      <c r="Y62" s="628"/>
      <c r="Z62" s="632"/>
    </row>
    <row r="63" spans="2:26" x14ac:dyDescent="0.25">
      <c r="B63" s="33">
        <v>650</v>
      </c>
      <c r="C63" s="625" t="s">
        <v>238</v>
      </c>
      <c r="D63" s="629" t="s">
        <v>112</v>
      </c>
      <c r="E63" s="627"/>
      <c r="F63" s="627">
        <v>24.94</v>
      </c>
      <c r="G63" s="627"/>
      <c r="H63" s="627"/>
      <c r="I63" s="627"/>
      <c r="J63" s="627" t="s">
        <v>923</v>
      </c>
      <c r="K63" s="627"/>
      <c r="L63" s="628"/>
      <c r="M63" s="628"/>
      <c r="N63" s="627"/>
      <c r="O63" s="630"/>
      <c r="P63" s="631"/>
      <c r="Q63" s="632"/>
      <c r="R63" s="632"/>
      <c r="S63" s="632"/>
      <c r="T63" s="632"/>
      <c r="U63" s="632"/>
      <c r="V63" s="633"/>
      <c r="W63" s="633"/>
      <c r="X63" s="629"/>
      <c r="Y63" s="628"/>
      <c r="Z63" s="632"/>
    </row>
    <row r="64" spans="2:26" x14ac:dyDescent="0.25">
      <c r="B64" s="49" t="s">
        <v>454</v>
      </c>
      <c r="C64" s="634"/>
      <c r="D64" s="635"/>
      <c r="E64" s="636"/>
      <c r="F64" s="636"/>
      <c r="G64" s="636"/>
      <c r="H64" s="636"/>
      <c r="I64" s="636"/>
      <c r="J64" s="636"/>
      <c r="K64" s="636"/>
      <c r="L64" s="637"/>
      <c r="M64" s="637"/>
      <c r="N64" s="636"/>
      <c r="O64" s="638"/>
      <c r="P64" s="639"/>
      <c r="Q64" s="640"/>
      <c r="R64" s="640"/>
      <c r="S64" s="640"/>
      <c r="T64" s="640"/>
      <c r="U64" s="640"/>
      <c r="V64" s="641"/>
      <c r="W64" s="641"/>
      <c r="X64" s="629"/>
      <c r="Y64" s="628"/>
      <c r="Z64" s="632"/>
    </row>
    <row r="65" spans="1:26" x14ac:dyDescent="0.25">
      <c r="A65" s="629"/>
      <c r="B65" s="33">
        <v>710</v>
      </c>
      <c r="C65" s="625" t="s">
        <v>932</v>
      </c>
      <c r="D65" s="783"/>
      <c r="E65" s="784"/>
      <c r="F65" s="784"/>
      <c r="G65" s="784"/>
      <c r="H65" s="784"/>
      <c r="I65" s="784"/>
      <c r="J65" s="784"/>
      <c r="K65" s="784"/>
      <c r="L65" s="785"/>
      <c r="M65" s="785"/>
      <c r="N65" s="784"/>
      <c r="O65" s="786"/>
      <c r="P65" s="787"/>
      <c r="Q65" s="788"/>
      <c r="R65" s="788"/>
      <c r="S65" s="788"/>
      <c r="T65" s="788"/>
      <c r="U65" s="788"/>
      <c r="V65" s="1037"/>
      <c r="W65" s="1037"/>
      <c r="X65" s="783"/>
      <c r="Y65" s="785"/>
      <c r="Z65" s="788"/>
    </row>
    <row r="66" spans="1:26" x14ac:dyDescent="0.25">
      <c r="A66" s="629">
        <v>25000</v>
      </c>
      <c r="B66" s="33">
        <v>710</v>
      </c>
      <c r="C66" s="625" t="s">
        <v>240</v>
      </c>
      <c r="D66" s="629" t="s">
        <v>112</v>
      </c>
      <c r="E66" s="627">
        <v>15.65</v>
      </c>
      <c r="F66" s="644">
        <f>(0.97*LN(A66))+2.5</f>
        <v>12.322832170734827</v>
      </c>
      <c r="G66" s="627"/>
      <c r="H66" s="627">
        <v>14.87</v>
      </c>
      <c r="I66" s="627">
        <v>13.68</v>
      </c>
      <c r="J66" s="627">
        <v>14.99</v>
      </c>
      <c r="K66" s="627">
        <v>6.07</v>
      </c>
      <c r="L66" s="628">
        <v>1</v>
      </c>
      <c r="M66" s="628">
        <v>0.98</v>
      </c>
      <c r="N66" s="627">
        <f t="shared" ref="N66:N85" si="11">+E66*K66*L66*M66</f>
        <v>93.095590000000001</v>
      </c>
      <c r="O66" s="630">
        <v>8100</v>
      </c>
      <c r="P66" s="631">
        <f t="shared" ref="P66:P75" si="12">IF(O66=0,0,N66/O66)</f>
        <v>1.1493282716049383E-2</v>
      </c>
      <c r="Q66" s="632">
        <v>1951500</v>
      </c>
      <c r="R66" s="632">
        <v>265680</v>
      </c>
      <c r="S66" s="632">
        <f t="shared" ref="S66:S75" si="13">+Q66-R66</f>
        <v>1685820</v>
      </c>
      <c r="T66" s="632">
        <f t="shared" si="1"/>
        <v>19375.60586837037</v>
      </c>
      <c r="U66" s="632">
        <f t="shared" si="2"/>
        <v>9687.8029341851852</v>
      </c>
      <c r="V66" s="633">
        <v>15.9186</v>
      </c>
      <c r="W66" s="633">
        <v>15.0525</v>
      </c>
      <c r="X66" s="629"/>
      <c r="Y66" s="628">
        <f>+W66*1000/U66</f>
        <v>1.5537578646324957</v>
      </c>
      <c r="Z66" s="632">
        <f t="shared" si="6"/>
        <v>2619356.0833547539</v>
      </c>
    </row>
    <row r="67" spans="1:26" x14ac:dyDescent="0.25">
      <c r="A67" s="629">
        <v>75000</v>
      </c>
      <c r="B67" s="33">
        <v>710</v>
      </c>
      <c r="C67" s="625" t="s">
        <v>242</v>
      </c>
      <c r="D67" s="629" t="s">
        <v>112</v>
      </c>
      <c r="E67" s="627">
        <v>13.34</v>
      </c>
      <c r="F67" s="644">
        <f t="shared" ref="F67:F75" si="14">(0.97*LN(A67))+2.5</f>
        <v>13.388486090742893</v>
      </c>
      <c r="G67" s="627"/>
      <c r="H67" s="627">
        <v>14.87</v>
      </c>
      <c r="I67" s="627">
        <v>13.68</v>
      </c>
      <c r="J67" s="627">
        <v>14.99</v>
      </c>
      <c r="K67" s="627">
        <v>6.07</v>
      </c>
      <c r="L67" s="628">
        <v>1</v>
      </c>
      <c r="M67" s="628">
        <v>0.98</v>
      </c>
      <c r="N67" s="627">
        <f t="shared" si="11"/>
        <v>79.354323999999991</v>
      </c>
      <c r="O67" s="630">
        <v>8100</v>
      </c>
      <c r="P67" s="631">
        <f t="shared" si="12"/>
        <v>9.7968301234567894E-3</v>
      </c>
      <c r="Q67" s="632">
        <v>1951500</v>
      </c>
      <c r="R67" s="632">
        <v>265680</v>
      </c>
      <c r="S67" s="632">
        <f t="shared" si="13"/>
        <v>1685820</v>
      </c>
      <c r="T67" s="632">
        <f t="shared" si="1"/>
        <v>16515.692158725924</v>
      </c>
      <c r="U67" s="632">
        <f t="shared" si="2"/>
        <v>8257.846079362962</v>
      </c>
      <c r="V67" s="633">
        <v>13.5726</v>
      </c>
      <c r="W67" s="633">
        <v>12.833500000000001</v>
      </c>
      <c r="X67" s="629"/>
      <c r="Y67" s="628">
        <f t="shared" ref="Y67:Y136" si="15">+W67*1000/U67</f>
        <v>1.554097748572957</v>
      </c>
      <c r="Z67" s="632">
        <f t="shared" si="6"/>
        <v>2619929.0664992626</v>
      </c>
    </row>
    <row r="68" spans="1:26" x14ac:dyDescent="0.25">
      <c r="A68" s="629">
        <v>125000</v>
      </c>
      <c r="B68" s="33">
        <v>710</v>
      </c>
      <c r="C68" s="625" t="s">
        <v>244</v>
      </c>
      <c r="D68" s="629" t="s">
        <v>112</v>
      </c>
      <c r="E68" s="627">
        <v>11.37</v>
      </c>
      <c r="F68" s="644">
        <f t="shared" si="14"/>
        <v>13.883986945795904</v>
      </c>
      <c r="G68" s="627"/>
      <c r="H68" s="627">
        <v>14.87</v>
      </c>
      <c r="I68" s="627">
        <v>13.68</v>
      </c>
      <c r="J68" s="627">
        <v>14.99</v>
      </c>
      <c r="K68" s="627">
        <v>6.07</v>
      </c>
      <c r="L68" s="628">
        <v>1</v>
      </c>
      <c r="M68" s="628">
        <v>0.98</v>
      </c>
      <c r="N68" s="627">
        <f t="shared" si="11"/>
        <v>67.635581999999999</v>
      </c>
      <c r="O68" s="630">
        <v>8100</v>
      </c>
      <c r="P68" s="631">
        <f t="shared" si="12"/>
        <v>8.3500718518518518E-3</v>
      </c>
      <c r="Q68" s="632">
        <v>1951500</v>
      </c>
      <c r="R68" s="632">
        <v>265680</v>
      </c>
      <c r="S68" s="632">
        <f t="shared" si="13"/>
        <v>1685820</v>
      </c>
      <c r="T68" s="632">
        <f t="shared" si="1"/>
        <v>14076.718129288889</v>
      </c>
      <c r="U68" s="632">
        <f t="shared" si="2"/>
        <v>7038.3590646444445</v>
      </c>
      <c r="V68" s="633">
        <v>11.573499999999999</v>
      </c>
      <c r="W68" s="633">
        <v>10.9434</v>
      </c>
      <c r="X68" s="629"/>
      <c r="Y68" s="628">
        <f t="shared" si="15"/>
        <v>1.5548226368517652</v>
      </c>
      <c r="Z68" s="632">
        <f t="shared" si="6"/>
        <v>2621151.097657443</v>
      </c>
    </row>
    <row r="69" spans="1:26" x14ac:dyDescent="0.25">
      <c r="A69" s="629">
        <v>175000</v>
      </c>
      <c r="B69" s="33">
        <v>710</v>
      </c>
      <c r="C69" s="625" t="s">
        <v>246</v>
      </c>
      <c r="D69" s="629" t="s">
        <v>112</v>
      </c>
      <c r="E69" s="627">
        <v>11.37</v>
      </c>
      <c r="F69" s="644">
        <f t="shared" si="14"/>
        <v>14.210365015318482</v>
      </c>
      <c r="G69" s="627"/>
      <c r="H69" s="627">
        <v>14.87</v>
      </c>
      <c r="I69" s="627">
        <v>13.68</v>
      </c>
      <c r="J69" s="627">
        <v>14.99</v>
      </c>
      <c r="K69" s="627">
        <v>6.07</v>
      </c>
      <c r="L69" s="628">
        <v>1</v>
      </c>
      <c r="M69" s="628">
        <v>0.98</v>
      </c>
      <c r="N69" s="627">
        <f t="shared" si="11"/>
        <v>67.635581999999999</v>
      </c>
      <c r="O69" s="630">
        <v>8100</v>
      </c>
      <c r="P69" s="631">
        <f t="shared" si="12"/>
        <v>8.3500718518518518E-3</v>
      </c>
      <c r="Q69" s="632">
        <v>1951500</v>
      </c>
      <c r="R69" s="632">
        <v>265680</v>
      </c>
      <c r="S69" s="632">
        <f t="shared" si="13"/>
        <v>1685820</v>
      </c>
      <c r="T69" s="632">
        <f t="shared" si="1"/>
        <v>14076.718129288889</v>
      </c>
      <c r="U69" s="632">
        <f t="shared" si="2"/>
        <v>7038.3590646444445</v>
      </c>
      <c r="V69" s="633">
        <v>11.573499999999999</v>
      </c>
      <c r="W69" s="633">
        <v>10.9434</v>
      </c>
      <c r="X69" s="629"/>
      <c r="Y69" s="628">
        <f t="shared" si="15"/>
        <v>1.5548226368517652</v>
      </c>
      <c r="Z69" s="632">
        <f t="shared" si="6"/>
        <v>2621151.097657443</v>
      </c>
    </row>
    <row r="70" spans="1:26" x14ac:dyDescent="0.25">
      <c r="A70" s="629">
        <v>225000</v>
      </c>
      <c r="B70" s="33">
        <v>710</v>
      </c>
      <c r="C70" s="625" t="s">
        <v>248</v>
      </c>
      <c r="D70" s="629" t="s">
        <v>112</v>
      </c>
      <c r="E70" s="627">
        <v>10.36</v>
      </c>
      <c r="F70" s="644">
        <f t="shared" si="14"/>
        <v>14.45414001075096</v>
      </c>
      <c r="G70" s="627"/>
      <c r="H70" s="627">
        <v>14.87</v>
      </c>
      <c r="I70" s="627">
        <v>13.68</v>
      </c>
      <c r="J70" s="627">
        <v>14.99</v>
      </c>
      <c r="K70" s="627">
        <v>6.07</v>
      </c>
      <c r="L70" s="628">
        <v>1</v>
      </c>
      <c r="M70" s="628">
        <v>0.98</v>
      </c>
      <c r="N70" s="627">
        <f t="shared" si="11"/>
        <v>61.627495999999994</v>
      </c>
      <c r="O70" s="630">
        <v>8100</v>
      </c>
      <c r="P70" s="631">
        <f t="shared" si="12"/>
        <v>7.6083328395061718E-3</v>
      </c>
      <c r="Q70" s="632">
        <v>1951500</v>
      </c>
      <c r="R70" s="632">
        <v>265680</v>
      </c>
      <c r="S70" s="632">
        <f t="shared" si="13"/>
        <v>1685820</v>
      </c>
      <c r="T70" s="632">
        <f t="shared" si="1"/>
        <v>12826.279667496294</v>
      </c>
      <c r="U70" s="632">
        <f t="shared" si="2"/>
        <v>6413.1398337481469</v>
      </c>
      <c r="V70" s="633">
        <v>10.542899999999999</v>
      </c>
      <c r="W70" s="633">
        <v>9.9681999999999995</v>
      </c>
      <c r="X70" s="629"/>
      <c r="Y70" s="628">
        <f t="shared" si="15"/>
        <v>1.554340035990468</v>
      </c>
      <c r="Z70" s="632">
        <f t="shared" si="6"/>
        <v>2620337.5194734507</v>
      </c>
    </row>
    <row r="71" spans="1:26" x14ac:dyDescent="0.25">
      <c r="A71" s="629">
        <v>350000</v>
      </c>
      <c r="B71" s="33">
        <v>710</v>
      </c>
      <c r="C71" s="625" t="s">
        <v>250</v>
      </c>
      <c r="D71" s="629" t="s">
        <v>112</v>
      </c>
      <c r="E71" s="627">
        <v>9.6999999999999993</v>
      </c>
      <c r="F71" s="644">
        <f t="shared" si="14"/>
        <v>14.882717780461629</v>
      </c>
      <c r="G71" s="627"/>
      <c r="H71" s="627">
        <v>14.87</v>
      </c>
      <c r="I71" s="627">
        <v>13.68</v>
      </c>
      <c r="J71" s="627">
        <v>14.99</v>
      </c>
      <c r="K71" s="627">
        <v>6.07</v>
      </c>
      <c r="L71" s="628">
        <v>1</v>
      </c>
      <c r="M71" s="628">
        <v>0.98</v>
      </c>
      <c r="N71" s="627">
        <f t="shared" si="11"/>
        <v>57.701419999999999</v>
      </c>
      <c r="O71" s="630">
        <v>8100</v>
      </c>
      <c r="P71" s="631">
        <f t="shared" si="12"/>
        <v>7.123632098765432E-3</v>
      </c>
      <c r="Q71" s="632">
        <v>1951500</v>
      </c>
      <c r="R71" s="632">
        <v>265680</v>
      </c>
      <c r="S71" s="632">
        <f t="shared" si="13"/>
        <v>1685820</v>
      </c>
      <c r="T71" s="632">
        <f t="shared" si="1"/>
        <v>12009.16146474074</v>
      </c>
      <c r="U71" s="632">
        <f t="shared" si="2"/>
        <v>6004.5807323703702</v>
      </c>
      <c r="V71" s="633">
        <v>9.8673000000000002</v>
      </c>
      <c r="W71" s="633">
        <v>9.3300999999999998</v>
      </c>
      <c r="X71" s="629"/>
      <c r="Y71" s="628">
        <f t="shared" si="15"/>
        <v>1.5538303864751015</v>
      </c>
      <c r="Z71" s="632">
        <f t="shared" si="6"/>
        <v>2619478.3421274559</v>
      </c>
    </row>
    <row r="72" spans="1:26" x14ac:dyDescent="0.25">
      <c r="A72" s="629">
        <v>450000</v>
      </c>
      <c r="B72" s="33">
        <v>710</v>
      </c>
      <c r="C72" s="625" t="s">
        <v>252</v>
      </c>
      <c r="D72" s="629" t="s">
        <v>112</v>
      </c>
      <c r="E72" s="627">
        <v>9.2100000000000009</v>
      </c>
      <c r="F72" s="644">
        <f t="shared" si="14"/>
        <v>15.126492775894107</v>
      </c>
      <c r="G72" s="627"/>
      <c r="H72" s="627">
        <v>14.87</v>
      </c>
      <c r="I72" s="627">
        <v>13.68</v>
      </c>
      <c r="J72" s="627">
        <v>14.99</v>
      </c>
      <c r="K72" s="627">
        <v>6.07</v>
      </c>
      <c r="L72" s="628">
        <v>1</v>
      </c>
      <c r="M72" s="628">
        <v>0.98</v>
      </c>
      <c r="N72" s="627">
        <f t="shared" si="11"/>
        <v>54.786606000000006</v>
      </c>
      <c r="O72" s="630">
        <v>8100</v>
      </c>
      <c r="P72" s="631">
        <f t="shared" si="12"/>
        <v>6.7637785185185196E-3</v>
      </c>
      <c r="Q72" s="632">
        <v>1951500</v>
      </c>
      <c r="R72" s="632">
        <v>265680</v>
      </c>
      <c r="S72" s="632">
        <f t="shared" si="13"/>
        <v>1685820</v>
      </c>
      <c r="T72" s="632">
        <f t="shared" si="1"/>
        <v>11402.513102088891</v>
      </c>
      <c r="U72" s="632">
        <f t="shared" si="2"/>
        <v>5701.2565510444456</v>
      </c>
      <c r="V72" s="633">
        <v>9.3740000000000006</v>
      </c>
      <c r="W72" s="633">
        <v>8.8628</v>
      </c>
      <c r="X72" s="629"/>
      <c r="Y72" s="628">
        <f t="shared" si="15"/>
        <v>1.5545344996580399</v>
      </c>
      <c r="Z72" s="632">
        <f t="shared" si="6"/>
        <v>2620665.350213517</v>
      </c>
    </row>
    <row r="73" spans="1:26" x14ac:dyDescent="0.25">
      <c r="A73" s="629">
        <v>550000</v>
      </c>
      <c r="B73" s="33">
        <v>710</v>
      </c>
      <c r="C73" s="625" t="s">
        <v>254</v>
      </c>
      <c r="D73" s="629" t="s">
        <v>112</v>
      </c>
      <c r="E73" s="627">
        <v>8.83</v>
      </c>
      <c r="F73" s="644">
        <f t="shared" si="14"/>
        <v>15.321143350492394</v>
      </c>
      <c r="G73" s="627"/>
      <c r="H73" s="627">
        <v>14.87</v>
      </c>
      <c r="I73" s="627">
        <v>13.68</v>
      </c>
      <c r="J73" s="627">
        <v>14.99</v>
      </c>
      <c r="K73" s="627">
        <v>6.07</v>
      </c>
      <c r="L73" s="628">
        <v>1</v>
      </c>
      <c r="M73" s="628">
        <v>0.98</v>
      </c>
      <c r="N73" s="627">
        <f t="shared" si="11"/>
        <v>52.526138000000003</v>
      </c>
      <c r="O73" s="630">
        <v>8100</v>
      </c>
      <c r="P73" s="631">
        <f t="shared" si="12"/>
        <v>6.4847083950617286E-3</v>
      </c>
      <c r="Q73" s="632">
        <v>1951500</v>
      </c>
      <c r="R73" s="632">
        <v>265680</v>
      </c>
      <c r="S73" s="632">
        <f t="shared" si="13"/>
        <v>1685820</v>
      </c>
      <c r="T73" s="632">
        <f t="shared" si="1"/>
        <v>10932.051106562963</v>
      </c>
      <c r="U73" s="632">
        <f t="shared" si="2"/>
        <v>5466.0255532814817</v>
      </c>
      <c r="V73" s="633">
        <v>8.9882000000000009</v>
      </c>
      <c r="W73" s="633">
        <v>8.4998000000000005</v>
      </c>
      <c r="X73" s="629"/>
      <c r="Y73" s="628">
        <f t="shared" si="15"/>
        <v>1.5550238316938014</v>
      </c>
      <c r="Z73" s="632">
        <f t="shared" si="6"/>
        <v>2621490.2759460444</v>
      </c>
    </row>
    <row r="74" spans="1:26" x14ac:dyDescent="0.25">
      <c r="A74" s="629">
        <v>650000</v>
      </c>
      <c r="B74" s="33">
        <v>710</v>
      </c>
      <c r="C74" s="625" t="s">
        <v>256</v>
      </c>
      <c r="D74" s="629" t="s">
        <v>112</v>
      </c>
      <c r="E74" s="627">
        <v>8.5299999999999994</v>
      </c>
      <c r="F74" s="644">
        <f t="shared" si="14"/>
        <v>15.483185812615664</v>
      </c>
      <c r="G74" s="627"/>
      <c r="H74" s="627">
        <v>14.87</v>
      </c>
      <c r="I74" s="627">
        <v>13.68</v>
      </c>
      <c r="J74" s="627">
        <v>14.99</v>
      </c>
      <c r="K74" s="627">
        <v>6.07</v>
      </c>
      <c r="L74" s="628">
        <v>1</v>
      </c>
      <c r="M74" s="628">
        <v>0.98</v>
      </c>
      <c r="N74" s="627">
        <f t="shared" si="11"/>
        <v>50.741557999999998</v>
      </c>
      <c r="O74" s="630">
        <v>8100</v>
      </c>
      <c r="P74" s="631">
        <f t="shared" si="12"/>
        <v>6.26438987654321E-3</v>
      </c>
      <c r="Q74" s="632">
        <v>1951500</v>
      </c>
      <c r="R74" s="632">
        <v>265680</v>
      </c>
      <c r="S74" s="632">
        <f t="shared" si="13"/>
        <v>1685820</v>
      </c>
      <c r="T74" s="632">
        <f t="shared" si="1"/>
        <v>10560.633741674073</v>
      </c>
      <c r="U74" s="632">
        <f t="shared" si="2"/>
        <v>5280.3168708370367</v>
      </c>
      <c r="V74" s="633">
        <v>8.6755999999999993</v>
      </c>
      <c r="W74" s="633">
        <v>8.2035</v>
      </c>
      <c r="X74" s="629"/>
      <c r="Y74" s="628">
        <f t="shared" si="15"/>
        <v>1.5535999449782225</v>
      </c>
      <c r="Z74" s="632">
        <f t="shared" si="6"/>
        <v>2619089.8592431871</v>
      </c>
    </row>
    <row r="75" spans="1:26" x14ac:dyDescent="0.25">
      <c r="A75" s="629">
        <v>1000000</v>
      </c>
      <c r="B75" s="33">
        <v>710</v>
      </c>
      <c r="C75" s="625" t="s">
        <v>258</v>
      </c>
      <c r="D75" s="629" t="s">
        <v>112</v>
      </c>
      <c r="E75" s="627">
        <v>8.24</v>
      </c>
      <c r="F75" s="644">
        <f t="shared" si="14"/>
        <v>15.901045241225345</v>
      </c>
      <c r="G75" s="627"/>
      <c r="H75" s="627">
        <v>14.87</v>
      </c>
      <c r="I75" s="627">
        <v>13.68</v>
      </c>
      <c r="J75" s="627">
        <v>14.99</v>
      </c>
      <c r="K75" s="627">
        <v>6.07</v>
      </c>
      <c r="L75" s="628">
        <v>1</v>
      </c>
      <c r="M75" s="628">
        <v>0.98</v>
      </c>
      <c r="N75" s="627">
        <f t="shared" si="11"/>
        <v>49.016463999999999</v>
      </c>
      <c r="O75" s="630">
        <v>8100</v>
      </c>
      <c r="P75" s="631">
        <f t="shared" si="12"/>
        <v>6.0514153086419749E-3</v>
      </c>
      <c r="Q75" s="632">
        <v>1951500</v>
      </c>
      <c r="R75" s="632">
        <v>265680</v>
      </c>
      <c r="S75" s="632">
        <f t="shared" si="13"/>
        <v>1685820</v>
      </c>
      <c r="T75" s="632">
        <f t="shared" si="1"/>
        <v>10201.596955614814</v>
      </c>
      <c r="U75" s="632">
        <f t="shared" si="2"/>
        <v>5100.7984778074069</v>
      </c>
      <c r="V75" s="633">
        <v>8.4135000000000009</v>
      </c>
      <c r="W75" s="633">
        <v>7.9543999999999997</v>
      </c>
      <c r="X75" s="629"/>
      <c r="Y75" s="628">
        <f t="shared" si="15"/>
        <v>1.5594421215831333</v>
      </c>
      <c r="Z75" s="632">
        <f t="shared" si="6"/>
        <v>2628938.7174072778</v>
      </c>
    </row>
    <row r="76" spans="1:26" x14ac:dyDescent="0.25">
      <c r="A76" s="629"/>
      <c r="B76" s="33">
        <v>712</v>
      </c>
      <c r="C76" s="625" t="s">
        <v>260</v>
      </c>
      <c r="D76" s="629" t="s">
        <v>112</v>
      </c>
      <c r="E76" s="627"/>
      <c r="F76" s="627">
        <v>16.190000000000001</v>
      </c>
      <c r="G76" s="627"/>
      <c r="H76" s="627"/>
      <c r="I76" s="627"/>
      <c r="J76" s="627" t="s">
        <v>923</v>
      </c>
      <c r="K76" s="627"/>
      <c r="L76" s="628"/>
      <c r="M76" s="628"/>
      <c r="N76" s="627"/>
      <c r="O76" s="630"/>
      <c r="P76" s="631"/>
      <c r="Q76" s="632"/>
      <c r="R76" s="632"/>
      <c r="S76" s="632"/>
      <c r="T76" s="632"/>
      <c r="U76" s="632"/>
      <c r="V76" s="633"/>
      <c r="W76" s="633"/>
      <c r="X76" s="629"/>
      <c r="Y76" s="628"/>
      <c r="Z76" s="632"/>
    </row>
    <row r="77" spans="1:26" x14ac:dyDescent="0.25">
      <c r="A77" s="629"/>
      <c r="B77" s="33">
        <v>715</v>
      </c>
      <c r="C77" s="625" t="s">
        <v>264</v>
      </c>
      <c r="D77" s="629" t="s">
        <v>112</v>
      </c>
      <c r="E77" s="627"/>
      <c r="F77" s="627">
        <v>11.25</v>
      </c>
      <c r="G77" s="627"/>
      <c r="H77" s="627"/>
      <c r="I77" s="627"/>
      <c r="J77" s="627" t="s">
        <v>923</v>
      </c>
      <c r="K77" s="627"/>
      <c r="L77" s="628"/>
      <c r="M77" s="628"/>
      <c r="N77" s="627"/>
      <c r="O77" s="630"/>
      <c r="P77" s="631"/>
      <c r="Q77" s="632"/>
      <c r="R77" s="632"/>
      <c r="S77" s="632"/>
      <c r="T77" s="632"/>
      <c r="U77" s="632"/>
      <c r="V77" s="633"/>
      <c r="W77" s="633"/>
      <c r="X77" s="629"/>
      <c r="Y77" s="628"/>
      <c r="Z77" s="632"/>
    </row>
    <row r="78" spans="1:26" x14ac:dyDescent="0.25">
      <c r="A78" s="629"/>
      <c r="B78" s="33">
        <v>714</v>
      </c>
      <c r="C78" s="625" t="s">
        <v>529</v>
      </c>
      <c r="D78" s="629" t="s">
        <v>112</v>
      </c>
      <c r="E78" s="627"/>
      <c r="F78" s="627">
        <v>7.95</v>
      </c>
      <c r="G78" s="627"/>
      <c r="H78" s="627"/>
      <c r="I78" s="627"/>
      <c r="J78" s="627" t="s">
        <v>923</v>
      </c>
      <c r="K78" s="627"/>
      <c r="L78" s="628"/>
      <c r="M78" s="628"/>
      <c r="N78" s="627"/>
      <c r="O78" s="630"/>
      <c r="P78" s="631"/>
      <c r="Q78" s="632"/>
      <c r="R78" s="632"/>
      <c r="S78" s="632"/>
      <c r="T78" s="632"/>
      <c r="U78" s="632"/>
      <c r="V78" s="633"/>
      <c r="W78" s="633"/>
      <c r="X78" s="629"/>
      <c r="Y78" s="628"/>
      <c r="Z78" s="632"/>
    </row>
    <row r="79" spans="1:26" x14ac:dyDescent="0.25">
      <c r="A79" s="629"/>
      <c r="B79" s="33">
        <v>720</v>
      </c>
      <c r="C79" s="625" t="s">
        <v>266</v>
      </c>
      <c r="D79" s="629" t="s">
        <v>112</v>
      </c>
      <c r="E79" s="627">
        <v>36.130000000000003</v>
      </c>
      <c r="F79" s="627">
        <v>34.799999999999997</v>
      </c>
      <c r="G79" s="627"/>
      <c r="H79" s="627"/>
      <c r="I79" s="627"/>
      <c r="J79" s="627" t="s">
        <v>923</v>
      </c>
      <c r="K79" s="627">
        <v>6.07</v>
      </c>
      <c r="L79" s="628">
        <v>1</v>
      </c>
      <c r="M79" s="628">
        <v>0.98</v>
      </c>
      <c r="N79" s="627">
        <f t="shared" si="11"/>
        <v>214.92291800000004</v>
      </c>
      <c r="O79" s="630">
        <v>8100</v>
      </c>
      <c r="P79" s="631">
        <f>IF(O79=0,0,N79/O79)</f>
        <v>2.6533693580246917E-2</v>
      </c>
      <c r="Q79" s="632">
        <v>1951500</v>
      </c>
      <c r="R79" s="632">
        <v>265680</v>
      </c>
      <c r="S79" s="632">
        <f>+Q79-R79</f>
        <v>1685820</v>
      </c>
      <c r="T79" s="632">
        <f t="shared" si="1"/>
        <v>44731.031311451858</v>
      </c>
      <c r="U79" s="632">
        <f t="shared" si="2"/>
        <v>22365.515655725929</v>
      </c>
      <c r="V79" s="633">
        <v>36.760199999999998</v>
      </c>
      <c r="W79" s="633">
        <v>34.757800000000003</v>
      </c>
      <c r="X79" s="629"/>
      <c r="Y79" s="628">
        <f t="shared" si="15"/>
        <v>1.5540799745031344</v>
      </c>
      <c r="Z79" s="632">
        <f t="shared" si="6"/>
        <v>2619899.102616874</v>
      </c>
    </row>
    <row r="80" spans="1:26" x14ac:dyDescent="0.25">
      <c r="A80" s="629"/>
      <c r="B80" s="33">
        <v>730</v>
      </c>
      <c r="C80" s="625" t="s">
        <v>268</v>
      </c>
      <c r="D80" s="629" t="s">
        <v>112</v>
      </c>
      <c r="E80" s="627"/>
      <c r="F80" s="627">
        <v>22.59</v>
      </c>
      <c r="G80" s="627"/>
      <c r="H80" s="627"/>
      <c r="I80" s="627"/>
      <c r="J80" s="627" t="s">
        <v>923</v>
      </c>
      <c r="K80" s="627"/>
      <c r="L80" s="628"/>
      <c r="M80" s="628"/>
      <c r="N80" s="627"/>
      <c r="O80" s="630"/>
      <c r="P80" s="631"/>
      <c r="Q80" s="632"/>
      <c r="R80" s="632"/>
      <c r="S80" s="632"/>
      <c r="T80" s="632"/>
      <c r="U80" s="632"/>
      <c r="V80" s="633"/>
      <c r="W80" s="633"/>
      <c r="X80" s="629"/>
      <c r="Y80" s="628"/>
      <c r="Z80" s="632"/>
    </row>
    <row r="81" spans="1:26" x14ac:dyDescent="0.25">
      <c r="A81" s="629"/>
      <c r="B81" s="33">
        <v>731</v>
      </c>
      <c r="C81" s="625" t="s">
        <v>270</v>
      </c>
      <c r="D81" s="629" t="s">
        <v>112</v>
      </c>
      <c r="E81" s="627"/>
      <c r="F81" s="627">
        <v>11.21</v>
      </c>
      <c r="G81" s="627"/>
      <c r="H81" s="627"/>
      <c r="I81" s="627"/>
      <c r="J81" s="627" t="s">
        <v>923</v>
      </c>
      <c r="K81" s="627"/>
      <c r="L81" s="628"/>
      <c r="M81" s="628"/>
      <c r="N81" s="627"/>
      <c r="O81" s="630"/>
      <c r="P81" s="631"/>
      <c r="Q81" s="632"/>
      <c r="R81" s="632"/>
      <c r="S81" s="632"/>
      <c r="T81" s="632"/>
      <c r="U81" s="632"/>
      <c r="V81" s="633"/>
      <c r="W81" s="633"/>
      <c r="X81" s="629"/>
      <c r="Y81" s="628"/>
      <c r="Z81" s="632"/>
    </row>
    <row r="82" spans="1:26" x14ac:dyDescent="0.25">
      <c r="A82" s="629"/>
      <c r="B82" s="33">
        <v>733</v>
      </c>
      <c r="C82" s="625" t="s">
        <v>272</v>
      </c>
      <c r="D82" s="629" t="s">
        <v>112</v>
      </c>
      <c r="E82" s="627"/>
      <c r="F82" s="627">
        <v>33.979999999999997</v>
      </c>
      <c r="G82" s="627"/>
      <c r="H82" s="627"/>
      <c r="I82" s="627"/>
      <c r="J82" s="627" t="s">
        <v>923</v>
      </c>
      <c r="K82" s="627"/>
      <c r="L82" s="628"/>
      <c r="M82" s="628"/>
      <c r="N82" s="627"/>
      <c r="O82" s="630"/>
      <c r="P82" s="631"/>
      <c r="Q82" s="632"/>
      <c r="R82" s="632"/>
      <c r="S82" s="632"/>
      <c r="T82" s="632"/>
      <c r="U82" s="632"/>
      <c r="V82" s="633"/>
      <c r="W82" s="633"/>
      <c r="X82" s="629"/>
      <c r="Y82" s="628"/>
      <c r="Z82" s="632"/>
    </row>
    <row r="83" spans="1:26" x14ac:dyDescent="0.25">
      <c r="A83" s="629"/>
      <c r="B83" s="33">
        <v>750</v>
      </c>
      <c r="C83" s="625" t="s">
        <v>274</v>
      </c>
      <c r="D83" s="629" t="s">
        <v>112</v>
      </c>
      <c r="E83" s="627">
        <v>11.42</v>
      </c>
      <c r="F83" s="627">
        <v>11.07</v>
      </c>
      <c r="G83" s="627"/>
      <c r="H83" s="627"/>
      <c r="I83" s="627"/>
      <c r="J83" s="627" t="s">
        <v>923</v>
      </c>
      <c r="K83" s="627">
        <v>6.07</v>
      </c>
      <c r="L83" s="628">
        <v>1</v>
      </c>
      <c r="M83" s="628">
        <v>0.98</v>
      </c>
      <c r="N83" s="627">
        <f t="shared" si="11"/>
        <v>67.933012000000005</v>
      </c>
      <c r="O83" s="630">
        <v>8100</v>
      </c>
      <c r="P83" s="631">
        <f>IF(O83=0,0,N83/O83)</f>
        <v>8.3867916049382724E-3</v>
      </c>
      <c r="Q83" s="632">
        <v>1951500</v>
      </c>
      <c r="R83" s="632">
        <v>265680</v>
      </c>
      <c r="S83" s="632">
        <f>+Q83-R83</f>
        <v>1685820</v>
      </c>
      <c r="T83" s="632">
        <f t="shared" si="1"/>
        <v>14138.621023437039</v>
      </c>
      <c r="U83" s="632">
        <f t="shared" si="2"/>
        <v>7069.3105117185196</v>
      </c>
      <c r="V83" s="633">
        <v>11.619</v>
      </c>
      <c r="W83" s="633">
        <v>10.9857</v>
      </c>
      <c r="X83" s="629"/>
      <c r="Y83" s="628">
        <f t="shared" si="15"/>
        <v>1.5539987926388907</v>
      </c>
      <c r="Z83" s="632">
        <f t="shared" si="6"/>
        <v>2619762.2446064949</v>
      </c>
    </row>
    <row r="84" spans="1:26" x14ac:dyDescent="0.25">
      <c r="A84" s="629"/>
      <c r="B84" s="33">
        <v>760</v>
      </c>
      <c r="C84" s="625" t="s">
        <v>276</v>
      </c>
      <c r="D84" s="629" t="s">
        <v>112</v>
      </c>
      <c r="E84" s="627">
        <v>8.11</v>
      </c>
      <c r="F84" s="627">
        <v>11.26</v>
      </c>
      <c r="G84" s="627"/>
      <c r="H84" s="627"/>
      <c r="I84" s="627"/>
      <c r="J84" s="627" t="s">
        <v>923</v>
      </c>
      <c r="K84" s="627">
        <v>6.07</v>
      </c>
      <c r="L84" s="628">
        <v>1</v>
      </c>
      <c r="M84" s="628">
        <v>0.98</v>
      </c>
      <c r="N84" s="627">
        <f t="shared" si="11"/>
        <v>48.243145999999996</v>
      </c>
      <c r="O84" s="630">
        <v>8100</v>
      </c>
      <c r="P84" s="631">
        <f>IF(O84=0,0,N84/O84)</f>
        <v>5.9559439506172837E-3</v>
      </c>
      <c r="Q84" s="632">
        <v>1951500</v>
      </c>
      <c r="R84" s="632">
        <v>265680</v>
      </c>
      <c r="S84" s="632">
        <f>+Q84-R84</f>
        <v>1685820</v>
      </c>
      <c r="T84" s="632">
        <f t="shared" si="1"/>
        <v>10040.64943082963</v>
      </c>
      <c r="U84" s="632">
        <f t="shared" si="2"/>
        <v>5020.3247154148148</v>
      </c>
      <c r="V84" s="633">
        <v>8.2507000000000001</v>
      </c>
      <c r="W84" s="633">
        <v>7.8014000000000001</v>
      </c>
      <c r="X84" s="629"/>
      <c r="Y84" s="628">
        <f t="shared" si="15"/>
        <v>1.5539632279254656</v>
      </c>
      <c r="Z84" s="632">
        <f t="shared" si="6"/>
        <v>2619702.2889013086</v>
      </c>
    </row>
    <row r="85" spans="1:26" x14ac:dyDescent="0.25">
      <c r="A85" s="629"/>
      <c r="B85" s="33">
        <v>770</v>
      </c>
      <c r="C85" s="625" t="s">
        <v>278</v>
      </c>
      <c r="D85" s="629" t="s">
        <v>112</v>
      </c>
      <c r="E85" s="627">
        <v>12.76</v>
      </c>
      <c r="F85" s="627">
        <v>12.44</v>
      </c>
      <c r="G85" s="627"/>
      <c r="H85" s="627"/>
      <c r="I85" s="627"/>
      <c r="J85" s="627" t="s">
        <v>923</v>
      </c>
      <c r="K85" s="627">
        <v>6.07</v>
      </c>
      <c r="L85" s="628">
        <v>1</v>
      </c>
      <c r="M85" s="628">
        <v>0.98</v>
      </c>
      <c r="N85" s="627">
        <f t="shared" si="11"/>
        <v>75.904135999999994</v>
      </c>
      <c r="O85" s="630">
        <v>8100</v>
      </c>
      <c r="P85" s="631">
        <f>IF(O85=0,0,N85/O85)</f>
        <v>9.370880987654321E-3</v>
      </c>
      <c r="Q85" s="632">
        <v>1951500</v>
      </c>
      <c r="R85" s="632">
        <v>265680</v>
      </c>
      <c r="S85" s="632">
        <f>+Q85-R85</f>
        <v>1685820</v>
      </c>
      <c r="T85" s="632">
        <f t="shared" si="1"/>
        <v>15797.618586607407</v>
      </c>
      <c r="U85" s="632">
        <f t="shared" si="2"/>
        <v>7898.8092933037033</v>
      </c>
      <c r="V85" s="633">
        <v>12.9833</v>
      </c>
      <c r="W85" s="633">
        <v>12.2751</v>
      </c>
      <c r="X85" s="629"/>
      <c r="Y85" s="628">
        <f t="shared" si="15"/>
        <v>1.5540443558254207</v>
      </c>
      <c r="Z85" s="632">
        <f t="shared" si="6"/>
        <v>2619839.0559376106</v>
      </c>
    </row>
    <row r="86" spans="1:26" x14ac:dyDescent="0.25">
      <c r="A86" s="629"/>
      <c r="B86" s="49" t="s">
        <v>465</v>
      </c>
      <c r="C86" s="634"/>
      <c r="D86" s="635"/>
      <c r="E86" s="636"/>
      <c r="F86" s="636"/>
      <c r="G86" s="636"/>
      <c r="H86" s="636"/>
      <c r="I86" s="636"/>
      <c r="J86" s="636"/>
      <c r="K86" s="636"/>
      <c r="L86" s="637"/>
      <c r="M86" s="637"/>
      <c r="N86" s="636"/>
      <c r="O86" s="638"/>
      <c r="P86" s="639"/>
      <c r="Q86" s="640"/>
      <c r="R86" s="640"/>
      <c r="S86" s="640"/>
      <c r="T86" s="640"/>
      <c r="U86" s="640"/>
      <c r="V86" s="641"/>
      <c r="W86" s="641"/>
      <c r="X86" s="629"/>
      <c r="Y86" s="628"/>
      <c r="Z86" s="632"/>
    </row>
    <row r="87" spans="1:26" x14ac:dyDescent="0.25">
      <c r="A87" s="629"/>
      <c r="B87" s="33">
        <v>813</v>
      </c>
      <c r="C87" s="625" t="s">
        <v>282</v>
      </c>
      <c r="D87" s="629" t="s">
        <v>112</v>
      </c>
      <c r="E87" s="627">
        <v>50.75</v>
      </c>
      <c r="F87" s="627">
        <v>50.7</v>
      </c>
      <c r="G87" s="627"/>
      <c r="H87" s="627"/>
      <c r="I87" s="627"/>
      <c r="J87" s="627" t="s">
        <v>923</v>
      </c>
      <c r="K87" s="627">
        <v>5.9</v>
      </c>
      <c r="L87" s="628">
        <v>0.42</v>
      </c>
      <c r="M87" s="628">
        <v>0.98</v>
      </c>
      <c r="N87" s="627">
        <f>+E87*K87*L87*M87</f>
        <v>123.24333</v>
      </c>
      <c r="O87" s="630">
        <v>8100</v>
      </c>
      <c r="P87" s="631">
        <f>IF(O87=0,0,N87/O87)</f>
        <v>1.5215225925925925E-2</v>
      </c>
      <c r="Q87" s="632">
        <v>1951500</v>
      </c>
      <c r="R87" s="632">
        <v>265680</v>
      </c>
      <c r="S87" s="632">
        <f>+Q87-R87</f>
        <v>1685820</v>
      </c>
      <c r="T87" s="632">
        <f>+P87*S87</f>
        <v>25650.132170444442</v>
      </c>
      <c r="U87" s="632">
        <f>+T87*0.5</f>
        <v>12825.066085222221</v>
      </c>
      <c r="V87" s="633">
        <v>21.0793</v>
      </c>
      <c r="W87" s="633">
        <v>19.9316</v>
      </c>
      <c r="X87" s="629"/>
      <c r="Y87" s="628">
        <f>+W87*1000/U87</f>
        <v>1.5541128495989844</v>
      </c>
      <c r="Z87" s="632">
        <f>+S87*Y87</f>
        <v>2619954.5241109598</v>
      </c>
    </row>
    <row r="88" spans="1:26" x14ac:dyDescent="0.25">
      <c r="A88" s="629"/>
      <c r="B88" s="33">
        <v>811</v>
      </c>
      <c r="C88" s="625" t="s">
        <v>933</v>
      </c>
      <c r="D88" s="629" t="s">
        <v>112</v>
      </c>
      <c r="E88" s="627">
        <v>0.99</v>
      </c>
      <c r="F88" s="50" t="s">
        <v>922</v>
      </c>
      <c r="G88" s="627"/>
      <c r="H88" s="627"/>
      <c r="I88" s="627"/>
      <c r="J88" s="627" t="s">
        <v>923</v>
      </c>
      <c r="K88" s="627"/>
      <c r="L88" s="628"/>
      <c r="M88" s="628"/>
      <c r="N88" s="627"/>
      <c r="O88" s="630"/>
      <c r="P88" s="631"/>
      <c r="Q88" s="632"/>
      <c r="R88" s="632"/>
      <c r="S88" s="632"/>
      <c r="T88" s="632"/>
      <c r="U88" s="632"/>
      <c r="V88" s="633"/>
      <c r="W88" s="633"/>
      <c r="X88" s="629"/>
      <c r="Y88" s="628"/>
      <c r="Z88" s="632"/>
    </row>
    <row r="89" spans="1:26" x14ac:dyDescent="0.25">
      <c r="A89" s="629"/>
      <c r="B89" s="33">
        <v>812</v>
      </c>
      <c r="C89" s="625" t="s">
        <v>280</v>
      </c>
      <c r="D89" s="629" t="s">
        <v>112</v>
      </c>
      <c r="E89" s="627">
        <v>18.05</v>
      </c>
      <c r="F89" s="627">
        <v>18.05</v>
      </c>
      <c r="G89" s="627"/>
      <c r="H89" s="627"/>
      <c r="I89" s="627"/>
      <c r="J89" s="627" t="s">
        <v>923</v>
      </c>
      <c r="K89" s="627"/>
      <c r="L89" s="628"/>
      <c r="M89" s="628"/>
      <c r="N89" s="627"/>
      <c r="O89" s="630"/>
      <c r="P89" s="631"/>
      <c r="Q89" s="632"/>
      <c r="R89" s="632"/>
      <c r="S89" s="632"/>
      <c r="T89" s="632"/>
      <c r="U89" s="632"/>
      <c r="V89" s="633"/>
      <c r="W89" s="633"/>
      <c r="X89" s="629"/>
      <c r="Y89" s="628"/>
      <c r="Z89" s="632"/>
    </row>
    <row r="90" spans="1:26" x14ac:dyDescent="0.25">
      <c r="A90" s="629"/>
      <c r="B90" s="33">
        <v>816</v>
      </c>
      <c r="C90" s="625" t="s">
        <v>284</v>
      </c>
      <c r="D90" s="629" t="s">
        <v>112</v>
      </c>
      <c r="E90" s="627">
        <v>51.29</v>
      </c>
      <c r="F90" s="627">
        <v>9.14</v>
      </c>
      <c r="G90" s="627"/>
      <c r="H90" s="627"/>
      <c r="I90" s="627"/>
      <c r="J90" s="627" t="s">
        <v>923</v>
      </c>
      <c r="K90" s="627">
        <v>2.36</v>
      </c>
      <c r="L90" s="628">
        <v>0.75</v>
      </c>
      <c r="M90" s="628">
        <v>0.98</v>
      </c>
      <c r="N90" s="627">
        <f>+E90*K90*L90*M90</f>
        <v>88.96763399999999</v>
      </c>
      <c r="O90" s="630">
        <v>8100</v>
      </c>
      <c r="P90" s="631">
        <f>IF(O90=0,0,N90/O90)</f>
        <v>1.0983658518518517E-2</v>
      </c>
      <c r="Q90" s="632">
        <v>1951500</v>
      </c>
      <c r="R90" s="632">
        <v>265680</v>
      </c>
      <c r="S90" s="632">
        <f>+Q90-R90</f>
        <v>1685820</v>
      </c>
      <c r="T90" s="632">
        <f t="shared" si="1"/>
        <v>18516.471203688885</v>
      </c>
      <c r="U90" s="632">
        <f t="shared" si="2"/>
        <v>9258.2356018444425</v>
      </c>
      <c r="V90" s="633">
        <v>15.216900000000001</v>
      </c>
      <c r="W90" s="633">
        <v>14.388299999999999</v>
      </c>
      <c r="X90" s="629"/>
      <c r="Y90" s="628">
        <f t="shared" si="15"/>
        <v>1.5541082144348903</v>
      </c>
      <c r="Z90" s="632">
        <f t="shared" si="6"/>
        <v>2619946.7100586267</v>
      </c>
    </row>
    <row r="91" spans="1:26" x14ac:dyDescent="0.25">
      <c r="A91" s="629"/>
      <c r="B91" s="33">
        <v>817</v>
      </c>
      <c r="C91" s="625" t="s">
        <v>286</v>
      </c>
      <c r="D91" s="629" t="s">
        <v>112</v>
      </c>
      <c r="E91" s="627">
        <v>36.08</v>
      </c>
      <c r="F91" s="627">
        <v>68.099999999999994</v>
      </c>
      <c r="G91" s="627"/>
      <c r="H91" s="627"/>
      <c r="I91" s="627"/>
      <c r="J91" s="627" t="s">
        <v>923</v>
      </c>
      <c r="K91" s="627">
        <v>4</v>
      </c>
      <c r="L91" s="628">
        <v>0.75</v>
      </c>
      <c r="M91" s="628">
        <v>0.98</v>
      </c>
      <c r="N91" s="627">
        <f>+E91*K91*L91*M91</f>
        <v>106.0752</v>
      </c>
      <c r="O91" s="630">
        <v>8100</v>
      </c>
      <c r="P91" s="631">
        <f>IF(O91=0,0,N91/O91)</f>
        <v>1.3095703703703703E-2</v>
      </c>
      <c r="Q91" s="632">
        <v>1951500</v>
      </c>
      <c r="R91" s="632">
        <v>265680</v>
      </c>
      <c r="S91" s="632">
        <f>+Q91-R91</f>
        <v>1685820</v>
      </c>
      <c r="T91" s="632">
        <f t="shared" si="1"/>
        <v>22076.999217777779</v>
      </c>
      <c r="U91" s="632">
        <f t="shared" si="2"/>
        <v>11038.499608888889</v>
      </c>
      <c r="V91" s="633">
        <v>18.142399999999999</v>
      </c>
      <c r="W91" s="633">
        <v>17.154199999999999</v>
      </c>
      <c r="X91" s="629"/>
      <c r="Y91" s="628">
        <f t="shared" si="15"/>
        <v>1.5540336647008048</v>
      </c>
      <c r="Z91" s="632">
        <f t="shared" si="6"/>
        <v>2619821.0326259108</v>
      </c>
    </row>
    <row r="92" spans="1:26" x14ac:dyDescent="0.25">
      <c r="A92" s="629"/>
      <c r="B92" s="33">
        <v>820</v>
      </c>
      <c r="C92" s="625" t="s">
        <v>387</v>
      </c>
      <c r="D92" s="783" t="s">
        <v>112</v>
      </c>
      <c r="E92" s="784"/>
      <c r="F92" s="784"/>
      <c r="G92" s="784"/>
      <c r="H92" s="784"/>
      <c r="I92" s="784"/>
      <c r="J92" s="784" t="s">
        <v>923</v>
      </c>
      <c r="K92" s="784"/>
      <c r="L92" s="785"/>
      <c r="M92" s="785"/>
      <c r="N92" s="784"/>
      <c r="O92" s="786"/>
      <c r="P92" s="787"/>
      <c r="Q92" s="788"/>
      <c r="R92" s="788"/>
      <c r="S92" s="788"/>
      <c r="T92" s="788"/>
      <c r="U92" s="788"/>
      <c r="V92" s="789"/>
      <c r="W92" s="789"/>
      <c r="X92" s="783"/>
      <c r="Y92" s="785"/>
      <c r="Z92" s="788"/>
    </row>
    <row r="93" spans="1:26" x14ac:dyDescent="0.25">
      <c r="A93" s="629">
        <v>5000</v>
      </c>
      <c r="B93" s="33">
        <v>820</v>
      </c>
      <c r="C93" s="625" t="s">
        <v>288</v>
      </c>
      <c r="D93" s="629" t="s">
        <v>112</v>
      </c>
      <c r="E93" s="627">
        <v>152.03</v>
      </c>
      <c r="F93" s="644">
        <f t="shared" ref="F93:F104" si="16">EXP((0.68*LN(A93))+5.57)</f>
        <v>85964.643633613116</v>
      </c>
      <c r="G93" s="627"/>
      <c r="H93" s="627"/>
      <c r="I93" s="627"/>
      <c r="J93" s="627" t="s">
        <v>923</v>
      </c>
      <c r="K93" s="627">
        <v>2.36</v>
      </c>
      <c r="L93" s="628">
        <v>0.32</v>
      </c>
      <c r="M93" s="628">
        <v>0.98</v>
      </c>
      <c r="N93" s="627">
        <f t="shared" ref="N93:N125" si="17">+E93*K93*L93*M93</f>
        <v>112.51679488000001</v>
      </c>
      <c r="O93" s="630">
        <v>8100</v>
      </c>
      <c r="P93" s="631">
        <f t="shared" ref="P93:P137" si="18">IF(O93=0,0,N93/O93)</f>
        <v>1.3890962330864199E-2</v>
      </c>
      <c r="Q93" s="632">
        <v>1951500</v>
      </c>
      <c r="R93" s="632">
        <v>265680</v>
      </c>
      <c r="S93" s="632">
        <f t="shared" ref="S93:S137" si="19">+Q93-R93</f>
        <v>1685820</v>
      </c>
      <c r="T93" s="632">
        <f t="shared" ref="T93:T137" si="20">+P93*S93</f>
        <v>23417.662116617485</v>
      </c>
      <c r="U93" s="632">
        <f t="shared" ref="U93:U137" si="21">+T93*0.5</f>
        <v>11708.831058308742</v>
      </c>
      <c r="V93" s="633">
        <v>19.244599999999998</v>
      </c>
      <c r="W93" s="633">
        <v>18.196200000000001</v>
      </c>
      <c r="X93" s="629"/>
      <c r="Y93" s="628">
        <f t="shared" si="15"/>
        <v>1.5540577799256685</v>
      </c>
      <c r="Z93" s="632">
        <f t="shared" si="6"/>
        <v>2619861.6865542904</v>
      </c>
    </row>
    <row r="94" spans="1:26" x14ac:dyDescent="0.25">
      <c r="A94" s="629">
        <v>25000</v>
      </c>
      <c r="B94" s="33">
        <v>820</v>
      </c>
      <c r="C94" s="625" t="s">
        <v>290</v>
      </c>
      <c r="D94" s="629" t="s">
        <v>112</v>
      </c>
      <c r="E94" s="627">
        <v>86.56</v>
      </c>
      <c r="F94" s="644">
        <f t="shared" si="16"/>
        <v>256814.45820084302</v>
      </c>
      <c r="G94" s="627"/>
      <c r="H94" s="627"/>
      <c r="I94" s="627"/>
      <c r="J94" s="627" t="s">
        <v>923</v>
      </c>
      <c r="K94" s="627">
        <v>2.36</v>
      </c>
      <c r="L94" s="628">
        <v>0.42</v>
      </c>
      <c r="M94" s="628">
        <v>0.98</v>
      </c>
      <c r="N94" s="627">
        <f t="shared" si="17"/>
        <v>84.082306559999992</v>
      </c>
      <c r="O94" s="630">
        <v>8100</v>
      </c>
      <c r="P94" s="631">
        <f t="shared" si="18"/>
        <v>1.0380531674074073E-2</v>
      </c>
      <c r="Q94" s="632">
        <v>1951500</v>
      </c>
      <c r="R94" s="632">
        <v>265680</v>
      </c>
      <c r="S94" s="632">
        <f t="shared" si="19"/>
        <v>1685820</v>
      </c>
      <c r="T94" s="632">
        <f t="shared" si="20"/>
        <v>17499.707906787553</v>
      </c>
      <c r="U94" s="632">
        <f t="shared" si="21"/>
        <v>8749.8539533937765</v>
      </c>
      <c r="V94" s="633">
        <v>14.380100000000001</v>
      </c>
      <c r="W94" s="633">
        <v>13.597099999999999</v>
      </c>
      <c r="X94" s="629"/>
      <c r="Y94" s="628">
        <f t="shared" si="15"/>
        <v>1.5539802232614566</v>
      </c>
      <c r="Z94" s="632">
        <f t="shared" si="6"/>
        <v>2619730.9399786289</v>
      </c>
    </row>
    <row r="95" spans="1:26" x14ac:dyDescent="0.25">
      <c r="A95" s="629">
        <v>75000</v>
      </c>
      <c r="B95" s="33">
        <v>820</v>
      </c>
      <c r="C95" s="625" t="s">
        <v>242</v>
      </c>
      <c r="D95" s="629" t="s">
        <v>112</v>
      </c>
      <c r="E95" s="627">
        <v>67.91</v>
      </c>
      <c r="F95" s="644">
        <f t="shared" si="16"/>
        <v>542078.17639541056</v>
      </c>
      <c r="G95" s="627"/>
      <c r="H95" s="627"/>
      <c r="I95" s="627"/>
      <c r="J95" s="627" t="s">
        <v>923</v>
      </c>
      <c r="K95" s="627">
        <v>2.36</v>
      </c>
      <c r="L95" s="628">
        <v>0.51</v>
      </c>
      <c r="M95" s="628">
        <v>0.98</v>
      </c>
      <c r="N95" s="627">
        <f t="shared" si="17"/>
        <v>80.101746479999989</v>
      </c>
      <c r="O95" s="630">
        <v>8100</v>
      </c>
      <c r="P95" s="631">
        <f t="shared" si="18"/>
        <v>9.889104503703703E-3</v>
      </c>
      <c r="Q95" s="632">
        <v>1951500</v>
      </c>
      <c r="R95" s="632">
        <v>265680</v>
      </c>
      <c r="S95" s="632">
        <f t="shared" si="19"/>
        <v>1685820</v>
      </c>
      <c r="T95" s="632">
        <f t="shared" si="20"/>
        <v>16671.250154433776</v>
      </c>
      <c r="U95" s="632">
        <f t="shared" si="21"/>
        <v>8335.6250772168878</v>
      </c>
      <c r="V95" s="633">
        <v>13.7012</v>
      </c>
      <c r="W95" s="633">
        <v>12.954000000000001</v>
      </c>
      <c r="X95" s="629"/>
      <c r="Y95" s="628">
        <f t="shared" si="15"/>
        <v>1.5540526211292967</v>
      </c>
      <c r="Z95" s="632">
        <f t="shared" si="6"/>
        <v>2619852.9897521907</v>
      </c>
    </row>
    <row r="96" spans="1:26" x14ac:dyDescent="0.25">
      <c r="A96" s="629">
        <v>150000</v>
      </c>
      <c r="B96" s="33">
        <v>820</v>
      </c>
      <c r="C96" s="625" t="s">
        <v>293</v>
      </c>
      <c r="D96" s="629" t="s">
        <v>112</v>
      </c>
      <c r="E96" s="627">
        <v>53.28</v>
      </c>
      <c r="F96" s="644">
        <f t="shared" si="16"/>
        <v>868484.99681815447</v>
      </c>
      <c r="G96" s="627"/>
      <c r="H96" s="627"/>
      <c r="I96" s="627"/>
      <c r="J96" s="627" t="s">
        <v>923</v>
      </c>
      <c r="K96" s="627">
        <v>4</v>
      </c>
      <c r="L96" s="628">
        <v>0.57999999999999996</v>
      </c>
      <c r="M96" s="628">
        <v>0.98</v>
      </c>
      <c r="N96" s="627">
        <f t="shared" si="17"/>
        <v>121.13740799999999</v>
      </c>
      <c r="O96" s="630">
        <v>8100</v>
      </c>
      <c r="P96" s="631">
        <f t="shared" si="18"/>
        <v>1.4955235555555555E-2</v>
      </c>
      <c r="Q96" s="632">
        <v>1951500</v>
      </c>
      <c r="R96" s="632">
        <v>265680</v>
      </c>
      <c r="S96" s="632">
        <f t="shared" si="19"/>
        <v>1685820</v>
      </c>
      <c r="T96" s="632">
        <f t="shared" si="20"/>
        <v>25211.835204266667</v>
      </c>
      <c r="U96" s="632">
        <f t="shared" si="21"/>
        <v>12605.917602133333</v>
      </c>
      <c r="V96" s="633">
        <v>20.7196</v>
      </c>
      <c r="W96" s="633">
        <v>19.5914</v>
      </c>
      <c r="X96" s="629"/>
      <c r="Y96" s="628">
        <f t="shared" si="15"/>
        <v>1.5541431110643225</v>
      </c>
      <c r="Z96" s="632">
        <f t="shared" si="6"/>
        <v>2620005.5394944563</v>
      </c>
    </row>
    <row r="97" spans="1:26" x14ac:dyDescent="0.25">
      <c r="A97" s="629">
        <v>250000</v>
      </c>
      <c r="B97" s="33">
        <v>820</v>
      </c>
      <c r="C97" s="625" t="s">
        <v>248</v>
      </c>
      <c r="D97" s="629" t="s">
        <v>112</v>
      </c>
      <c r="E97" s="627">
        <v>46.23</v>
      </c>
      <c r="F97" s="644">
        <f t="shared" si="16"/>
        <v>1229191.2783845791</v>
      </c>
      <c r="G97" s="627"/>
      <c r="H97" s="627"/>
      <c r="I97" s="627"/>
      <c r="J97" s="627" t="s">
        <v>923</v>
      </c>
      <c r="K97" s="627">
        <v>4</v>
      </c>
      <c r="L97" s="628">
        <v>0.62</v>
      </c>
      <c r="M97" s="628">
        <v>0.98</v>
      </c>
      <c r="N97" s="627">
        <f t="shared" si="17"/>
        <v>112.35739199999999</v>
      </c>
      <c r="O97" s="630">
        <v>8100</v>
      </c>
      <c r="P97" s="631">
        <f t="shared" si="18"/>
        <v>1.3871282962962962E-2</v>
      </c>
      <c r="Q97" s="632">
        <v>1951500</v>
      </c>
      <c r="R97" s="632">
        <v>265680</v>
      </c>
      <c r="S97" s="632">
        <f t="shared" si="19"/>
        <v>1685820</v>
      </c>
      <c r="T97" s="632">
        <f t="shared" si="20"/>
        <v>23384.486244622221</v>
      </c>
      <c r="U97" s="632">
        <f t="shared" si="21"/>
        <v>11692.243122311111</v>
      </c>
      <c r="V97" s="633">
        <v>19.218499999999999</v>
      </c>
      <c r="W97" s="633">
        <v>18.171700000000001</v>
      </c>
      <c r="X97" s="629"/>
      <c r="Y97" s="628">
        <f t="shared" si="15"/>
        <v>1.5541671354168822</v>
      </c>
      <c r="Z97" s="632">
        <f t="shared" si="6"/>
        <v>2620046.0402284884</v>
      </c>
    </row>
    <row r="98" spans="1:26" x14ac:dyDescent="0.25">
      <c r="A98" s="629">
        <v>350000</v>
      </c>
      <c r="B98" s="33">
        <v>820</v>
      </c>
      <c r="C98" s="625" t="s">
        <v>250</v>
      </c>
      <c r="D98" s="629" t="s">
        <v>112</v>
      </c>
      <c r="E98" s="627">
        <v>41.8</v>
      </c>
      <c r="F98" s="644">
        <f t="shared" si="16"/>
        <v>1545206.5284565086</v>
      </c>
      <c r="G98" s="627"/>
      <c r="H98" s="627"/>
      <c r="I98" s="627"/>
      <c r="J98" s="627" t="s">
        <v>923</v>
      </c>
      <c r="K98" s="627">
        <v>5.9</v>
      </c>
      <c r="L98" s="628">
        <v>0.64</v>
      </c>
      <c r="M98" s="628">
        <v>0.98</v>
      </c>
      <c r="N98" s="627">
        <f t="shared" si="17"/>
        <v>154.68006400000002</v>
      </c>
      <c r="O98" s="630">
        <v>8100</v>
      </c>
      <c r="P98" s="631">
        <f t="shared" si="18"/>
        <v>1.9096304197530865E-2</v>
      </c>
      <c r="Q98" s="632">
        <v>1951500</v>
      </c>
      <c r="R98" s="632">
        <v>265680</v>
      </c>
      <c r="S98" s="632">
        <f t="shared" si="19"/>
        <v>1685820</v>
      </c>
      <c r="T98" s="632">
        <f t="shared" si="20"/>
        <v>32192.931542281483</v>
      </c>
      <c r="U98" s="632">
        <f t="shared" si="21"/>
        <v>16096.465771140742</v>
      </c>
      <c r="V98" s="633">
        <v>26.458300000000001</v>
      </c>
      <c r="W98" s="633">
        <v>25.017499999999998</v>
      </c>
      <c r="X98" s="629"/>
      <c r="Y98" s="628">
        <f t="shared" si="15"/>
        <v>1.5542231664825286</v>
      </c>
      <c r="Z98" s="632">
        <f t="shared" si="6"/>
        <v>2620140.4985195762</v>
      </c>
    </row>
    <row r="99" spans="1:26" x14ac:dyDescent="0.25">
      <c r="A99" s="629">
        <v>450000</v>
      </c>
      <c r="B99" s="33">
        <v>820</v>
      </c>
      <c r="C99" s="625" t="s">
        <v>252</v>
      </c>
      <c r="D99" s="629" t="s">
        <v>112</v>
      </c>
      <c r="E99" s="627">
        <v>38.659999999999997</v>
      </c>
      <c r="F99" s="644">
        <f t="shared" si="16"/>
        <v>1833178.5780291965</v>
      </c>
      <c r="G99" s="627"/>
      <c r="H99" s="627"/>
      <c r="I99" s="627"/>
      <c r="J99" s="627" t="s">
        <v>923</v>
      </c>
      <c r="K99" s="627">
        <v>5.9</v>
      </c>
      <c r="L99" s="628">
        <v>0.66</v>
      </c>
      <c r="M99" s="628">
        <v>0.98</v>
      </c>
      <c r="N99" s="627">
        <f t="shared" si="17"/>
        <v>147.5311992</v>
      </c>
      <c r="O99" s="630">
        <v>8100</v>
      </c>
      <c r="P99" s="631">
        <f t="shared" si="18"/>
        <v>1.8213728296296295E-2</v>
      </c>
      <c r="Q99" s="632">
        <v>1951500</v>
      </c>
      <c r="R99" s="632">
        <v>265680</v>
      </c>
      <c r="S99" s="632">
        <f t="shared" si="19"/>
        <v>1685820</v>
      </c>
      <c r="T99" s="632">
        <f t="shared" si="20"/>
        <v>30705.067436462221</v>
      </c>
      <c r="U99" s="632">
        <f t="shared" si="21"/>
        <v>15352.53371823111</v>
      </c>
      <c r="V99" s="633">
        <v>25.235600000000002</v>
      </c>
      <c r="W99" s="633">
        <v>23.861599999999999</v>
      </c>
      <c r="X99" s="629"/>
      <c r="Y99" s="628">
        <f t="shared" si="15"/>
        <v>1.5542450801892318</v>
      </c>
      <c r="Z99" s="632">
        <f t="shared" si="6"/>
        <v>2620177.4410846108</v>
      </c>
    </row>
    <row r="100" spans="1:26" x14ac:dyDescent="0.25">
      <c r="A100" s="629">
        <v>550000</v>
      </c>
      <c r="B100" s="33">
        <v>820</v>
      </c>
      <c r="C100" s="625" t="s">
        <v>254</v>
      </c>
      <c r="D100" s="629" t="s">
        <v>112</v>
      </c>
      <c r="E100" s="627">
        <v>36.270000000000003</v>
      </c>
      <c r="F100" s="644">
        <f t="shared" si="16"/>
        <v>2101197.5853862725</v>
      </c>
      <c r="G100" s="627"/>
      <c r="H100" s="627"/>
      <c r="I100" s="627"/>
      <c r="J100" s="627" t="s">
        <v>923</v>
      </c>
      <c r="K100" s="627">
        <v>5.9</v>
      </c>
      <c r="L100" s="628">
        <v>0.67</v>
      </c>
      <c r="M100" s="628">
        <v>0.98</v>
      </c>
      <c r="N100" s="627">
        <f t="shared" si="17"/>
        <v>140.5078038</v>
      </c>
      <c r="O100" s="630">
        <v>8100</v>
      </c>
      <c r="P100" s="631">
        <f t="shared" si="18"/>
        <v>1.7346642444444445E-2</v>
      </c>
      <c r="Q100" s="632">
        <v>1951500</v>
      </c>
      <c r="R100" s="632">
        <v>265680</v>
      </c>
      <c r="S100" s="632">
        <f t="shared" si="19"/>
        <v>1685820</v>
      </c>
      <c r="T100" s="632">
        <f t="shared" si="20"/>
        <v>29243.316765693336</v>
      </c>
      <c r="U100" s="632">
        <f t="shared" si="21"/>
        <v>14621.658382846668</v>
      </c>
      <c r="V100" s="633">
        <v>24.034199999999998</v>
      </c>
      <c r="W100" s="633">
        <v>22.725300000000001</v>
      </c>
      <c r="X100" s="629"/>
      <c r="Y100" s="628">
        <f t="shared" si="15"/>
        <v>1.5542217855848746</v>
      </c>
      <c r="Z100" s="632">
        <f t="shared" si="6"/>
        <v>2620138.170574693</v>
      </c>
    </row>
    <row r="101" spans="1:26" x14ac:dyDescent="0.25">
      <c r="A101" s="629">
        <v>650000</v>
      </c>
      <c r="B101" s="33">
        <v>820</v>
      </c>
      <c r="C101" s="625" t="s">
        <v>299</v>
      </c>
      <c r="D101" s="629" t="s">
        <v>112</v>
      </c>
      <c r="E101" s="627">
        <v>32.799999999999997</v>
      </c>
      <c r="F101" s="644">
        <f t="shared" si="16"/>
        <v>2353972.2928073686</v>
      </c>
      <c r="G101" s="627"/>
      <c r="H101" s="627"/>
      <c r="I101" s="627"/>
      <c r="J101" s="627" t="s">
        <v>923</v>
      </c>
      <c r="K101" s="627">
        <v>5.9</v>
      </c>
      <c r="L101" s="628">
        <v>0.69</v>
      </c>
      <c r="M101" s="628">
        <v>0.98</v>
      </c>
      <c r="N101" s="627">
        <f t="shared" si="17"/>
        <v>130.85822399999998</v>
      </c>
      <c r="O101" s="630">
        <v>8100</v>
      </c>
      <c r="P101" s="631">
        <f t="shared" si="18"/>
        <v>1.6155336296296292E-2</v>
      </c>
      <c r="Q101" s="632">
        <v>1951500</v>
      </c>
      <c r="R101" s="632">
        <v>265680</v>
      </c>
      <c r="S101" s="632">
        <f t="shared" si="19"/>
        <v>1685820</v>
      </c>
      <c r="T101" s="632">
        <f t="shared" si="20"/>
        <v>27234.989035022216</v>
      </c>
      <c r="U101" s="632">
        <f t="shared" si="21"/>
        <v>13617.494517511108</v>
      </c>
      <c r="V101" s="633">
        <v>22.381699999999999</v>
      </c>
      <c r="W101" s="633">
        <v>21.162400000000002</v>
      </c>
      <c r="X101" s="629"/>
      <c r="Y101" s="628">
        <f t="shared" si="15"/>
        <v>1.5540597407832031</v>
      </c>
      <c r="Z101" s="632">
        <f t="shared" si="6"/>
        <v>2619864.9922071393</v>
      </c>
    </row>
    <row r="102" spans="1:26" x14ac:dyDescent="0.25">
      <c r="A102" s="629">
        <v>900000</v>
      </c>
      <c r="B102" s="33">
        <v>820</v>
      </c>
      <c r="C102" s="625" t="s">
        <v>301</v>
      </c>
      <c r="D102" s="629" t="s">
        <v>112</v>
      </c>
      <c r="E102" s="627">
        <v>30.33</v>
      </c>
      <c r="F102" s="644">
        <f t="shared" si="16"/>
        <v>2937008.278203533</v>
      </c>
      <c r="G102" s="627"/>
      <c r="H102" s="627"/>
      <c r="I102" s="627"/>
      <c r="J102" s="627" t="s">
        <v>923</v>
      </c>
      <c r="K102" s="627">
        <v>5.9</v>
      </c>
      <c r="L102" s="628">
        <v>0.7</v>
      </c>
      <c r="M102" s="628">
        <v>0.98</v>
      </c>
      <c r="N102" s="627">
        <f t="shared" si="17"/>
        <v>122.75764199999999</v>
      </c>
      <c r="O102" s="630">
        <v>8100</v>
      </c>
      <c r="P102" s="631">
        <f t="shared" si="18"/>
        <v>1.5155264444444443E-2</v>
      </c>
      <c r="Q102" s="632">
        <v>1951500</v>
      </c>
      <c r="R102" s="632">
        <v>265680</v>
      </c>
      <c r="S102" s="632">
        <f t="shared" si="19"/>
        <v>1685820</v>
      </c>
      <c r="T102" s="632">
        <f t="shared" si="20"/>
        <v>25549.047905733332</v>
      </c>
      <c r="U102" s="632">
        <f t="shared" si="21"/>
        <v>12774.523952866666</v>
      </c>
      <c r="V102" s="633">
        <v>20.999600000000001</v>
      </c>
      <c r="W102" s="633">
        <v>19.8551</v>
      </c>
      <c r="X102" s="629"/>
      <c r="Y102" s="628">
        <f t="shared" si="15"/>
        <v>1.5542731825669649</v>
      </c>
      <c r="Z102" s="632">
        <f t="shared" si="6"/>
        <v>2620224.8166350406</v>
      </c>
    </row>
    <row r="103" spans="1:26" x14ac:dyDescent="0.25">
      <c r="A103" s="629">
        <v>1100000</v>
      </c>
      <c r="B103" s="33">
        <v>820</v>
      </c>
      <c r="C103" s="625" t="s">
        <v>303</v>
      </c>
      <c r="D103" s="629" t="s">
        <v>112</v>
      </c>
      <c r="E103" s="627">
        <v>28.46</v>
      </c>
      <c r="F103" s="644">
        <f t="shared" si="16"/>
        <v>3366412.1850339831</v>
      </c>
      <c r="G103" s="627"/>
      <c r="H103" s="627"/>
      <c r="I103" s="627"/>
      <c r="J103" s="627" t="s">
        <v>923</v>
      </c>
      <c r="K103" s="627">
        <v>5.9</v>
      </c>
      <c r="L103" s="628">
        <v>0.71</v>
      </c>
      <c r="M103" s="628">
        <v>0.98</v>
      </c>
      <c r="N103" s="627">
        <f t="shared" si="17"/>
        <v>116.8345612</v>
      </c>
      <c r="O103" s="630">
        <v>8100</v>
      </c>
      <c r="P103" s="631">
        <f t="shared" si="18"/>
        <v>1.4424019901234568E-2</v>
      </c>
      <c r="Q103" s="632">
        <v>1951500</v>
      </c>
      <c r="R103" s="632">
        <v>265680</v>
      </c>
      <c r="S103" s="632">
        <f t="shared" si="19"/>
        <v>1685820</v>
      </c>
      <c r="T103" s="632">
        <f t="shared" si="20"/>
        <v>24316.301229899258</v>
      </c>
      <c r="U103" s="632">
        <f t="shared" si="21"/>
        <v>12158.150614949629</v>
      </c>
      <c r="V103" s="633">
        <v>19.982099999999999</v>
      </c>
      <c r="W103" s="633">
        <v>18.894600000000001</v>
      </c>
      <c r="X103" s="629"/>
      <c r="Y103" s="628">
        <f t="shared" si="15"/>
        <v>1.5540685913832366</v>
      </c>
      <c r="Z103" s="632">
        <f t="shared" si="6"/>
        <v>2619879.912725688</v>
      </c>
    </row>
    <row r="104" spans="1:26" x14ac:dyDescent="0.25">
      <c r="A104" s="629">
        <v>1300000</v>
      </c>
      <c r="B104" s="33">
        <v>820</v>
      </c>
      <c r="C104" s="625" t="s">
        <v>305</v>
      </c>
      <c r="D104" s="629" t="s">
        <v>112</v>
      </c>
      <c r="E104" s="627">
        <v>27.67</v>
      </c>
      <c r="F104" s="644">
        <f t="shared" si="16"/>
        <v>3771392.5928971232</v>
      </c>
      <c r="G104" s="627"/>
      <c r="H104" s="627"/>
      <c r="I104" s="627"/>
      <c r="J104" s="627" t="s">
        <v>923</v>
      </c>
      <c r="K104" s="627">
        <v>5.9</v>
      </c>
      <c r="L104" s="628">
        <v>0.72</v>
      </c>
      <c r="M104" s="628">
        <v>0.98</v>
      </c>
      <c r="N104" s="627">
        <f t="shared" si="17"/>
        <v>115.19131680000001</v>
      </c>
      <c r="O104" s="630">
        <v>8100</v>
      </c>
      <c r="P104" s="631">
        <f t="shared" si="18"/>
        <v>1.4221150222222223E-2</v>
      </c>
      <c r="Q104" s="632">
        <v>1951500</v>
      </c>
      <c r="R104" s="632">
        <v>265680</v>
      </c>
      <c r="S104" s="632">
        <f t="shared" si="19"/>
        <v>1685820</v>
      </c>
      <c r="T104" s="632">
        <f t="shared" si="20"/>
        <v>23974.299467626668</v>
      </c>
      <c r="U104" s="632">
        <f t="shared" si="21"/>
        <v>11987.149733813334</v>
      </c>
      <c r="V104" s="633">
        <v>19.703700000000001</v>
      </c>
      <c r="W104" s="633">
        <v>18.630800000000001</v>
      </c>
      <c r="X104" s="629"/>
      <c r="Y104" s="628">
        <f t="shared" si="15"/>
        <v>1.5542310235306618</v>
      </c>
      <c r="Z104" s="632">
        <f t="shared" si="6"/>
        <v>2620153.7440884602</v>
      </c>
    </row>
    <row r="105" spans="1:26" x14ac:dyDescent="0.25">
      <c r="A105" s="629"/>
      <c r="B105" s="33">
        <v>823</v>
      </c>
      <c r="C105" s="625" t="s">
        <v>307</v>
      </c>
      <c r="D105" s="629" t="s">
        <v>112</v>
      </c>
      <c r="E105" s="627"/>
      <c r="F105" s="627">
        <v>26.59</v>
      </c>
      <c r="G105" s="627"/>
      <c r="H105" s="627"/>
      <c r="I105" s="627"/>
      <c r="J105" s="627" t="s">
        <v>923</v>
      </c>
      <c r="K105" s="627"/>
      <c r="L105" s="628"/>
      <c r="M105" s="628"/>
      <c r="N105" s="627"/>
      <c r="O105" s="630"/>
      <c r="P105" s="631"/>
      <c r="Q105" s="632"/>
      <c r="R105" s="632"/>
      <c r="S105" s="632"/>
      <c r="T105" s="632"/>
      <c r="U105" s="632"/>
      <c r="V105" s="633"/>
      <c r="W105" s="633"/>
      <c r="X105" s="629"/>
      <c r="Y105" s="628"/>
      <c r="Z105" s="632"/>
    </row>
    <row r="106" spans="1:26" x14ac:dyDescent="0.25">
      <c r="A106" s="629"/>
      <c r="B106" s="33">
        <v>857</v>
      </c>
      <c r="C106" s="625" t="s">
        <v>321</v>
      </c>
      <c r="D106" s="629" t="s">
        <v>112</v>
      </c>
      <c r="E106" s="627"/>
      <c r="F106" s="627">
        <v>41.8</v>
      </c>
      <c r="G106" s="627"/>
      <c r="H106" s="627"/>
      <c r="I106" s="627"/>
      <c r="J106" s="627" t="s">
        <v>923</v>
      </c>
      <c r="K106" s="627"/>
      <c r="L106" s="628"/>
      <c r="M106" s="628"/>
      <c r="N106" s="627"/>
      <c r="O106" s="630"/>
      <c r="P106" s="631"/>
      <c r="Q106" s="632"/>
      <c r="R106" s="632"/>
      <c r="S106" s="632"/>
      <c r="T106" s="632"/>
      <c r="U106" s="632"/>
      <c r="V106" s="633"/>
      <c r="W106" s="633"/>
      <c r="X106" s="629"/>
      <c r="Y106" s="628"/>
      <c r="Z106" s="632"/>
    </row>
    <row r="107" spans="1:26" x14ac:dyDescent="0.25">
      <c r="A107" s="629"/>
      <c r="B107" s="33">
        <v>861</v>
      </c>
      <c r="C107" s="625" t="s">
        <v>323</v>
      </c>
      <c r="D107" s="629" t="s">
        <v>112</v>
      </c>
      <c r="E107" s="627"/>
      <c r="F107" s="627">
        <v>28.75</v>
      </c>
      <c r="G107" s="627"/>
      <c r="H107" s="627"/>
      <c r="I107" s="627"/>
      <c r="J107" s="627" t="s">
        <v>923</v>
      </c>
      <c r="K107" s="627"/>
      <c r="L107" s="628"/>
      <c r="M107" s="628"/>
      <c r="N107" s="627"/>
      <c r="O107" s="630"/>
      <c r="P107" s="631"/>
      <c r="Q107" s="632"/>
      <c r="R107" s="632"/>
      <c r="S107" s="632"/>
      <c r="T107" s="632"/>
      <c r="U107" s="632"/>
      <c r="V107" s="633"/>
      <c r="W107" s="633"/>
      <c r="X107" s="629"/>
      <c r="Y107" s="628"/>
      <c r="Z107" s="632"/>
    </row>
    <row r="108" spans="1:26" x14ac:dyDescent="0.25">
      <c r="A108" s="629"/>
      <c r="B108" s="33">
        <v>863</v>
      </c>
      <c r="C108" s="625" t="s">
        <v>327</v>
      </c>
      <c r="D108" s="629" t="s">
        <v>112</v>
      </c>
      <c r="E108" s="627"/>
      <c r="F108" s="627">
        <v>41.05</v>
      </c>
      <c r="G108" s="627"/>
      <c r="H108" s="627"/>
      <c r="I108" s="627"/>
      <c r="J108" s="627" t="s">
        <v>923</v>
      </c>
      <c r="K108" s="627"/>
      <c r="L108" s="628"/>
      <c r="M108" s="628"/>
      <c r="N108" s="627"/>
      <c r="O108" s="630"/>
      <c r="P108" s="631"/>
      <c r="Q108" s="632"/>
      <c r="R108" s="632"/>
      <c r="S108" s="632"/>
      <c r="T108" s="632"/>
      <c r="U108" s="632"/>
      <c r="V108" s="633"/>
      <c r="W108" s="633"/>
      <c r="X108" s="629"/>
      <c r="Y108" s="628"/>
      <c r="Z108" s="632"/>
    </row>
    <row r="109" spans="1:26" x14ac:dyDescent="0.25">
      <c r="A109" s="629"/>
      <c r="B109" s="33">
        <v>865</v>
      </c>
      <c r="C109" s="625" t="s">
        <v>934</v>
      </c>
      <c r="D109" s="629" t="s">
        <v>112</v>
      </c>
      <c r="E109" s="627"/>
      <c r="F109" s="50" t="s">
        <v>922</v>
      </c>
      <c r="G109" s="627"/>
      <c r="H109" s="627"/>
      <c r="I109" s="627"/>
      <c r="J109" s="627" t="s">
        <v>923</v>
      </c>
      <c r="K109" s="627"/>
      <c r="L109" s="628"/>
      <c r="M109" s="628"/>
      <c r="N109" s="627"/>
      <c r="O109" s="630"/>
      <c r="P109" s="631"/>
      <c r="Q109" s="632"/>
      <c r="R109" s="632"/>
      <c r="S109" s="632"/>
      <c r="T109" s="632"/>
      <c r="U109" s="632"/>
      <c r="V109" s="633"/>
      <c r="W109" s="633"/>
      <c r="X109" s="629"/>
      <c r="Y109" s="628"/>
      <c r="Z109" s="632"/>
    </row>
    <row r="110" spans="1:26" x14ac:dyDescent="0.25">
      <c r="A110" s="629"/>
      <c r="B110" s="33">
        <v>868</v>
      </c>
      <c r="C110" s="625" t="s">
        <v>329</v>
      </c>
      <c r="D110" s="629" t="s">
        <v>112</v>
      </c>
      <c r="E110" s="627"/>
      <c r="F110" s="627">
        <v>143.6</v>
      </c>
      <c r="G110" s="627"/>
      <c r="H110" s="627"/>
      <c r="I110" s="627"/>
      <c r="J110" s="627" t="s">
        <v>923</v>
      </c>
      <c r="K110" s="627"/>
      <c r="L110" s="628"/>
      <c r="M110" s="628"/>
      <c r="N110" s="627"/>
      <c r="O110" s="630"/>
      <c r="P110" s="631"/>
      <c r="Q110" s="632"/>
      <c r="R110" s="632"/>
      <c r="S110" s="632"/>
      <c r="T110" s="632"/>
      <c r="U110" s="632"/>
      <c r="V110" s="633"/>
      <c r="W110" s="633"/>
      <c r="X110" s="629"/>
      <c r="Y110" s="628"/>
      <c r="Z110" s="632"/>
    </row>
    <row r="111" spans="1:26" x14ac:dyDescent="0.25">
      <c r="A111" s="629"/>
      <c r="B111" s="33">
        <v>869</v>
      </c>
      <c r="C111" s="625" t="s">
        <v>331</v>
      </c>
      <c r="D111" s="629" t="s">
        <v>112</v>
      </c>
      <c r="E111" s="627"/>
      <c r="F111" s="627">
        <v>20</v>
      </c>
      <c r="G111" s="627"/>
      <c r="H111" s="627"/>
      <c r="I111" s="627"/>
      <c r="J111" s="627" t="s">
        <v>923</v>
      </c>
      <c r="K111" s="627"/>
      <c r="L111" s="628"/>
      <c r="M111" s="628"/>
      <c r="N111" s="627"/>
      <c r="O111" s="630"/>
      <c r="P111" s="631"/>
      <c r="Q111" s="632"/>
      <c r="R111" s="632"/>
      <c r="S111" s="632"/>
      <c r="T111" s="632"/>
      <c r="U111" s="632"/>
      <c r="V111" s="633"/>
      <c r="W111" s="633"/>
      <c r="X111" s="629"/>
      <c r="Y111" s="628"/>
      <c r="Z111" s="632"/>
    </row>
    <row r="112" spans="1:26" x14ac:dyDescent="0.25">
      <c r="A112" s="629"/>
      <c r="B112" s="33">
        <v>876</v>
      </c>
      <c r="C112" s="625" t="s">
        <v>335</v>
      </c>
      <c r="D112" s="629" t="s">
        <v>112</v>
      </c>
      <c r="E112" s="627"/>
      <c r="F112" s="627">
        <v>66.400000000000006</v>
      </c>
      <c r="G112" s="627"/>
      <c r="H112" s="627"/>
      <c r="I112" s="627"/>
      <c r="J112" s="627" t="s">
        <v>923</v>
      </c>
      <c r="K112" s="627"/>
      <c r="L112" s="628"/>
      <c r="M112" s="628"/>
      <c r="N112" s="627"/>
      <c r="O112" s="630"/>
      <c r="P112" s="631"/>
      <c r="Q112" s="632"/>
      <c r="R112" s="632"/>
      <c r="S112" s="632"/>
      <c r="T112" s="632"/>
      <c r="U112" s="632"/>
      <c r="V112" s="633"/>
      <c r="W112" s="633"/>
      <c r="X112" s="629"/>
      <c r="Y112" s="628"/>
      <c r="Z112" s="632"/>
    </row>
    <row r="113" spans="2:26" x14ac:dyDescent="0.25">
      <c r="B113" s="33">
        <v>879</v>
      </c>
      <c r="C113" s="625" t="s">
        <v>337</v>
      </c>
      <c r="D113" s="629" t="s">
        <v>112</v>
      </c>
      <c r="E113" s="627"/>
      <c r="F113" s="627">
        <v>56.55</v>
      </c>
      <c r="G113" s="627"/>
      <c r="H113" s="627"/>
      <c r="I113" s="627"/>
      <c r="J113" s="627" t="s">
        <v>923</v>
      </c>
      <c r="K113" s="627"/>
      <c r="L113" s="628"/>
      <c r="M113" s="628"/>
      <c r="N113" s="627"/>
      <c r="O113" s="630"/>
      <c r="P113" s="631"/>
      <c r="Q113" s="632"/>
      <c r="R113" s="632"/>
      <c r="S113" s="632"/>
      <c r="T113" s="632"/>
      <c r="U113" s="632"/>
      <c r="V113" s="633"/>
      <c r="W113" s="633"/>
      <c r="X113" s="629"/>
      <c r="Y113" s="628"/>
      <c r="Z113" s="632"/>
    </row>
    <row r="114" spans="2:26" x14ac:dyDescent="0.25">
      <c r="B114" s="33">
        <v>882</v>
      </c>
      <c r="C114" s="625" t="s">
        <v>343</v>
      </c>
      <c r="D114" s="629" t="s">
        <v>112</v>
      </c>
      <c r="E114" s="627"/>
      <c r="F114" s="627">
        <v>252.7</v>
      </c>
      <c r="G114" s="627"/>
      <c r="H114" s="627"/>
      <c r="I114" s="627"/>
      <c r="J114" s="627" t="s">
        <v>923</v>
      </c>
      <c r="K114" s="627"/>
      <c r="L114" s="628"/>
      <c r="M114" s="628"/>
      <c r="N114" s="627"/>
      <c r="O114" s="630"/>
      <c r="P114" s="631"/>
      <c r="Q114" s="632"/>
      <c r="R114" s="632"/>
      <c r="S114" s="632"/>
      <c r="T114" s="632"/>
      <c r="U114" s="632"/>
      <c r="V114" s="633"/>
      <c r="W114" s="633"/>
      <c r="X114" s="629"/>
      <c r="Y114" s="628"/>
      <c r="Z114" s="632"/>
    </row>
    <row r="115" spans="2:26" x14ac:dyDescent="0.25">
      <c r="B115" s="33">
        <v>840</v>
      </c>
      <c r="C115" s="625" t="s">
        <v>309</v>
      </c>
      <c r="D115" s="629" t="s">
        <v>112</v>
      </c>
      <c r="E115" s="627">
        <v>33.56</v>
      </c>
      <c r="F115" s="627">
        <v>27.84</v>
      </c>
      <c r="G115" s="627"/>
      <c r="H115" s="627"/>
      <c r="I115" s="627"/>
      <c r="J115" s="627" t="s">
        <v>923</v>
      </c>
      <c r="K115" s="627">
        <v>5.9</v>
      </c>
      <c r="L115" s="628">
        <v>0.75</v>
      </c>
      <c r="M115" s="628">
        <v>0.98</v>
      </c>
      <c r="N115" s="627">
        <f t="shared" si="17"/>
        <v>145.53294000000002</v>
      </c>
      <c r="O115" s="630">
        <v>8100</v>
      </c>
      <c r="P115" s="631">
        <f t="shared" si="18"/>
        <v>1.7967029629629632E-2</v>
      </c>
      <c r="Q115" s="632">
        <v>1951500</v>
      </c>
      <c r="R115" s="632">
        <v>265680</v>
      </c>
      <c r="S115" s="632">
        <f t="shared" si="19"/>
        <v>1685820</v>
      </c>
      <c r="T115" s="632">
        <f t="shared" si="20"/>
        <v>30289.177890222225</v>
      </c>
      <c r="U115" s="632">
        <f t="shared" si="21"/>
        <v>15144.588945111112</v>
      </c>
      <c r="V115" s="633">
        <v>24.892099999999999</v>
      </c>
      <c r="W115" s="633">
        <v>23.536000000000001</v>
      </c>
      <c r="X115" s="629"/>
      <c r="Y115" s="628">
        <f t="shared" si="15"/>
        <v>1.5540864189382806</v>
      </c>
      <c r="Z115" s="632">
        <f t="shared" ref="Z115:Z137" si="22">+S115*Y115</f>
        <v>2619909.9667745321</v>
      </c>
    </row>
    <row r="116" spans="2:26" x14ac:dyDescent="0.25">
      <c r="B116" s="33">
        <v>843</v>
      </c>
      <c r="C116" s="625" t="s">
        <v>530</v>
      </c>
      <c r="D116" s="629" t="s">
        <v>112</v>
      </c>
      <c r="E116" s="627">
        <v>21.44</v>
      </c>
      <c r="F116" s="627">
        <v>55.34</v>
      </c>
      <c r="G116" s="627"/>
      <c r="H116" s="627"/>
      <c r="I116" s="627"/>
      <c r="J116" s="627" t="s">
        <v>923</v>
      </c>
      <c r="K116" s="627">
        <v>5.9</v>
      </c>
      <c r="L116" s="628">
        <v>0.75</v>
      </c>
      <c r="M116" s="628">
        <v>0.98</v>
      </c>
      <c r="N116" s="627">
        <f t="shared" si="17"/>
        <v>92.974560000000011</v>
      </c>
      <c r="O116" s="630">
        <v>8100</v>
      </c>
      <c r="P116" s="631">
        <f t="shared" si="18"/>
        <v>1.1478340740740741E-2</v>
      </c>
      <c r="Q116" s="632">
        <v>1951500</v>
      </c>
      <c r="R116" s="632">
        <v>265680</v>
      </c>
      <c r="S116" s="632">
        <f t="shared" si="19"/>
        <v>1685820</v>
      </c>
      <c r="T116" s="632">
        <f t="shared" si="20"/>
        <v>19350.416387555557</v>
      </c>
      <c r="U116" s="632">
        <f t="shared" si="21"/>
        <v>9675.2081937777784</v>
      </c>
      <c r="V116" s="633">
        <v>15.9023</v>
      </c>
      <c r="W116" s="633">
        <v>15.036199999999999</v>
      </c>
      <c r="X116" s="629"/>
      <c r="Y116" s="628">
        <f t="shared" si="15"/>
        <v>1.5540957567889782</v>
      </c>
      <c r="Z116" s="632">
        <f t="shared" si="22"/>
        <v>2619925.7087099953</v>
      </c>
    </row>
    <row r="117" spans="2:26" x14ac:dyDescent="0.25">
      <c r="B117" s="33">
        <v>848</v>
      </c>
      <c r="C117" s="625" t="s">
        <v>313</v>
      </c>
      <c r="D117" s="629" t="s">
        <v>112</v>
      </c>
      <c r="E117" s="627">
        <v>24.87</v>
      </c>
      <c r="F117" s="627">
        <v>28.52</v>
      </c>
      <c r="G117" s="627"/>
      <c r="H117" s="627"/>
      <c r="I117" s="627"/>
      <c r="J117" s="627" t="s">
        <v>923</v>
      </c>
      <c r="K117" s="627">
        <v>5.9</v>
      </c>
      <c r="L117" s="628">
        <v>1</v>
      </c>
      <c r="M117" s="628">
        <v>0.98</v>
      </c>
      <c r="N117" s="627">
        <f t="shared" si="17"/>
        <v>143.79834</v>
      </c>
      <c r="O117" s="630">
        <v>8100</v>
      </c>
      <c r="P117" s="631">
        <f t="shared" si="18"/>
        <v>1.7752881481481481E-2</v>
      </c>
      <c r="Q117" s="632">
        <v>1951500</v>
      </c>
      <c r="R117" s="632">
        <v>265680</v>
      </c>
      <c r="S117" s="632">
        <f t="shared" si="19"/>
        <v>1685820</v>
      </c>
      <c r="T117" s="632">
        <f t="shared" si="20"/>
        <v>29928.162659111113</v>
      </c>
      <c r="U117" s="632">
        <f t="shared" si="21"/>
        <v>14964.081329555556</v>
      </c>
      <c r="V117" s="633">
        <v>24.595800000000001</v>
      </c>
      <c r="W117" s="633">
        <v>23.256</v>
      </c>
      <c r="X117" s="629"/>
      <c r="Y117" s="628">
        <f t="shared" si="15"/>
        <v>1.5541214651157418</v>
      </c>
      <c r="Z117" s="632">
        <f t="shared" si="22"/>
        <v>2619969.0483214199</v>
      </c>
    </row>
    <row r="118" spans="2:26" x14ac:dyDescent="0.25">
      <c r="B118" s="33">
        <v>850</v>
      </c>
      <c r="C118" s="625" t="s">
        <v>315</v>
      </c>
      <c r="D118" s="629" t="s">
        <v>112</v>
      </c>
      <c r="E118" s="627">
        <v>102.24</v>
      </c>
      <c r="F118" s="627">
        <v>108.78</v>
      </c>
      <c r="G118" s="627"/>
      <c r="H118" s="627"/>
      <c r="I118" s="627"/>
      <c r="J118" s="627" t="s">
        <v>923</v>
      </c>
      <c r="K118" s="627">
        <v>2.36</v>
      </c>
      <c r="L118" s="628">
        <v>0.5</v>
      </c>
      <c r="M118" s="628">
        <v>0.98</v>
      </c>
      <c r="N118" s="627">
        <f t="shared" si="17"/>
        <v>118.23033599999999</v>
      </c>
      <c r="O118" s="630">
        <v>8100</v>
      </c>
      <c r="P118" s="631">
        <f t="shared" si="18"/>
        <v>1.4596337777777777E-2</v>
      </c>
      <c r="Q118" s="632">
        <v>1951500</v>
      </c>
      <c r="R118" s="632">
        <v>265680</v>
      </c>
      <c r="S118" s="632">
        <f t="shared" si="19"/>
        <v>1685820</v>
      </c>
      <c r="T118" s="632">
        <f t="shared" si="20"/>
        <v>24606.798152533331</v>
      </c>
      <c r="U118" s="632">
        <f t="shared" si="21"/>
        <v>12303.399076266665</v>
      </c>
      <c r="V118" s="633">
        <v>20.222999999999999</v>
      </c>
      <c r="W118" s="633">
        <v>19.116</v>
      </c>
      <c r="X118" s="629"/>
      <c r="Y118" s="628">
        <f t="shared" si="15"/>
        <v>1.5537169754068114</v>
      </c>
      <c r="Z118" s="632">
        <f t="shared" si="22"/>
        <v>2619287.1514803106</v>
      </c>
    </row>
    <row r="119" spans="2:26" x14ac:dyDescent="0.25">
      <c r="B119" s="33">
        <v>851</v>
      </c>
      <c r="C119" s="625" t="s">
        <v>317</v>
      </c>
      <c r="D119" s="629" t="s">
        <v>112</v>
      </c>
      <c r="E119" s="627">
        <v>737.99</v>
      </c>
      <c r="F119" s="627">
        <v>762.28</v>
      </c>
      <c r="G119" s="627">
        <v>1496.03</v>
      </c>
      <c r="H119" s="627"/>
      <c r="I119" s="627"/>
      <c r="J119" s="627" t="s">
        <v>923</v>
      </c>
      <c r="K119" s="627">
        <v>1.25</v>
      </c>
      <c r="L119" s="628">
        <v>0.35</v>
      </c>
      <c r="M119" s="628">
        <v>0.98</v>
      </c>
      <c r="N119" s="627">
        <f t="shared" si="17"/>
        <v>316.41321249999993</v>
      </c>
      <c r="O119" s="630">
        <v>8100</v>
      </c>
      <c r="P119" s="631">
        <f t="shared" si="18"/>
        <v>3.9063359567901225E-2</v>
      </c>
      <c r="Q119" s="632">
        <v>1951500</v>
      </c>
      <c r="R119" s="632">
        <v>265680</v>
      </c>
      <c r="S119" s="632">
        <f t="shared" si="19"/>
        <v>1685820</v>
      </c>
      <c r="T119" s="632">
        <f t="shared" si="20"/>
        <v>65853.792826759236</v>
      </c>
      <c r="U119" s="632">
        <f t="shared" si="21"/>
        <v>32926.896413379618</v>
      </c>
      <c r="V119" s="633">
        <v>54.119599999999998</v>
      </c>
      <c r="W119" s="633">
        <v>51.171300000000002</v>
      </c>
      <c r="X119" s="629"/>
      <c r="Y119" s="628">
        <f t="shared" si="15"/>
        <v>1.5540881642038664</v>
      </c>
      <c r="Z119" s="632">
        <f t="shared" si="22"/>
        <v>2619912.9089781619</v>
      </c>
    </row>
    <row r="120" spans="2:26" x14ac:dyDescent="0.25">
      <c r="B120" s="33">
        <v>853</v>
      </c>
      <c r="C120" s="625" t="s">
        <v>319</v>
      </c>
      <c r="D120" s="629" t="s">
        <v>112</v>
      </c>
      <c r="E120" s="627">
        <v>845.6</v>
      </c>
      <c r="F120" s="627">
        <v>624.20000000000005</v>
      </c>
      <c r="G120" s="627"/>
      <c r="H120" s="627"/>
      <c r="I120" s="627"/>
      <c r="J120" s="627" t="s">
        <v>923</v>
      </c>
      <c r="K120" s="627">
        <v>1.25</v>
      </c>
      <c r="L120" s="628">
        <v>0.35</v>
      </c>
      <c r="M120" s="628">
        <v>0.98</v>
      </c>
      <c r="N120" s="627">
        <f t="shared" si="17"/>
        <v>362.55099999999999</v>
      </c>
      <c r="O120" s="630">
        <v>8100</v>
      </c>
      <c r="P120" s="631">
        <f t="shared" si="18"/>
        <v>4.475938271604938E-2</v>
      </c>
      <c r="Q120" s="632">
        <v>1951500</v>
      </c>
      <c r="R120" s="632">
        <v>265680</v>
      </c>
      <c r="S120" s="632">
        <f t="shared" si="19"/>
        <v>1685820</v>
      </c>
      <c r="T120" s="632">
        <f t="shared" si="20"/>
        <v>75456.262570370367</v>
      </c>
      <c r="U120" s="632">
        <f t="shared" si="21"/>
        <v>37728.131285185184</v>
      </c>
      <c r="V120" s="633">
        <v>62.0105</v>
      </c>
      <c r="W120" s="633">
        <v>58.632399999999997</v>
      </c>
      <c r="X120" s="629"/>
      <c r="Y120" s="628">
        <f t="shared" si="15"/>
        <v>1.5540764411786108</v>
      </c>
      <c r="Z120" s="632">
        <f t="shared" si="22"/>
        <v>2619893.1460677255</v>
      </c>
    </row>
    <row r="121" spans="2:26" x14ac:dyDescent="0.25">
      <c r="B121" s="33">
        <v>862</v>
      </c>
      <c r="C121" s="625" t="s">
        <v>325</v>
      </c>
      <c r="D121" s="629" t="s">
        <v>112</v>
      </c>
      <c r="E121" s="627">
        <v>30.74</v>
      </c>
      <c r="F121" s="627">
        <v>30.74</v>
      </c>
      <c r="G121" s="627"/>
      <c r="H121" s="627"/>
      <c r="I121" s="627"/>
      <c r="J121" s="627" t="s">
        <v>923</v>
      </c>
      <c r="K121" s="627">
        <v>5.9</v>
      </c>
      <c r="L121" s="628">
        <v>0.75</v>
      </c>
      <c r="M121" s="628">
        <v>0.98</v>
      </c>
      <c r="N121" s="627">
        <f t="shared" si="17"/>
        <v>133.30401000000001</v>
      </c>
      <c r="O121" s="630">
        <v>8100</v>
      </c>
      <c r="P121" s="631">
        <f t="shared" si="18"/>
        <v>1.6457285185185185E-2</v>
      </c>
      <c r="Q121" s="632">
        <v>1951500</v>
      </c>
      <c r="R121" s="632">
        <v>265680</v>
      </c>
      <c r="S121" s="632">
        <f t="shared" si="19"/>
        <v>1685820</v>
      </c>
      <c r="T121" s="632">
        <f t="shared" si="20"/>
        <v>27744.020510888888</v>
      </c>
      <c r="U121" s="632">
        <f t="shared" si="21"/>
        <v>13872.010255444444</v>
      </c>
      <c r="V121" s="633">
        <v>22.8001</v>
      </c>
      <c r="W121" s="633">
        <v>21.558</v>
      </c>
      <c r="X121" s="629"/>
      <c r="Y121" s="628">
        <f t="shared" si="15"/>
        <v>1.5540645950387026</v>
      </c>
      <c r="Z121" s="632">
        <f t="shared" si="22"/>
        <v>2619873.1756081455</v>
      </c>
    </row>
    <row r="122" spans="2:26" x14ac:dyDescent="0.25">
      <c r="B122" s="33">
        <v>875</v>
      </c>
      <c r="C122" s="625" t="s">
        <v>333</v>
      </c>
      <c r="D122" s="629" t="s">
        <v>112</v>
      </c>
      <c r="E122" s="627">
        <v>22.88</v>
      </c>
      <c r="F122" s="627">
        <v>22.88</v>
      </c>
      <c r="G122" s="627"/>
      <c r="H122" s="627"/>
      <c r="I122" s="627"/>
      <c r="J122" s="627" t="s">
        <v>923</v>
      </c>
      <c r="K122" s="627">
        <v>5.9</v>
      </c>
      <c r="L122" s="628">
        <v>0.42</v>
      </c>
      <c r="M122" s="628">
        <v>0.98</v>
      </c>
      <c r="N122" s="627">
        <f t="shared" si="17"/>
        <v>55.562707199999991</v>
      </c>
      <c r="O122" s="630">
        <v>8100</v>
      </c>
      <c r="P122" s="631">
        <f t="shared" si="18"/>
        <v>6.8595934814814803E-3</v>
      </c>
      <c r="Q122" s="632">
        <v>1951500</v>
      </c>
      <c r="R122" s="632">
        <v>265680</v>
      </c>
      <c r="S122" s="632">
        <f t="shared" si="19"/>
        <v>1685820</v>
      </c>
      <c r="T122" s="632">
        <f t="shared" si="20"/>
        <v>11564.039882951109</v>
      </c>
      <c r="U122" s="632">
        <f t="shared" si="21"/>
        <v>5782.0199414755543</v>
      </c>
      <c r="V122" s="633">
        <v>9.5043000000000006</v>
      </c>
      <c r="W122" s="633">
        <v>8.9848999999999997</v>
      </c>
      <c r="X122" s="629"/>
      <c r="Y122" s="628">
        <f t="shared" si="15"/>
        <v>1.5539379128649424</v>
      </c>
      <c r="Z122" s="632">
        <f t="shared" si="22"/>
        <v>2619659.6122659771</v>
      </c>
    </row>
    <row r="123" spans="2:26" x14ac:dyDescent="0.25">
      <c r="B123" s="33">
        <v>880</v>
      </c>
      <c r="C123" s="625" t="s">
        <v>339</v>
      </c>
      <c r="D123" s="629" t="s">
        <v>112</v>
      </c>
      <c r="E123" s="627">
        <v>90.06</v>
      </c>
      <c r="F123" s="627">
        <v>90.08</v>
      </c>
      <c r="G123" s="627">
        <v>323.69</v>
      </c>
      <c r="H123" s="627"/>
      <c r="I123" s="627"/>
      <c r="J123" s="627">
        <v>323.69</v>
      </c>
      <c r="K123" s="627">
        <v>2.36</v>
      </c>
      <c r="L123" s="628">
        <v>0.32</v>
      </c>
      <c r="M123" s="628">
        <v>0.98</v>
      </c>
      <c r="N123" s="627">
        <f t="shared" si="17"/>
        <v>66.653045759999998</v>
      </c>
      <c r="O123" s="630">
        <v>8100</v>
      </c>
      <c r="P123" s="631">
        <f t="shared" si="18"/>
        <v>8.2287710814814806E-3</v>
      </c>
      <c r="Q123" s="632">
        <v>1951500</v>
      </c>
      <c r="R123" s="632">
        <v>265680</v>
      </c>
      <c r="S123" s="632">
        <f t="shared" si="19"/>
        <v>1685820</v>
      </c>
      <c r="T123" s="632">
        <f t="shared" si="20"/>
        <v>13872.22686458311</v>
      </c>
      <c r="U123" s="632">
        <f t="shared" si="21"/>
        <v>6936.113432291555</v>
      </c>
      <c r="V123" s="633">
        <v>11.4009</v>
      </c>
      <c r="W123" s="633">
        <v>10.779</v>
      </c>
      <c r="X123" s="629"/>
      <c r="Y123" s="628">
        <f t="shared" si="15"/>
        <v>1.5540403289567932</v>
      </c>
      <c r="Z123" s="632">
        <f t="shared" si="22"/>
        <v>2619832.2673619413</v>
      </c>
    </row>
    <row r="124" spans="2:26" x14ac:dyDescent="0.25">
      <c r="B124" s="33">
        <v>881</v>
      </c>
      <c r="C124" s="625" t="s">
        <v>341</v>
      </c>
      <c r="D124" s="629" t="s">
        <v>112</v>
      </c>
      <c r="E124" s="627">
        <v>96.91</v>
      </c>
      <c r="F124" s="627">
        <v>109.16</v>
      </c>
      <c r="G124" s="627">
        <v>69.17</v>
      </c>
      <c r="H124" s="627"/>
      <c r="I124" s="627"/>
      <c r="J124" s="627" t="s">
        <v>923</v>
      </c>
      <c r="K124" s="627">
        <v>2.36</v>
      </c>
      <c r="L124" s="628">
        <v>0.32</v>
      </c>
      <c r="M124" s="628">
        <v>0.98</v>
      </c>
      <c r="N124" s="627">
        <f t="shared" si="17"/>
        <v>71.722703359999997</v>
      </c>
      <c r="O124" s="630">
        <v>8100</v>
      </c>
      <c r="P124" s="631">
        <f t="shared" si="18"/>
        <v>8.8546547358024693E-3</v>
      </c>
      <c r="Q124" s="632">
        <v>1951500</v>
      </c>
      <c r="R124" s="632">
        <v>265680</v>
      </c>
      <c r="S124" s="632">
        <f t="shared" si="19"/>
        <v>1685820</v>
      </c>
      <c r="T124" s="632">
        <f t="shared" si="20"/>
        <v>14927.354046710519</v>
      </c>
      <c r="U124" s="632">
        <f t="shared" si="21"/>
        <v>7463.6770233552597</v>
      </c>
      <c r="V124" s="633">
        <v>12.266999999999999</v>
      </c>
      <c r="W124" s="633">
        <v>11.599500000000001</v>
      </c>
      <c r="X124" s="629"/>
      <c r="Y124" s="628">
        <f t="shared" si="15"/>
        <v>1.5541267345442422</v>
      </c>
      <c r="Z124" s="632">
        <f t="shared" si="22"/>
        <v>2619977.9316293746</v>
      </c>
    </row>
    <row r="125" spans="2:26" x14ac:dyDescent="0.25">
      <c r="B125" s="33">
        <v>890</v>
      </c>
      <c r="C125" s="625" t="s">
        <v>345</v>
      </c>
      <c r="D125" s="629" t="s">
        <v>112</v>
      </c>
      <c r="E125" s="627">
        <v>5.0599999999999996</v>
      </c>
      <c r="F125" s="627">
        <v>6.3</v>
      </c>
      <c r="G125" s="627"/>
      <c r="H125" s="627"/>
      <c r="I125" s="627"/>
      <c r="J125" s="627" t="s">
        <v>923</v>
      </c>
      <c r="K125" s="627">
        <v>4</v>
      </c>
      <c r="L125" s="628">
        <v>0.5</v>
      </c>
      <c r="M125" s="628">
        <v>0.98</v>
      </c>
      <c r="N125" s="627">
        <f t="shared" si="17"/>
        <v>9.9175999999999984</v>
      </c>
      <c r="O125" s="630">
        <v>8100</v>
      </c>
      <c r="P125" s="631">
        <f t="shared" si="18"/>
        <v>1.2243950617283948E-3</v>
      </c>
      <c r="Q125" s="632">
        <v>1951500</v>
      </c>
      <c r="R125" s="632">
        <v>265680</v>
      </c>
      <c r="S125" s="632">
        <f t="shared" si="19"/>
        <v>1685820</v>
      </c>
      <c r="T125" s="632">
        <f t="shared" si="20"/>
        <v>2064.1096829629628</v>
      </c>
      <c r="U125" s="632">
        <f t="shared" si="21"/>
        <v>1032.0548414814814</v>
      </c>
      <c r="V125" s="633">
        <v>1.6963999999999999</v>
      </c>
      <c r="W125" s="633">
        <v>1.6035999999999999</v>
      </c>
      <c r="X125" s="629"/>
      <c r="Y125" s="628">
        <f t="shared" si="15"/>
        <v>1.553793398903186</v>
      </c>
      <c r="Z125" s="632">
        <f t="shared" si="22"/>
        <v>2619415.9877389693</v>
      </c>
    </row>
    <row r="126" spans="2:26" x14ac:dyDescent="0.25">
      <c r="B126" s="33">
        <v>889</v>
      </c>
      <c r="C126" s="625" t="s">
        <v>347</v>
      </c>
      <c r="D126" s="629" t="s">
        <v>112</v>
      </c>
      <c r="E126" s="627"/>
      <c r="F126" s="627">
        <v>101.49</v>
      </c>
      <c r="G126" s="627"/>
      <c r="H126" s="627"/>
      <c r="I126" s="627"/>
      <c r="J126" s="627" t="s">
        <v>923</v>
      </c>
      <c r="K126" s="627"/>
      <c r="L126" s="628"/>
      <c r="M126" s="628"/>
      <c r="N126" s="627"/>
      <c r="O126" s="630"/>
      <c r="P126" s="631"/>
      <c r="Q126" s="632"/>
      <c r="R126" s="632"/>
      <c r="S126" s="632"/>
      <c r="T126" s="632"/>
      <c r="U126" s="632"/>
      <c r="V126" s="633"/>
      <c r="W126" s="633"/>
      <c r="X126" s="629"/>
      <c r="Y126" s="628"/>
      <c r="Z126" s="632"/>
    </row>
    <row r="127" spans="2:26" x14ac:dyDescent="0.25">
      <c r="B127" s="49" t="s">
        <v>483</v>
      </c>
      <c r="C127" s="634"/>
      <c r="D127" s="635"/>
      <c r="E127" s="636"/>
      <c r="F127" s="636"/>
      <c r="G127" s="636"/>
      <c r="H127" s="636"/>
      <c r="I127" s="636"/>
      <c r="J127" s="636"/>
      <c r="K127" s="636"/>
      <c r="L127" s="637"/>
      <c r="M127" s="637"/>
      <c r="N127" s="636"/>
      <c r="O127" s="638"/>
      <c r="P127" s="639"/>
      <c r="Q127" s="640"/>
      <c r="R127" s="640"/>
      <c r="S127" s="640"/>
      <c r="T127" s="640"/>
      <c r="U127" s="640"/>
      <c r="V127" s="641"/>
      <c r="W127" s="641"/>
      <c r="X127" s="629"/>
      <c r="Y127" s="628"/>
      <c r="Z127" s="632"/>
    </row>
    <row r="128" spans="2:26" x14ac:dyDescent="0.25">
      <c r="B128" s="33">
        <v>911</v>
      </c>
      <c r="C128" s="625" t="s">
        <v>349</v>
      </c>
      <c r="D128" s="629" t="s">
        <v>112</v>
      </c>
      <c r="E128" s="627">
        <v>156.47999999999999</v>
      </c>
      <c r="F128" s="50" t="s">
        <v>922</v>
      </c>
      <c r="G128" s="627"/>
      <c r="H128" s="627"/>
      <c r="I128" s="627"/>
      <c r="J128" s="627" t="s">
        <v>923</v>
      </c>
      <c r="K128" s="627">
        <v>1.25</v>
      </c>
      <c r="L128" s="628">
        <v>0.5</v>
      </c>
      <c r="M128" s="628">
        <v>0.98</v>
      </c>
      <c r="N128" s="627">
        <f t="shared" ref="N128:N137" si="23">+E128*K128*L128*M128</f>
        <v>95.843999999999994</v>
      </c>
      <c r="O128" s="630">
        <v>8100</v>
      </c>
      <c r="P128" s="631">
        <f t="shared" si="18"/>
        <v>1.1832592592592592E-2</v>
      </c>
      <c r="Q128" s="632">
        <v>1951500</v>
      </c>
      <c r="R128" s="632">
        <v>265680</v>
      </c>
      <c r="S128" s="632">
        <f t="shared" si="19"/>
        <v>1685820</v>
      </c>
      <c r="T128" s="632">
        <f t="shared" si="20"/>
        <v>19947.621244444443</v>
      </c>
      <c r="U128" s="632">
        <f t="shared" si="21"/>
        <v>9973.8106222222214</v>
      </c>
      <c r="V128" s="645">
        <v>16.392299999999999</v>
      </c>
      <c r="W128" s="645">
        <v>15.5002</v>
      </c>
      <c r="X128" s="629"/>
      <c r="Y128" s="628">
        <f t="shared" si="15"/>
        <v>1.5540900651817737</v>
      </c>
      <c r="Z128" s="632">
        <f t="shared" si="22"/>
        <v>2619916.1136847376</v>
      </c>
    </row>
    <row r="129" spans="2:26" x14ac:dyDescent="0.25">
      <c r="B129" s="33">
        <v>912</v>
      </c>
      <c r="C129" s="625" t="s">
        <v>351</v>
      </c>
      <c r="D129" s="629" t="s">
        <v>112</v>
      </c>
      <c r="E129" s="627">
        <v>246.49</v>
      </c>
      <c r="F129" s="627">
        <v>100.03</v>
      </c>
      <c r="G129" s="627"/>
      <c r="H129" s="627"/>
      <c r="I129" s="627"/>
      <c r="J129" s="627" t="s">
        <v>923</v>
      </c>
      <c r="K129" s="627">
        <v>1.25</v>
      </c>
      <c r="L129" s="628">
        <v>0.5</v>
      </c>
      <c r="M129" s="628">
        <v>0.98</v>
      </c>
      <c r="N129" s="627">
        <f t="shared" si="23"/>
        <v>150.97512499999999</v>
      </c>
      <c r="O129" s="630">
        <v>8100</v>
      </c>
      <c r="P129" s="631">
        <f t="shared" si="18"/>
        <v>1.8638904320987654E-2</v>
      </c>
      <c r="Q129" s="632">
        <v>1951500</v>
      </c>
      <c r="R129" s="632">
        <v>265680</v>
      </c>
      <c r="S129" s="632">
        <f t="shared" si="19"/>
        <v>1685820</v>
      </c>
      <c r="T129" s="632">
        <f t="shared" si="20"/>
        <v>31421.837682407408</v>
      </c>
      <c r="U129" s="632">
        <f t="shared" si="21"/>
        <v>15710.918841203704</v>
      </c>
      <c r="V129" s="645">
        <v>25.8233</v>
      </c>
      <c r="W129" s="645">
        <v>24.416699999999999</v>
      </c>
      <c r="X129" s="629"/>
      <c r="Y129" s="628">
        <f t="shared" si="15"/>
        <v>1.5541229794889129</v>
      </c>
      <c r="Z129" s="632">
        <f t="shared" si="22"/>
        <v>2619971.6012819991</v>
      </c>
    </row>
    <row r="130" spans="2:26" x14ac:dyDescent="0.25">
      <c r="B130" s="33">
        <v>931</v>
      </c>
      <c r="C130" s="625" t="s">
        <v>353</v>
      </c>
      <c r="D130" s="629" t="s">
        <v>112</v>
      </c>
      <c r="E130" s="627">
        <v>89.95</v>
      </c>
      <c r="F130" s="627">
        <v>83.84</v>
      </c>
      <c r="G130" s="627"/>
      <c r="H130" s="627"/>
      <c r="I130" s="627"/>
      <c r="J130" s="627" t="s">
        <v>923</v>
      </c>
      <c r="K130" s="627">
        <v>6.16</v>
      </c>
      <c r="L130" s="628">
        <v>0.75</v>
      </c>
      <c r="M130" s="628">
        <v>0.98</v>
      </c>
      <c r="N130" s="627">
        <f t="shared" si="23"/>
        <v>407.25761999999997</v>
      </c>
      <c r="O130" s="630">
        <v>8100</v>
      </c>
      <c r="P130" s="631">
        <f t="shared" si="18"/>
        <v>5.0278718518518513E-2</v>
      </c>
      <c r="Q130" s="632">
        <v>1951500</v>
      </c>
      <c r="R130" s="632">
        <v>265680</v>
      </c>
      <c r="S130" s="632">
        <f t="shared" si="19"/>
        <v>1685820</v>
      </c>
      <c r="T130" s="632">
        <f t="shared" si="20"/>
        <v>84760.869252888879</v>
      </c>
      <c r="U130" s="632">
        <f t="shared" si="21"/>
        <v>42380.434626444439</v>
      </c>
      <c r="V130" s="645">
        <v>69.657200000000003</v>
      </c>
      <c r="W130" s="645">
        <v>65.862399999999994</v>
      </c>
      <c r="X130" s="629"/>
      <c r="Y130" s="628">
        <f t="shared" si="15"/>
        <v>1.5540756148570345</v>
      </c>
      <c r="Z130" s="632">
        <f t="shared" si="22"/>
        <v>2619891.7530382858</v>
      </c>
    </row>
    <row r="131" spans="2:26" x14ac:dyDescent="0.25">
      <c r="B131" s="33">
        <v>931</v>
      </c>
      <c r="C131" s="625" t="s">
        <v>355</v>
      </c>
      <c r="D131" s="629" t="s">
        <v>356</v>
      </c>
      <c r="E131" s="627">
        <v>2.86</v>
      </c>
      <c r="F131" s="627">
        <v>2.6</v>
      </c>
      <c r="G131" s="627"/>
      <c r="H131" s="627"/>
      <c r="I131" s="627"/>
      <c r="J131" s="627" t="s">
        <v>923</v>
      </c>
      <c r="K131" s="627">
        <v>6.16</v>
      </c>
      <c r="L131" s="628">
        <v>0.75</v>
      </c>
      <c r="M131" s="628">
        <v>0.98</v>
      </c>
      <c r="N131" s="627">
        <f t="shared" si="23"/>
        <v>12.948936</v>
      </c>
      <c r="O131" s="630">
        <v>8100</v>
      </c>
      <c r="P131" s="631">
        <f t="shared" si="18"/>
        <v>1.598634074074074E-3</v>
      </c>
      <c r="Q131" s="632">
        <v>1951500</v>
      </c>
      <c r="R131" s="632">
        <v>265680</v>
      </c>
      <c r="S131" s="632">
        <f t="shared" si="19"/>
        <v>1685820</v>
      </c>
      <c r="T131" s="632">
        <f t="shared" si="20"/>
        <v>2695.0092947555554</v>
      </c>
      <c r="U131" s="632">
        <f t="shared" si="21"/>
        <v>1347.5046473777777</v>
      </c>
      <c r="V131" s="645">
        <v>2214.08</v>
      </c>
      <c r="W131" s="645">
        <v>2093.6080000000002</v>
      </c>
      <c r="X131" s="629"/>
      <c r="Y131" s="628">
        <f t="shared" ref="Y131:Y137" si="24">+W131/U131</f>
        <v>1.5536926006705265</v>
      </c>
      <c r="Z131" s="632">
        <f t="shared" si="22"/>
        <v>2619246.060062387</v>
      </c>
    </row>
    <row r="132" spans="2:26" x14ac:dyDescent="0.25">
      <c r="B132" s="33">
        <v>932</v>
      </c>
      <c r="C132" s="625" t="s">
        <v>935</v>
      </c>
      <c r="D132" s="629" t="s">
        <v>112</v>
      </c>
      <c r="E132" s="627">
        <v>11</v>
      </c>
      <c r="F132" s="627">
        <v>112.18</v>
      </c>
      <c r="G132" s="627"/>
      <c r="H132" s="627"/>
      <c r="I132" s="627"/>
      <c r="J132" s="627" t="s">
        <v>923</v>
      </c>
      <c r="K132" s="627">
        <v>4</v>
      </c>
      <c r="L132" s="628">
        <v>0.5</v>
      </c>
      <c r="M132" s="628">
        <v>0.98</v>
      </c>
      <c r="N132" s="627">
        <f t="shared" si="23"/>
        <v>21.56</v>
      </c>
      <c r="O132" s="630">
        <v>8100</v>
      </c>
      <c r="P132" s="631">
        <f t="shared" si="18"/>
        <v>2.661728395061728E-3</v>
      </c>
      <c r="Q132" s="632">
        <v>1951500</v>
      </c>
      <c r="R132" s="632">
        <v>265680</v>
      </c>
      <c r="S132" s="632">
        <f t="shared" si="19"/>
        <v>1685820</v>
      </c>
      <c r="T132" s="632">
        <f t="shared" si="20"/>
        <v>4487.1949629629626</v>
      </c>
      <c r="U132" s="632">
        <f t="shared" si="21"/>
        <v>2243.5974814814813</v>
      </c>
      <c r="V132" s="645">
        <v>53.092300000000002</v>
      </c>
      <c r="W132" s="645">
        <v>50.199399999999997</v>
      </c>
      <c r="X132" s="629"/>
      <c r="Y132" s="628">
        <f t="shared" si="15"/>
        <v>22.374512547077995</v>
      </c>
      <c r="Z132" s="632">
        <f t="shared" si="22"/>
        <v>37719400.742115028</v>
      </c>
    </row>
    <row r="133" spans="2:26" x14ac:dyDescent="0.25">
      <c r="B133" s="33">
        <v>932</v>
      </c>
      <c r="C133" s="625" t="s">
        <v>936</v>
      </c>
      <c r="D133" s="629" t="s">
        <v>356</v>
      </c>
      <c r="E133" s="627">
        <v>4.83</v>
      </c>
      <c r="F133" s="627">
        <v>4.37</v>
      </c>
      <c r="G133" s="627"/>
      <c r="H133" s="627"/>
      <c r="I133" s="627"/>
      <c r="J133" s="627" t="s">
        <v>923</v>
      </c>
      <c r="K133" s="627">
        <v>4</v>
      </c>
      <c r="L133" s="628">
        <v>0.5</v>
      </c>
      <c r="M133" s="628">
        <v>0.98</v>
      </c>
      <c r="N133" s="627">
        <f t="shared" si="23"/>
        <v>9.4667999999999992</v>
      </c>
      <c r="O133" s="630">
        <v>8100</v>
      </c>
      <c r="P133" s="631">
        <f t="shared" si="18"/>
        <v>1.1687407407407406E-3</v>
      </c>
      <c r="Q133" s="632">
        <v>1951500</v>
      </c>
      <c r="R133" s="632">
        <v>265680</v>
      </c>
      <c r="S133" s="632">
        <f t="shared" si="19"/>
        <v>1685820</v>
      </c>
      <c r="T133" s="632">
        <f t="shared" si="20"/>
        <v>1970.2865155555553</v>
      </c>
      <c r="U133" s="632">
        <f t="shared" si="21"/>
        <v>985.14325777777765</v>
      </c>
      <c r="V133" s="645">
        <v>1619.86</v>
      </c>
      <c r="W133" s="645">
        <v>1530.32</v>
      </c>
      <c r="X133" s="629"/>
      <c r="Y133" s="628">
        <f t="shared" si="24"/>
        <v>1.5533984401943699</v>
      </c>
      <c r="Z133" s="632">
        <f t="shared" si="22"/>
        <v>2618750.1584484726</v>
      </c>
    </row>
    <row r="134" spans="2:26" x14ac:dyDescent="0.25">
      <c r="B134" s="33">
        <v>933</v>
      </c>
      <c r="C134" s="625" t="s">
        <v>361</v>
      </c>
      <c r="D134" s="629" t="s">
        <v>112</v>
      </c>
      <c r="E134" s="627">
        <v>716</v>
      </c>
      <c r="F134" s="627">
        <v>346.23</v>
      </c>
      <c r="G134" s="627"/>
      <c r="H134" s="627"/>
      <c r="I134" s="627"/>
      <c r="J134" s="627" t="s">
        <v>923</v>
      </c>
      <c r="K134" s="627">
        <v>1.25</v>
      </c>
      <c r="L134" s="628">
        <v>0.5</v>
      </c>
      <c r="M134" s="628">
        <v>0.98</v>
      </c>
      <c r="N134" s="627">
        <f t="shared" si="23"/>
        <v>438.55</v>
      </c>
      <c r="O134" s="630">
        <v>8100</v>
      </c>
      <c r="P134" s="631">
        <f t="shared" si="18"/>
        <v>5.4141975308641975E-2</v>
      </c>
      <c r="Q134" s="632">
        <v>1951500</v>
      </c>
      <c r="R134" s="632">
        <v>265680</v>
      </c>
      <c r="S134" s="632">
        <f t="shared" si="19"/>
        <v>1685820</v>
      </c>
      <c r="T134" s="632">
        <f t="shared" si="20"/>
        <v>91273.624814814815</v>
      </c>
      <c r="U134" s="632">
        <f t="shared" si="21"/>
        <v>45636.812407407408</v>
      </c>
      <c r="V134" s="645">
        <v>75.010099999999994</v>
      </c>
      <c r="W134" s="645">
        <v>70.9238</v>
      </c>
      <c r="X134" s="629"/>
      <c r="Y134" s="628">
        <f t="shared" si="15"/>
        <v>1.5540918889525293</v>
      </c>
      <c r="Z134" s="632">
        <f t="shared" si="22"/>
        <v>2619919.188233953</v>
      </c>
    </row>
    <row r="135" spans="2:26" x14ac:dyDescent="0.25">
      <c r="B135" s="33">
        <v>934</v>
      </c>
      <c r="C135" s="625" t="s">
        <v>363</v>
      </c>
      <c r="D135" s="629" t="s">
        <v>112</v>
      </c>
      <c r="E135" s="627">
        <v>496.12</v>
      </c>
      <c r="F135" s="627">
        <v>470.95</v>
      </c>
      <c r="G135" s="627"/>
      <c r="H135" s="627"/>
      <c r="I135" s="627"/>
      <c r="J135" s="627" t="s">
        <v>923</v>
      </c>
      <c r="K135" s="627">
        <v>1.25</v>
      </c>
      <c r="L135" s="628">
        <v>0.5</v>
      </c>
      <c r="M135" s="628">
        <v>0.98</v>
      </c>
      <c r="N135" s="627">
        <f t="shared" si="23"/>
        <v>303.87349999999998</v>
      </c>
      <c r="O135" s="630">
        <v>8100</v>
      </c>
      <c r="P135" s="631">
        <f t="shared" si="18"/>
        <v>3.7515246913580241E-2</v>
      </c>
      <c r="Q135" s="632">
        <v>1951500</v>
      </c>
      <c r="R135" s="632">
        <v>265680</v>
      </c>
      <c r="S135" s="632">
        <f t="shared" si="19"/>
        <v>1685820</v>
      </c>
      <c r="T135" s="632">
        <f t="shared" si="20"/>
        <v>63243.953551851846</v>
      </c>
      <c r="U135" s="632">
        <f t="shared" si="21"/>
        <v>31621.976775925923</v>
      </c>
      <c r="V135" s="645">
        <v>51.9739</v>
      </c>
      <c r="W135" s="645">
        <v>49.142800000000001</v>
      </c>
      <c r="X135" s="629"/>
      <c r="Y135" s="628">
        <f t="shared" si="15"/>
        <v>1.5540710926526526</v>
      </c>
      <c r="Z135" s="632">
        <f t="shared" si="22"/>
        <v>2619884.1294156951</v>
      </c>
    </row>
    <row r="136" spans="2:26" x14ac:dyDescent="0.25">
      <c r="B136" s="33">
        <v>937</v>
      </c>
      <c r="C136" s="625" t="s">
        <v>365</v>
      </c>
      <c r="D136" s="629" t="s">
        <v>112</v>
      </c>
      <c r="E136" s="627">
        <v>818.58</v>
      </c>
      <c r="F136" s="627">
        <v>820.38</v>
      </c>
      <c r="G136" s="627"/>
      <c r="H136" s="627"/>
      <c r="I136" s="627"/>
      <c r="J136" s="627" t="s">
        <v>923</v>
      </c>
      <c r="K136" s="627">
        <v>1.25</v>
      </c>
      <c r="L136" s="628">
        <v>0.35</v>
      </c>
      <c r="M136" s="628">
        <v>0.98</v>
      </c>
      <c r="N136" s="627">
        <f t="shared" si="23"/>
        <v>350.96617499999996</v>
      </c>
      <c r="O136" s="630">
        <v>8100</v>
      </c>
      <c r="P136" s="631">
        <f t="shared" si="18"/>
        <v>4.33291574074074E-2</v>
      </c>
      <c r="Q136" s="632">
        <v>1951500</v>
      </c>
      <c r="R136" s="632">
        <v>265680</v>
      </c>
      <c r="S136" s="632">
        <f t="shared" si="19"/>
        <v>1685820</v>
      </c>
      <c r="T136" s="632">
        <f t="shared" si="20"/>
        <v>73045.160140555541</v>
      </c>
      <c r="U136" s="632">
        <f t="shared" si="21"/>
        <v>36522.580070277771</v>
      </c>
      <c r="V136" s="645">
        <v>59.972299999999997</v>
      </c>
      <c r="W136" s="645">
        <v>56.758600000000001</v>
      </c>
      <c r="X136" s="629"/>
      <c r="Y136" s="628">
        <f t="shared" si="15"/>
        <v>1.5540687402364102</v>
      </c>
      <c r="Z136" s="632">
        <f t="shared" si="22"/>
        <v>2619880.1636653449</v>
      </c>
    </row>
    <row r="137" spans="2:26" x14ac:dyDescent="0.25">
      <c r="B137" s="33">
        <v>944</v>
      </c>
      <c r="C137" s="625" t="s">
        <v>367</v>
      </c>
      <c r="D137" s="629" t="s">
        <v>368</v>
      </c>
      <c r="E137" s="627">
        <v>168.56</v>
      </c>
      <c r="F137" s="627">
        <v>172.01</v>
      </c>
      <c r="G137" s="627"/>
      <c r="H137" s="627"/>
      <c r="I137" s="627"/>
      <c r="J137" s="627" t="s">
        <v>923</v>
      </c>
      <c r="K137" s="627">
        <v>1.25</v>
      </c>
      <c r="L137" s="628">
        <v>0.35</v>
      </c>
      <c r="M137" s="628">
        <v>0.98</v>
      </c>
      <c r="N137" s="627">
        <f t="shared" si="23"/>
        <v>72.270099999999985</v>
      </c>
      <c r="O137" s="630">
        <v>8100</v>
      </c>
      <c r="P137" s="631">
        <f t="shared" si="18"/>
        <v>8.9222345679012324E-3</v>
      </c>
      <c r="Q137" s="632">
        <v>1951500</v>
      </c>
      <c r="R137" s="632">
        <v>265680</v>
      </c>
      <c r="S137" s="632">
        <f t="shared" si="19"/>
        <v>1685820</v>
      </c>
      <c r="T137" s="632">
        <f t="shared" si="20"/>
        <v>15041.281479259256</v>
      </c>
      <c r="U137" s="632">
        <f t="shared" si="21"/>
        <v>7520.6407396296281</v>
      </c>
      <c r="V137" s="645">
        <v>12361.404</v>
      </c>
      <c r="W137" s="645">
        <v>11687.412</v>
      </c>
      <c r="X137" s="629"/>
      <c r="Y137" s="628">
        <f t="shared" si="24"/>
        <v>1.5540447156867614</v>
      </c>
      <c r="Z137" s="632">
        <f t="shared" si="22"/>
        <v>2619839.662599056</v>
      </c>
    </row>
    <row r="138" spans="2:26" x14ac:dyDescent="0.25">
      <c r="B138" s="33">
        <v>945</v>
      </c>
      <c r="C138" s="625" t="s">
        <v>367</v>
      </c>
      <c r="D138" s="629" t="s">
        <v>112</v>
      </c>
      <c r="E138" s="627"/>
      <c r="F138" s="627">
        <v>1202.83</v>
      </c>
      <c r="G138" s="627"/>
      <c r="H138" s="627">
        <v>1863.33</v>
      </c>
      <c r="I138" s="627"/>
      <c r="J138" s="627" t="s">
        <v>923</v>
      </c>
      <c r="K138" s="627"/>
      <c r="L138" s="628"/>
      <c r="M138" s="628"/>
      <c r="N138" s="629"/>
      <c r="O138" s="630"/>
      <c r="P138" s="631"/>
      <c r="Q138" s="632"/>
      <c r="R138" s="632"/>
      <c r="S138" s="632"/>
      <c r="T138" s="632"/>
      <c r="U138" s="632"/>
      <c r="V138" s="633"/>
      <c r="W138" s="633"/>
      <c r="X138" s="629"/>
      <c r="Y138" s="629"/>
      <c r="Z138" s="629"/>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heetViews>
  <sheetFormatPr defaultColWidth="9" defaultRowHeight="15.75" x14ac:dyDescent="0.25"/>
  <cols>
    <col min="4" max="12" width="9.85546875" customWidth="1"/>
    <col min="13" max="15" width="15.85546875" customWidth="1"/>
    <col min="16" max="18" width="9.85546875" customWidth="1"/>
  </cols>
  <sheetData>
    <row r="7" spans="4:21" x14ac:dyDescent="0.25">
      <c r="E7" s="1039" t="s">
        <v>937</v>
      </c>
      <c r="F7" s="1040"/>
      <c r="G7" s="1040"/>
      <c r="H7" s="1040"/>
      <c r="I7" s="1040"/>
      <c r="J7" s="1041"/>
      <c r="K7" s="1042" t="s">
        <v>938</v>
      </c>
      <c r="L7" s="1043"/>
      <c r="M7" s="1039" t="s">
        <v>939</v>
      </c>
      <c r="N7" s="1040"/>
      <c r="O7" s="1041"/>
      <c r="P7" s="158" t="s">
        <v>940</v>
      </c>
    </row>
    <row r="8" spans="4:21" ht="47.25" x14ac:dyDescent="0.25">
      <c r="D8" s="145" t="s">
        <v>941</v>
      </c>
      <c r="E8" s="148" t="s">
        <v>942</v>
      </c>
      <c r="F8" s="146" t="s">
        <v>943</v>
      </c>
      <c r="G8" s="146" t="s">
        <v>909</v>
      </c>
      <c r="H8" s="146" t="s">
        <v>944</v>
      </c>
      <c r="I8" s="146" t="s">
        <v>945</v>
      </c>
      <c r="J8" s="147" t="s">
        <v>911</v>
      </c>
      <c r="K8" s="148" t="s">
        <v>946</v>
      </c>
      <c r="L8" s="147" t="s">
        <v>947</v>
      </c>
      <c r="M8" s="148" t="s">
        <v>914</v>
      </c>
      <c r="N8" s="146" t="s">
        <v>671</v>
      </c>
      <c r="O8" s="147" t="s">
        <v>915</v>
      </c>
      <c r="P8" s="149" t="s">
        <v>916</v>
      </c>
      <c r="Q8" s="146" t="s">
        <v>948</v>
      </c>
      <c r="R8" s="147" t="s">
        <v>949</v>
      </c>
      <c r="T8" s="143" t="s">
        <v>950</v>
      </c>
    </row>
    <row r="9" spans="4:21" ht="47.25" x14ac:dyDescent="0.25">
      <c r="D9" s="150" t="s">
        <v>951</v>
      </c>
      <c r="E9" s="151">
        <v>9.57</v>
      </c>
      <c r="F9" s="152">
        <v>6.09</v>
      </c>
      <c r="G9" s="153">
        <v>1</v>
      </c>
      <c r="H9" s="153">
        <v>0.98</v>
      </c>
      <c r="I9" s="154">
        <v>2</v>
      </c>
      <c r="J9" s="155">
        <f>+E9*F9*G9*H9/I9</f>
        <v>28.557836999999999</v>
      </c>
      <c r="K9" s="156">
        <v>8100</v>
      </c>
      <c r="L9" s="157">
        <f>+J9/K9</f>
        <v>3.5256588888888888E-3</v>
      </c>
      <c r="M9" s="159">
        <v>3103570</v>
      </c>
      <c r="N9" s="160">
        <v>422500</v>
      </c>
      <c r="O9" s="161">
        <f>+M9-N9</f>
        <v>2681070</v>
      </c>
      <c r="P9" s="162">
        <f>+T9</f>
        <v>9543.67</v>
      </c>
      <c r="Q9" s="142">
        <f>+L9*O9</f>
        <v>9452.5382772333323</v>
      </c>
      <c r="R9" s="142">
        <v>6001</v>
      </c>
      <c r="T9">
        <f>+FEE_1_In!G22</f>
        <v>9543.67</v>
      </c>
      <c r="U9" s="2">
        <f>+T9/R9</f>
        <v>1.590346608898517</v>
      </c>
    </row>
    <row r="10" spans="4:21" ht="31.5" x14ac:dyDescent="0.25">
      <c r="D10" s="150" t="s">
        <v>952</v>
      </c>
      <c r="E10" s="151">
        <v>6.72</v>
      </c>
      <c r="F10" s="152">
        <v>6.09</v>
      </c>
      <c r="G10" s="153">
        <v>1</v>
      </c>
      <c r="H10" s="153">
        <v>0.98</v>
      </c>
      <c r="I10" s="154">
        <v>2</v>
      </c>
      <c r="J10" s="155">
        <f>+E10*F10*G10*H10/I10</f>
        <v>20.053151999999997</v>
      </c>
      <c r="K10" s="156">
        <v>8100</v>
      </c>
      <c r="L10" s="157">
        <f>+J10/K10</f>
        <v>2.4756977777777773E-3</v>
      </c>
      <c r="M10" s="159">
        <v>3103570</v>
      </c>
      <c r="N10" s="160">
        <v>422500</v>
      </c>
      <c r="O10" s="161">
        <f>+M10-N10</f>
        <v>2681070</v>
      </c>
      <c r="P10" s="162">
        <f>+T10</f>
        <v>6701.09</v>
      </c>
      <c r="Q10" s="141">
        <f>+L10*O10</f>
        <v>6637.5190410666655</v>
      </c>
      <c r="R10" s="142">
        <v>4214</v>
      </c>
      <c r="T10">
        <f>+FEE_1_In!G23</f>
        <v>6701.09</v>
      </c>
    </row>
    <row r="11" spans="4:21" ht="47.25" x14ac:dyDescent="0.25">
      <c r="D11" s="150" t="s">
        <v>953</v>
      </c>
      <c r="E11" s="151">
        <v>15.65</v>
      </c>
      <c r="F11" s="152">
        <v>6.07</v>
      </c>
      <c r="G11" s="153">
        <v>0.88</v>
      </c>
      <c r="H11" s="153">
        <v>0.98</v>
      </c>
      <c r="I11" s="154">
        <v>2</v>
      </c>
      <c r="J11" s="155">
        <f>+E11*F11*G11*H11/I11</f>
        <v>40.962059600000003</v>
      </c>
      <c r="K11" s="156">
        <v>8100</v>
      </c>
      <c r="L11" s="157">
        <f>+J11/K11</f>
        <v>5.0570443950617291E-3</v>
      </c>
      <c r="M11" s="159">
        <v>3103570</v>
      </c>
      <c r="N11" s="160">
        <v>422500</v>
      </c>
      <c r="O11" s="161">
        <f>+M11-N11</f>
        <v>2681070</v>
      </c>
      <c r="P11" s="162">
        <f>+T11</f>
        <v>13259.2</v>
      </c>
      <c r="Q11" s="141">
        <f>+L11*O11</f>
        <v>13558.290016268151</v>
      </c>
      <c r="R11" s="142">
        <v>9778</v>
      </c>
      <c r="T11">
        <f>+FEE_1_In!G69</f>
        <v>13259.2</v>
      </c>
    </row>
    <row r="12" spans="4:21" ht="47.25" x14ac:dyDescent="0.25">
      <c r="D12" s="150" t="s">
        <v>954</v>
      </c>
      <c r="E12" s="151">
        <v>152.03</v>
      </c>
      <c r="F12" s="152">
        <v>2.2000000000000002</v>
      </c>
      <c r="G12" s="153">
        <v>0.26</v>
      </c>
      <c r="H12" s="153">
        <v>0.98</v>
      </c>
      <c r="I12" s="154">
        <v>2</v>
      </c>
      <c r="J12" s="155">
        <f>+E12*F12*G12*H12/I12</f>
        <v>42.610968400000004</v>
      </c>
      <c r="K12" s="156">
        <v>8100</v>
      </c>
      <c r="L12" s="157">
        <f>+J12/K12</f>
        <v>5.2606133827160497E-3</v>
      </c>
      <c r="M12" s="159">
        <v>3103570</v>
      </c>
      <c r="N12" s="160">
        <v>422500</v>
      </c>
      <c r="O12" s="161">
        <f>+M12-N12</f>
        <v>2681070</v>
      </c>
      <c r="P12" s="162">
        <f>+T12</f>
        <v>14048.1</v>
      </c>
      <c r="Q12" s="141">
        <f>+L12*O12</f>
        <v>14104.07272199852</v>
      </c>
      <c r="R12" s="142">
        <v>11821</v>
      </c>
      <c r="T12">
        <f>+FEE_1_In!G95</f>
        <v>14048.1</v>
      </c>
    </row>
    <row r="14" spans="4:21" x14ac:dyDescent="0.25">
      <c r="M14" s="142">
        <v>1951500</v>
      </c>
      <c r="N14" s="144">
        <f>+N9/M9</f>
        <v>0.13613354942856129</v>
      </c>
      <c r="O14" s="142">
        <v>1685820</v>
      </c>
      <c r="P14" s="142"/>
    </row>
    <row r="15" spans="4:21" x14ac:dyDescent="0.25">
      <c r="O15">
        <f>+O14*U9</f>
        <v>2681038.1202132977</v>
      </c>
    </row>
    <row r="16" spans="4:21" x14ac:dyDescent="0.25">
      <c r="N16">
        <v>0.1361</v>
      </c>
    </row>
    <row r="18" spans="14:14" x14ac:dyDescent="0.25">
      <c r="N18" s="144">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sqref="A1:XFD1"/>
    </sheetView>
  </sheetViews>
  <sheetFormatPr defaultColWidth="9" defaultRowHeight="15.75" x14ac:dyDescent="0.25"/>
  <cols>
    <col min="4" max="4" width="13.5703125" customWidth="1"/>
    <col min="5" max="5" width="11.140625" customWidth="1"/>
  </cols>
  <sheetData>
    <row r="1" spans="1:31" s="1044" customFormat="1" ht="33" customHeight="1" x14ac:dyDescent="0.25">
      <c r="A1" s="1044" t="s">
        <v>955</v>
      </c>
    </row>
    <row r="2" spans="1:31" x14ac:dyDescent="0.25">
      <c r="I2" s="578"/>
      <c r="P2" s="578"/>
      <c r="W2" s="578"/>
    </row>
    <row r="3" spans="1:31" x14ac:dyDescent="0.25">
      <c r="C3" t="s">
        <v>956</v>
      </c>
      <c r="D3" s="577"/>
      <c r="E3" s="577"/>
      <c r="F3" s="577"/>
      <c r="G3" s="577"/>
      <c r="H3" s="577"/>
      <c r="I3" s="579"/>
      <c r="K3" s="577" t="s">
        <v>957</v>
      </c>
      <c r="L3" s="577"/>
      <c r="M3" s="577"/>
      <c r="N3" s="577"/>
      <c r="O3" s="577"/>
      <c r="P3" s="579"/>
      <c r="R3" s="577" t="s">
        <v>958</v>
      </c>
      <c r="S3" s="577"/>
      <c r="T3" s="577"/>
      <c r="U3" s="577"/>
      <c r="V3" s="577"/>
      <c r="W3" s="579"/>
      <c r="Y3" s="577" t="s">
        <v>959</v>
      </c>
      <c r="Z3" s="577"/>
      <c r="AA3" s="577"/>
      <c r="AB3" s="577"/>
      <c r="AC3" s="577"/>
      <c r="AD3" s="579"/>
      <c r="AE3" s="578"/>
    </row>
    <row r="4" spans="1:31" x14ac:dyDescent="0.25">
      <c r="D4" s="577"/>
      <c r="E4" s="577" t="s">
        <v>960</v>
      </c>
      <c r="F4" s="577" t="s">
        <v>121</v>
      </c>
      <c r="G4" s="577" t="s">
        <v>63</v>
      </c>
      <c r="H4" s="577" t="s">
        <v>961</v>
      </c>
      <c r="I4" s="579" t="s">
        <v>962</v>
      </c>
      <c r="K4" s="577"/>
      <c r="L4" s="577" t="s">
        <v>960</v>
      </c>
      <c r="M4" s="577" t="s">
        <v>121</v>
      </c>
      <c r="N4" s="577" t="s">
        <v>63</v>
      </c>
      <c r="O4" s="577" t="s">
        <v>961</v>
      </c>
      <c r="P4" s="579" t="s">
        <v>962</v>
      </c>
      <c r="R4" s="577"/>
      <c r="S4" s="577" t="s">
        <v>960</v>
      </c>
      <c r="T4" s="577" t="s">
        <v>121</v>
      </c>
      <c r="U4" s="577" t="s">
        <v>63</v>
      </c>
      <c r="V4" s="577" t="s">
        <v>961</v>
      </c>
      <c r="W4" s="579" t="s">
        <v>962</v>
      </c>
      <c r="Y4" s="577"/>
      <c r="Z4" s="577" t="s">
        <v>960</v>
      </c>
      <c r="AA4" s="577" t="s">
        <v>121</v>
      </c>
      <c r="AB4" s="577" t="s">
        <v>63</v>
      </c>
      <c r="AC4" s="577" t="s">
        <v>961</v>
      </c>
      <c r="AD4" s="579" t="s">
        <v>962</v>
      </c>
      <c r="AE4" s="578"/>
    </row>
    <row r="5" spans="1:31" x14ac:dyDescent="0.25">
      <c r="D5" s="577" t="s">
        <v>657</v>
      </c>
      <c r="E5" s="422">
        <f>+FEE_1_In!G22</f>
        <v>9543.67</v>
      </c>
      <c r="F5" s="422">
        <f>+FEE_ByContextArea_ByMode!I25</f>
        <v>7843.4177405852297</v>
      </c>
      <c r="G5" s="422">
        <f>+FEE_ByContextArea_ByMode!J25</f>
        <v>1697.7333630332978</v>
      </c>
      <c r="H5" s="422">
        <f>+FEE_ByContextArea_ByMode!K25</f>
        <v>110.50661530115225</v>
      </c>
      <c r="I5" s="580">
        <f t="shared" ref="I5:I12" si="0">SUM(F5:H5)</f>
        <v>9651.6577189196796</v>
      </c>
      <c r="K5" s="577" t="s">
        <v>657</v>
      </c>
      <c r="L5" s="422">
        <f>+FEE_1_In!G23</f>
        <v>6701.09</v>
      </c>
      <c r="M5" s="422">
        <f>+FEE_ByContextArea_ByMode!I26</f>
        <v>6081.9722310470224</v>
      </c>
      <c r="N5" s="422">
        <f>+FEE_ByContextArea_ByMode!J26</f>
        <v>1316.4627348944643</v>
      </c>
      <c r="O5" s="422">
        <f>+FEE_ByContextArea_ByMode!K26</f>
        <v>85.689451695385017</v>
      </c>
      <c r="P5" s="580">
        <f t="shared" ref="P5:P12" si="1">SUM(M5:O5)</f>
        <v>7484.1244176368718</v>
      </c>
      <c r="R5" s="577" t="s">
        <v>657</v>
      </c>
      <c r="S5" s="422">
        <f>+FEE_ByContextArea_ByMode!G72</f>
        <v>13259.2</v>
      </c>
      <c r="T5" s="422">
        <f>+FEE_ByContextArea_ByMode!I72</f>
        <v>8998.6743192378799</v>
      </c>
      <c r="U5" s="422">
        <f>+FEE_ByContextArea_ByMode!J72</f>
        <v>3060.2242652058217</v>
      </c>
      <c r="V5" s="422">
        <f>+FEE_ByContextArea_ByMode!K72</f>
        <v>192.26570766961737</v>
      </c>
      <c r="W5" s="580">
        <f t="shared" ref="W5:W12" si="2">SUM(T5:V5)</f>
        <v>12251.164292113319</v>
      </c>
      <c r="Y5" s="577" t="s">
        <v>657</v>
      </c>
      <c r="Z5" s="422">
        <f>+FEE_ByContextArea_ByMode!G98</f>
        <v>14048.1</v>
      </c>
      <c r="AA5" s="422">
        <f>+FEE_ByContextArea_ByMode!I98</f>
        <v>10405.483457184329</v>
      </c>
      <c r="AB5" s="422">
        <f>+FEE_ByContextArea_ByMode!J98</f>
        <v>3538.6448978153621</v>
      </c>
      <c r="AC5" s="422">
        <f>+FEE_ByContextArea_ByMode!K98</f>
        <v>222.32359673946715</v>
      </c>
      <c r="AD5" s="581">
        <f t="shared" ref="AD5:AD12" si="3">SUM(AA5:AC5)</f>
        <v>14166.451951739158</v>
      </c>
      <c r="AE5" s="578"/>
    </row>
    <row r="6" spans="1:31" x14ac:dyDescent="0.25">
      <c r="D6" s="577" t="s">
        <v>658</v>
      </c>
      <c r="E6" s="422">
        <f>+E5</f>
        <v>9543.67</v>
      </c>
      <c r="F6" s="422">
        <f>+FEE_ByContextArea_ByMode!M25</f>
        <v>8623.2698278700536</v>
      </c>
      <c r="G6" s="422">
        <f>+FEE_ByContextArea_ByMode!N25</f>
        <v>1706.5044396130345</v>
      </c>
      <c r="H6" s="422">
        <f>+FEE_ByContextArea_ByMode!O25</f>
        <v>73.462901705404533</v>
      </c>
      <c r="I6" s="580">
        <f t="shared" si="0"/>
        <v>10403.237169188493</v>
      </c>
      <c r="K6" s="577" t="s">
        <v>658</v>
      </c>
      <c r="L6" s="422">
        <f>+L5</f>
        <v>6701.09</v>
      </c>
      <c r="M6" s="422">
        <f>+FEE_ByContextArea_ByMode!M26</f>
        <v>6686.6880444924582</v>
      </c>
      <c r="N6" s="422">
        <f>+FEE_ByContextArea_ByMode!N26</f>
        <v>1323.2640358016329</v>
      </c>
      <c r="O6" s="422">
        <f>+FEE_ByContextArea_ByMode!O26</f>
        <v>56.964877169868785</v>
      </c>
      <c r="P6" s="580">
        <f t="shared" si="1"/>
        <v>8066.91695746396</v>
      </c>
      <c r="R6" s="577" t="s">
        <v>658</v>
      </c>
      <c r="S6" s="422">
        <f>+S5</f>
        <v>13259.2</v>
      </c>
      <c r="T6" s="422">
        <f>+FEE_ByContextArea_ByMode!M72</f>
        <v>12084.042617697605</v>
      </c>
      <c r="U6" s="422">
        <f>+FEE_ByContextArea_ByMode!N72</f>
        <v>2384.528982685566</v>
      </c>
      <c r="V6" s="422">
        <f>+FEE_ByContextArea_ByMode!O72</f>
        <v>103.03272532983547</v>
      </c>
      <c r="W6" s="580">
        <f t="shared" si="2"/>
        <v>14571.604325713006</v>
      </c>
      <c r="Y6" s="577" t="s">
        <v>658</v>
      </c>
      <c r="Z6" s="422">
        <f>+Z5</f>
        <v>14048.1</v>
      </c>
      <c r="AA6" s="422">
        <f>+FEE_ByContextArea_ByMode!M98</f>
        <v>13973.203284571373</v>
      </c>
      <c r="AB6" s="422">
        <f>+FEE_ByContextArea_ByMode!N98</f>
        <v>2757.3146890610701</v>
      </c>
      <c r="AC6" s="422">
        <f>+FEE_ByContextArea_ByMode!O98</f>
        <v>119.14036233939612</v>
      </c>
      <c r="AD6" s="581">
        <f t="shared" si="3"/>
        <v>16849.658335971839</v>
      </c>
      <c r="AE6" s="578"/>
    </row>
    <row r="7" spans="1:31" x14ac:dyDescent="0.25">
      <c r="D7" s="577" t="s">
        <v>659</v>
      </c>
      <c r="E7" s="422">
        <f t="shared" ref="E7:E12" si="4">+E6</f>
        <v>9543.67</v>
      </c>
      <c r="F7" s="422">
        <f>+FEE_ByContextArea_ByMode!Q25</f>
        <v>9218.4896179009975</v>
      </c>
      <c r="G7" s="573">
        <f>+FEE_ByContextArea_ByMode!R25</f>
        <v>975.91493004221707</v>
      </c>
      <c r="H7" s="573">
        <f>+FEE_ByContextArea_ByMode!S25</f>
        <v>44.474496941823112</v>
      </c>
      <c r="I7" s="580">
        <f t="shared" si="0"/>
        <v>10238.879044885038</v>
      </c>
      <c r="K7" s="577" t="s">
        <v>659</v>
      </c>
      <c r="L7" s="422">
        <f t="shared" ref="L7:L12" si="5">+L6</f>
        <v>6701.09</v>
      </c>
      <c r="M7" s="422">
        <f>+FEE_ByContextArea_ByMode!Q26</f>
        <v>7148.2355935418755</v>
      </c>
      <c r="N7" s="422">
        <f>+FEE_ByContextArea_ByMode!R26</f>
        <v>756.74759405815985</v>
      </c>
      <c r="O7" s="422">
        <f>+FEE_ByContextArea_ByMode!S26</f>
        <v>34.486580255735724</v>
      </c>
      <c r="P7" s="580">
        <f t="shared" si="1"/>
        <v>7939.4697678557714</v>
      </c>
      <c r="R7" s="577" t="s">
        <v>659</v>
      </c>
      <c r="S7" s="422">
        <f t="shared" ref="S7:S12" si="6">+S6</f>
        <v>13259.2</v>
      </c>
      <c r="T7" s="422">
        <f>+FEE_ByContextArea_ByMode!Q72</f>
        <v>13036.612294274757</v>
      </c>
      <c r="U7" s="422">
        <f>+FEE_ByContextArea_ByMode!R72</f>
        <v>1395.4357626390006</v>
      </c>
      <c r="V7" s="422">
        <f>+FEE_ByContextArea_ByMode!S72</f>
        <v>62.648977103656335</v>
      </c>
      <c r="W7" s="580">
        <f t="shared" si="2"/>
        <v>14494.697034017414</v>
      </c>
      <c r="Y7" s="577" t="s">
        <v>659</v>
      </c>
      <c r="Z7" s="422">
        <f t="shared" ref="Z7:Z12" si="7">+Z6</f>
        <v>14048.1</v>
      </c>
      <c r="AA7" s="422">
        <f>+FEE_ByContextArea_ByMode!Q98</f>
        <v>15074.693088491562</v>
      </c>
      <c r="AB7" s="422">
        <f>+FEE_ByContextArea_ByMode!R98</f>
        <v>1613.5914278685962</v>
      </c>
      <c r="AC7" s="422">
        <f>+FEE_ByContextArea_ByMode!S98</f>
        <v>72.443214604173619</v>
      </c>
      <c r="AD7" s="581">
        <f t="shared" si="3"/>
        <v>16760.727730964332</v>
      </c>
      <c r="AE7" s="578"/>
    </row>
    <row r="8" spans="1:31" x14ac:dyDescent="0.25">
      <c r="D8" s="577" t="s">
        <v>660</v>
      </c>
      <c r="E8" s="422">
        <f t="shared" si="4"/>
        <v>9543.67</v>
      </c>
      <c r="F8" s="422">
        <f>+FEE_ByContextArea_ByMode!U25</f>
        <v>7980.1108238479956</v>
      </c>
      <c r="G8" s="422">
        <f>+FEE_ByContextArea_ByMode!V25</f>
        <v>1527.5477625441074</v>
      </c>
      <c r="H8" s="422">
        <f>+FEE_ByContextArea_ByMode!W25</f>
        <v>42.390266636781412</v>
      </c>
      <c r="I8" s="580">
        <f t="shared" si="0"/>
        <v>9550.048853028884</v>
      </c>
      <c r="K8" s="577" t="s">
        <v>660</v>
      </c>
      <c r="L8" s="422">
        <f t="shared" si="5"/>
        <v>6701.09</v>
      </c>
      <c r="M8" s="422">
        <f>+FEE_ByContextArea_ByMode!U26</f>
        <v>6187.9672913736586</v>
      </c>
      <c r="N8" s="422">
        <f>+FEE_ByContextArea_ByMode!V26</f>
        <v>1184.4967819727617</v>
      </c>
      <c r="O8" s="422">
        <f>+FEE_ByContextArea_ByMode!W26</f>
        <v>32.870418620894064</v>
      </c>
      <c r="P8" s="580">
        <f t="shared" si="1"/>
        <v>7405.3344919673145</v>
      </c>
      <c r="R8" s="577" t="s">
        <v>660</v>
      </c>
      <c r="S8" s="422">
        <f t="shared" si="6"/>
        <v>13259.2</v>
      </c>
      <c r="T8" s="422">
        <f>+FEE_ByContextArea_ByMode!U72</f>
        <v>11322.869046266578</v>
      </c>
      <c r="U8" s="422">
        <f>+FEE_ByContextArea_ByMode!V72</f>
        <v>2223.2648989547606</v>
      </c>
      <c r="V8" s="422">
        <f>+FEE_ByContextArea_ByMode!W72</f>
        <v>60.060368628548545</v>
      </c>
      <c r="W8" s="580">
        <f t="shared" si="2"/>
        <v>13606.194313849888</v>
      </c>
      <c r="Y8" s="577" t="s">
        <v>660</v>
      </c>
      <c r="Z8" s="422">
        <f t="shared" si="7"/>
        <v>14048.1</v>
      </c>
      <c r="AA8" s="422">
        <f>+FEE_ByContextArea_ByMode!U98</f>
        <v>13093.031525422495</v>
      </c>
      <c r="AB8" s="422">
        <f>+FEE_ByContextArea_ByMode!V98</f>
        <v>2570.8393599215888</v>
      </c>
      <c r="AC8" s="422">
        <f>+FEE_ByContextArea_ByMode!W98</f>
        <v>69.449915623758642</v>
      </c>
      <c r="AD8" s="581">
        <f t="shared" si="3"/>
        <v>15733.320800967842</v>
      </c>
      <c r="AE8" s="578"/>
    </row>
    <row r="9" spans="1:31" x14ac:dyDescent="0.25">
      <c r="D9" s="577" t="s">
        <v>661</v>
      </c>
      <c r="E9" s="582">
        <f t="shared" si="4"/>
        <v>9543.67</v>
      </c>
      <c r="F9" s="582">
        <f>+FEE_ByContextArea_ByMode!Y25</f>
        <v>6395.7794534932646</v>
      </c>
      <c r="G9" s="582">
        <f>+FEE_ByContextArea_ByMode!Z25</f>
        <v>843.80543038227972</v>
      </c>
      <c r="H9" s="582">
        <f>+FEE_ByContextArea_ByMode!AA25</f>
        <v>136.53711208930599</v>
      </c>
      <c r="I9" s="580">
        <f t="shared" si="0"/>
        <v>7376.1219959648506</v>
      </c>
      <c r="K9" s="577" t="s">
        <v>661</v>
      </c>
      <c r="L9" s="582">
        <f t="shared" si="5"/>
        <v>6701.09</v>
      </c>
      <c r="M9" s="582">
        <f>+FEE_ByContextArea_ByMode!Y26</f>
        <v>4959.4391524968969</v>
      </c>
      <c r="N9" s="582">
        <f>+FEE_ByContextArea_ByMode!Z26</f>
        <v>654.3067532201577</v>
      </c>
      <c r="O9" s="582">
        <f>+FEE_ByContextArea_ByMode!AA26</f>
        <v>105.87411657772459</v>
      </c>
      <c r="P9" s="580">
        <f t="shared" si="1"/>
        <v>5719.6200222947791</v>
      </c>
      <c r="R9" s="577" t="s">
        <v>661</v>
      </c>
      <c r="S9" s="582">
        <f t="shared" si="6"/>
        <v>13259.2</v>
      </c>
      <c r="T9" s="582">
        <f>+FEE_ByContextArea_ByMode!Y72</f>
        <v>10929.844783086386</v>
      </c>
      <c r="U9" s="582">
        <f>+FEE_ByContextArea_ByMode!Z72</f>
        <v>831.79943556169508</v>
      </c>
      <c r="V9" s="582">
        <f>+FEE_ByContextArea_ByMode!AA72</f>
        <v>153.85637912540605</v>
      </c>
      <c r="W9" s="580">
        <f t="shared" si="2"/>
        <v>11915.500597773487</v>
      </c>
      <c r="Y9" s="577" t="s">
        <v>661</v>
      </c>
      <c r="Z9" s="582">
        <f t="shared" si="7"/>
        <v>14048.1</v>
      </c>
      <c r="AA9" s="582">
        <f>+FEE_ByContextArea_ByMode!Y98</f>
        <v>12638.563753425175</v>
      </c>
      <c r="AB9" s="582">
        <f>+FEE_ByContextArea_ByMode!Z98</f>
        <v>961.83892864404891</v>
      </c>
      <c r="AC9" s="582">
        <f>+FEE_ByContextArea_ByMode!AA98</f>
        <v>177.9095398917917</v>
      </c>
      <c r="AD9" s="581">
        <f t="shared" si="3"/>
        <v>13778.312221961016</v>
      </c>
      <c r="AE9" s="578"/>
    </row>
    <row r="10" spans="1:31" x14ac:dyDescent="0.25">
      <c r="D10" s="577" t="s">
        <v>662</v>
      </c>
      <c r="E10" s="422">
        <f t="shared" si="4"/>
        <v>9543.67</v>
      </c>
      <c r="F10" s="422">
        <f>+FEE_ByContextArea_ByMode!AC25</f>
        <v>8799.187086988959</v>
      </c>
      <c r="G10" s="422">
        <f>+FEE_ByContextArea_ByMode!AD25</f>
        <v>433.83739163209788</v>
      </c>
      <c r="H10" s="422">
        <f>+FEE_ByContextArea_ByMode!AE25</f>
        <v>70.17684694915144</v>
      </c>
      <c r="I10" s="580">
        <f t="shared" si="0"/>
        <v>9303.2013255702077</v>
      </c>
      <c r="K10" s="577" t="s">
        <v>662</v>
      </c>
      <c r="L10" s="422">
        <f t="shared" si="5"/>
        <v>6701.09</v>
      </c>
      <c r="M10" s="422">
        <f>+FEE_ByContextArea_ByMode!AC26</f>
        <v>6823.0984615211009</v>
      </c>
      <c r="N10" s="422">
        <f>+FEE_ByContextArea_ByMode!AD26</f>
        <v>336.40780791810988</v>
      </c>
      <c r="O10" s="422">
        <f>+FEE_ByContextArea_ByMode!AE26</f>
        <v>54.416792337689479</v>
      </c>
      <c r="P10" s="580">
        <f t="shared" si="1"/>
        <v>7213.9230617769008</v>
      </c>
      <c r="R10" s="577" t="s">
        <v>662</v>
      </c>
      <c r="S10" s="422">
        <f t="shared" si="6"/>
        <v>13259.2</v>
      </c>
      <c r="T10" s="422">
        <f>+FEE_ByContextArea_ByMode!AC72</f>
        <v>12349.330733972771</v>
      </c>
      <c r="U10" s="422">
        <f>+FEE_ByContextArea_ByMode!AD72</f>
        <v>608.56441435979843</v>
      </c>
      <c r="V10" s="422">
        <f>+FEE_ByContextArea_ByMode!AE72</f>
        <v>99.068405621608051</v>
      </c>
      <c r="W10" s="580">
        <f t="shared" si="2"/>
        <v>13056.963553954178</v>
      </c>
      <c r="Y10" s="577" t="s">
        <v>662</v>
      </c>
      <c r="Z10" s="422">
        <f t="shared" si="7"/>
        <v>14048.1</v>
      </c>
      <c r="AA10" s="422">
        <f>+FEE_ByContextArea_ByMode!AC98</f>
        <v>14279.96525943109</v>
      </c>
      <c r="AB10" s="422">
        <f>+FEE_ByContextArea_ByMode!AD98</f>
        <v>703.70442596351882</v>
      </c>
      <c r="AC10" s="422">
        <f>+FEE_ByContextArea_ByMode!AE98</f>
        <v>114.55628009799725</v>
      </c>
      <c r="AD10" s="581">
        <f t="shared" si="3"/>
        <v>15098.225965492606</v>
      </c>
      <c r="AE10" s="578"/>
    </row>
    <row r="11" spans="1:31" x14ac:dyDescent="0.25">
      <c r="D11" s="577" t="s">
        <v>663</v>
      </c>
      <c r="E11" s="422">
        <f t="shared" si="4"/>
        <v>9543.67</v>
      </c>
      <c r="F11" s="422">
        <f>+FEE_ByContextArea_ByMode!AG25</f>
        <v>9765.153041384101</v>
      </c>
      <c r="G11" s="422">
        <f>+FEE_ByContextArea_ByMode!AH25</f>
        <v>157.63010553404891</v>
      </c>
      <c r="H11" s="422">
        <f>+FEE_ByContextArea_ByMode!AI25</f>
        <v>69.007235103160085</v>
      </c>
      <c r="I11" s="580">
        <f t="shared" si="0"/>
        <v>9991.7903820213087</v>
      </c>
      <c r="K11" s="577" t="s">
        <v>663</v>
      </c>
      <c r="L11" s="422">
        <f t="shared" si="5"/>
        <v>6701.09</v>
      </c>
      <c r="M11" s="422">
        <f>+FEE_ByContextArea_ByMode!AG26</f>
        <v>7572.1313837851303</v>
      </c>
      <c r="N11" s="422">
        <f>+FEE_ByContextArea_ByMode!AH26</f>
        <v>122.23012420648709</v>
      </c>
      <c r="O11" s="422">
        <f>+FEE_ByContextArea_ByMode!AI26</f>
        <v>53.509847558806342</v>
      </c>
      <c r="P11" s="580">
        <f t="shared" si="1"/>
        <v>7747.8713555504237</v>
      </c>
      <c r="R11" s="577" t="s">
        <v>663</v>
      </c>
      <c r="S11" s="422">
        <f t="shared" si="6"/>
        <v>13259.2</v>
      </c>
      <c r="T11" s="422">
        <f>+FEE_ByContextArea_ByMode!AG72</f>
        <v>13737.14197762925</v>
      </c>
      <c r="U11" s="422">
        <f>+FEE_ByContextArea_ByMode!AH72</f>
        <v>222.51204435410722</v>
      </c>
      <c r="V11" s="422">
        <f>+FEE_ByContextArea_ByMode!AI72</f>
        <v>96.930976415558547</v>
      </c>
      <c r="W11" s="580">
        <f t="shared" si="2"/>
        <v>14056.584998398916</v>
      </c>
      <c r="Y11" s="577" t="s">
        <v>663</v>
      </c>
      <c r="Z11" s="422">
        <f t="shared" si="7"/>
        <v>14048.1</v>
      </c>
      <c r="AA11" s="422">
        <f>+FEE_ByContextArea_ByMode!AG98</f>
        <v>15884.740187965779</v>
      </c>
      <c r="AB11" s="422">
        <f>+FEE_ByContextArea_ByMode!AH98</f>
        <v>257.29849913570609</v>
      </c>
      <c r="AC11" s="422">
        <f>+FEE_ByContextArea_ByMode!AI98</f>
        <v>112.08469556727336</v>
      </c>
      <c r="AD11" s="581">
        <f t="shared" si="3"/>
        <v>16254.123382668758</v>
      </c>
      <c r="AE11" s="578"/>
    </row>
    <row r="12" spans="1:31" x14ac:dyDescent="0.25">
      <c r="D12" s="577" t="s">
        <v>664</v>
      </c>
      <c r="E12" s="422">
        <f t="shared" si="4"/>
        <v>9543.67</v>
      </c>
      <c r="F12" s="422">
        <f>+FEE_ByContextArea_ByMode!AK25</f>
        <v>10073.363921374925</v>
      </c>
      <c r="G12" s="422">
        <f>+FEE_ByContextArea_ByMode!AL25</f>
        <v>607.34970997571668</v>
      </c>
      <c r="H12" s="422">
        <f>+FEE_ByContextArea_ByMode!AM25</f>
        <v>38.850955490641837</v>
      </c>
      <c r="I12" s="580">
        <f t="shared" si="0"/>
        <v>10719.564586841283</v>
      </c>
      <c r="K12" s="577" t="s">
        <v>664</v>
      </c>
      <c r="L12" s="422">
        <f t="shared" si="5"/>
        <v>6701.09</v>
      </c>
      <c r="M12" s="422">
        <f>+FEE_ByContextArea_ByMode!AK26</f>
        <v>7811.1254136085236</v>
      </c>
      <c r="N12" s="422">
        <f>+FEE_ByContextArea_ByMode!AL26</f>
        <v>470.95337680320415</v>
      </c>
      <c r="O12" s="422">
        <f>+FEE_ByContextArea_ByMode!AM26</f>
        <v>30.125952774523125</v>
      </c>
      <c r="P12" s="580">
        <f t="shared" si="1"/>
        <v>8312.2047431862502</v>
      </c>
      <c r="R12" s="577" t="s">
        <v>664</v>
      </c>
      <c r="S12" s="422">
        <f t="shared" si="6"/>
        <v>13259.2</v>
      </c>
      <c r="T12" s="422">
        <f>+FEE_ByContextArea_ByMode!AK72</f>
        <v>14148.735260870493</v>
      </c>
      <c r="U12" s="422">
        <f>+FEE_ByContextArea_ByMode!AL72</f>
        <v>878.97526107863359</v>
      </c>
      <c r="V12" s="422">
        <f>+FEE_ByContextArea_ByMode!AM72</f>
        <v>54.490762223143399</v>
      </c>
      <c r="W12" s="580">
        <f t="shared" si="2"/>
        <v>15082.201284172272</v>
      </c>
      <c r="Y12" s="577" t="s">
        <v>664</v>
      </c>
      <c r="Z12" s="422">
        <f t="shared" si="7"/>
        <v>14048.1</v>
      </c>
      <c r="AA12" s="422">
        <f>+FEE_ByContextArea_ByMode!AK98</f>
        <v>16360.679970640087</v>
      </c>
      <c r="AB12" s="422">
        <f>+FEE_ByContextArea_ByMode!AL98</f>
        <v>1016.3899941211127</v>
      </c>
      <c r="AC12" s="422">
        <f>+FEE_ByContextArea_ByMode!AM98</f>
        <v>63.009583941727122</v>
      </c>
      <c r="AD12" s="581">
        <f t="shared" si="3"/>
        <v>17440.079548702925</v>
      </c>
      <c r="AE12" s="578"/>
    </row>
    <row r="13" spans="1:31" x14ac:dyDescent="0.25">
      <c r="I13" s="578"/>
      <c r="P13" s="578"/>
      <c r="W13" s="578"/>
      <c r="AD13" s="578"/>
      <c r="AE13" s="578"/>
    </row>
    <row r="14" spans="1:31" x14ac:dyDescent="0.25">
      <c r="P14" s="578"/>
      <c r="W14" s="578"/>
      <c r="AD14" s="578"/>
      <c r="AE14" s="578"/>
    </row>
    <row r="15" spans="1:31" x14ac:dyDescent="0.25">
      <c r="P15" s="578"/>
    </row>
    <row r="70" spans="3:20" x14ac:dyDescent="0.25">
      <c r="C70" s="574"/>
      <c r="D70" s="574"/>
      <c r="E70" s="574" t="s">
        <v>963</v>
      </c>
      <c r="F70" s="574"/>
      <c r="G70" s="574" t="s">
        <v>964</v>
      </c>
      <c r="H70" s="574"/>
    </row>
    <row r="71" spans="3:20" x14ac:dyDescent="0.25">
      <c r="C71" s="574" t="str">
        <f>RoadCapCost!A11</f>
        <v xml:space="preserve">  Class II arterial add 2 lanes</v>
      </c>
      <c r="D71" s="574"/>
      <c r="E71" s="574" t="s">
        <v>677</v>
      </c>
      <c r="F71" s="574" t="s">
        <v>676</v>
      </c>
      <c r="G71" s="574" t="s">
        <v>677</v>
      </c>
      <c r="H71" s="574" t="s">
        <v>674</v>
      </c>
    </row>
    <row r="72" spans="3:20" x14ac:dyDescent="0.25">
      <c r="C72" s="574"/>
      <c r="D72" s="575" t="s">
        <v>104</v>
      </c>
      <c r="E72" s="575" t="str">
        <f>RoadCapCost!Q11</f>
        <v>E</v>
      </c>
      <c r="F72" s="195">
        <f>RoadCapCost!T11</f>
        <v>402.63157894736844</v>
      </c>
      <c r="G72" s="575" t="str">
        <f>RoadCapCost!AH11</f>
        <v>E</v>
      </c>
      <c r="H72" s="195">
        <f>RoadCapCost!AJ11</f>
        <v>402.63157894736844</v>
      </c>
      <c r="I72" s="576"/>
      <c r="J72" s="576"/>
      <c r="K72" s="576"/>
      <c r="L72" s="576"/>
      <c r="M72" s="576"/>
      <c r="N72" s="576"/>
      <c r="O72" s="576"/>
      <c r="Q72" s="576"/>
      <c r="R72" s="576"/>
      <c r="S72" s="576"/>
      <c r="T72" s="576"/>
    </row>
    <row r="73" spans="3:20" x14ac:dyDescent="0.25">
      <c r="C73" s="574"/>
      <c r="D73" s="575" t="s">
        <v>105</v>
      </c>
      <c r="E73" s="575" t="str">
        <f>RoadCapCost!U11</f>
        <v>E</v>
      </c>
      <c r="F73" s="195">
        <f>RoadCapCost!X11</f>
        <v>402.63157894736844</v>
      </c>
      <c r="G73" s="575" t="str">
        <f>RoadCapCost!AL11</f>
        <v>E</v>
      </c>
      <c r="H73" s="195">
        <f>RoadCapCost!AN11</f>
        <v>402.63157894736844</v>
      </c>
    </row>
    <row r="74" spans="3:20" x14ac:dyDescent="0.25">
      <c r="C74" s="574"/>
      <c r="D74" s="575" t="s">
        <v>106</v>
      </c>
      <c r="E74" s="575" t="str">
        <f>RoadCapCost!Y11</f>
        <v>E</v>
      </c>
      <c r="F74" s="195">
        <f>RoadCapCost!AB11</f>
        <v>402.63157894736844</v>
      </c>
      <c r="G74" s="575" t="str">
        <f>RoadCapCost!AP11</f>
        <v>E</v>
      </c>
      <c r="H74" s="195">
        <f>RoadCapCost!AR11</f>
        <v>402.63157894736844</v>
      </c>
    </row>
    <row r="75" spans="3:20" x14ac:dyDescent="0.25">
      <c r="C75" s="574"/>
      <c r="D75" s="575" t="s">
        <v>107</v>
      </c>
      <c r="E75" s="575" t="str">
        <f>RoadCapCost!AC11</f>
        <v>E</v>
      </c>
      <c r="F75" s="195">
        <f>RoadCapCost!AF11</f>
        <v>402.63157894736844</v>
      </c>
      <c r="G75" s="575" t="str">
        <f>RoadCapCost!AT11</f>
        <v>E</v>
      </c>
      <c r="H75" s="195">
        <f>RoadCapCost!AV11</f>
        <v>402.63157894736844</v>
      </c>
    </row>
    <row r="76" spans="3:20" x14ac:dyDescent="0.25">
      <c r="F76" s="194"/>
      <c r="H76" s="194"/>
    </row>
    <row r="77" spans="3:20" x14ac:dyDescent="0.25">
      <c r="F77" s="194"/>
      <c r="H77" s="194"/>
    </row>
    <row r="78" spans="3:20" x14ac:dyDescent="0.25">
      <c r="F78" s="194"/>
      <c r="H78" s="194"/>
    </row>
    <row r="79" spans="3:20" x14ac:dyDescent="0.25">
      <c r="F79" s="194"/>
      <c r="H79" s="194"/>
    </row>
    <row r="80" spans="3:20" x14ac:dyDescent="0.25">
      <c r="F80" s="194"/>
      <c r="H80" s="194"/>
    </row>
    <row r="81" spans="6:6" x14ac:dyDescent="0.25">
      <c r="F81" s="194"/>
    </row>
    <row r="82" spans="6:6" x14ac:dyDescent="0.25">
      <c r="F82" s="194"/>
    </row>
  </sheetData>
  <mergeCells count="1">
    <mergeCell ref="A1:XFD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8" tint="-0.249977111117893"/>
  </sheetPr>
  <dimension ref="A1:AU81"/>
  <sheetViews>
    <sheetView topLeftCell="AG1" zoomScale="98" zoomScaleNormal="98" workbookViewId="0">
      <selection activeCell="AB43" sqref="AB43:AW43"/>
    </sheetView>
  </sheetViews>
  <sheetFormatPr defaultColWidth="9" defaultRowHeight="15.75" x14ac:dyDescent="0.25"/>
  <cols>
    <col min="4" max="4" width="22.85546875" customWidth="1"/>
    <col min="5" max="5" width="11.140625" customWidth="1"/>
    <col min="12" max="12" width="24.5703125" customWidth="1"/>
    <col min="14" max="15" width="13.5703125" customWidth="1"/>
    <col min="17" max="17" width="9.42578125" bestFit="1" customWidth="1"/>
    <col min="18" max="18" width="9.42578125" customWidth="1"/>
    <col min="20" max="20" width="21.140625" customWidth="1"/>
    <col min="28" max="28" width="20.140625" customWidth="1"/>
    <col min="36" max="36" width="22.140625" customWidth="1"/>
    <col min="39" max="39" width="10.5703125" bestFit="1" customWidth="1"/>
  </cols>
  <sheetData>
    <row r="1" spans="1:47" s="876" customFormat="1" ht="33" customHeight="1" x14ac:dyDescent="0.25">
      <c r="A1" s="876" t="s">
        <v>955</v>
      </c>
    </row>
    <row r="2" spans="1:47" x14ac:dyDescent="0.25">
      <c r="I2" s="578"/>
      <c r="J2" s="578"/>
      <c r="Q2" s="578"/>
      <c r="R2" s="578"/>
      <c r="Y2" s="578"/>
      <c r="Z2" s="578"/>
    </row>
    <row r="3" spans="1:47" x14ac:dyDescent="0.25">
      <c r="D3" s="648" t="s">
        <v>956</v>
      </c>
      <c r="E3" s="577"/>
      <c r="F3" s="577"/>
      <c r="G3" s="577"/>
      <c r="H3" s="577"/>
      <c r="I3" s="579"/>
      <c r="J3" s="579"/>
      <c r="L3" s="577" t="s">
        <v>957</v>
      </c>
      <c r="M3" s="577"/>
      <c r="N3" s="577"/>
      <c r="O3" s="577"/>
      <c r="P3" s="577"/>
      <c r="Q3" s="579"/>
      <c r="R3" s="579"/>
      <c r="T3" s="577" t="s">
        <v>958</v>
      </c>
      <c r="U3" s="577"/>
      <c r="V3" s="577"/>
      <c r="W3" s="577"/>
      <c r="X3" s="577"/>
      <c r="Y3" s="579"/>
      <c r="Z3" s="579"/>
      <c r="AB3" s="577" t="s">
        <v>959</v>
      </c>
      <c r="AC3" s="577"/>
      <c r="AD3" s="577" t="s">
        <v>965</v>
      </c>
      <c r="AE3" s="577"/>
      <c r="AF3" s="577"/>
      <c r="AG3" s="579"/>
      <c r="AH3" s="579"/>
      <c r="AI3" s="578"/>
      <c r="AJ3" s="577" t="s">
        <v>966</v>
      </c>
      <c r="AK3" s="577"/>
      <c r="AL3" s="577" t="s">
        <v>965</v>
      </c>
      <c r="AM3" s="577"/>
      <c r="AN3" s="577"/>
      <c r="AO3" s="579"/>
      <c r="AP3" s="579"/>
      <c r="AS3" t="s">
        <v>967</v>
      </c>
      <c r="AU3" s="2"/>
    </row>
    <row r="4" spans="1:47" x14ac:dyDescent="0.25">
      <c r="D4" s="577"/>
      <c r="E4" s="577" t="s">
        <v>968</v>
      </c>
      <c r="F4" s="577" t="s">
        <v>121</v>
      </c>
      <c r="G4" s="577" t="s">
        <v>63</v>
      </c>
      <c r="H4" s="577" t="s">
        <v>961</v>
      </c>
      <c r="I4" s="579" t="s">
        <v>962</v>
      </c>
      <c r="J4" s="579" t="s">
        <v>969</v>
      </c>
      <c r="L4" s="577"/>
      <c r="M4" s="577" t="str">
        <f>E4</f>
        <v>RIF</v>
      </c>
      <c r="N4" s="577" t="s">
        <v>121</v>
      </c>
      <c r="O4" s="577" t="s">
        <v>63</v>
      </c>
      <c r="P4" s="577" t="s">
        <v>961</v>
      </c>
      <c r="Q4" s="579" t="s">
        <v>962</v>
      </c>
      <c r="R4" s="579" t="s">
        <v>969</v>
      </c>
      <c r="T4" s="577"/>
      <c r="U4" s="577" t="str">
        <f>E4</f>
        <v>RIF</v>
      </c>
      <c r="V4" s="577" t="s">
        <v>121</v>
      </c>
      <c r="W4" s="577" t="s">
        <v>63</v>
      </c>
      <c r="X4" s="577" t="s">
        <v>961</v>
      </c>
      <c r="Y4" s="579" t="s">
        <v>962</v>
      </c>
      <c r="Z4" s="579" t="s">
        <v>969</v>
      </c>
      <c r="AB4" s="577"/>
      <c r="AC4" s="577" t="str">
        <f>E4</f>
        <v>RIF</v>
      </c>
      <c r="AD4" s="577" t="s">
        <v>121</v>
      </c>
      <c r="AE4" s="577" t="s">
        <v>63</v>
      </c>
      <c r="AF4" s="577" t="s">
        <v>961</v>
      </c>
      <c r="AG4" s="579" t="s">
        <v>962</v>
      </c>
      <c r="AH4" s="579" t="s">
        <v>969</v>
      </c>
      <c r="AI4" s="578"/>
      <c r="AJ4" s="577"/>
      <c r="AK4" s="577" t="str">
        <f>M4</f>
        <v>RIF</v>
      </c>
      <c r="AL4" s="577" t="s">
        <v>121</v>
      </c>
      <c r="AM4" s="577" t="s">
        <v>63</v>
      </c>
      <c r="AN4" s="577" t="s">
        <v>961</v>
      </c>
      <c r="AO4" s="579" t="s">
        <v>962</v>
      </c>
      <c r="AP4" s="579" t="s">
        <v>969</v>
      </c>
      <c r="AS4" t="s">
        <v>970</v>
      </c>
      <c r="AT4" s="422">
        <f>AVERAGE(M5,U5,AC5,E5)</f>
        <v>10093.6875</v>
      </c>
      <c r="AU4" s="2">
        <f>(AT5-AT4)/(AT4+AT5)</f>
        <v>3.6175759371584508E-2</v>
      </c>
    </row>
    <row r="5" spans="1:47" x14ac:dyDescent="0.25">
      <c r="C5" t="s">
        <v>971</v>
      </c>
      <c r="D5" s="577" t="s">
        <v>972</v>
      </c>
      <c r="E5" s="422">
        <f>+FEE_1_In!G22</f>
        <v>9543.67</v>
      </c>
      <c r="F5" s="422">
        <f>+FEE_ByContextArea_ByMode!I25</f>
        <v>7843.4177405852297</v>
      </c>
      <c r="G5" s="422">
        <f>+FEE_ByContextArea_ByMode!J25</f>
        <v>1697.7333630332978</v>
      </c>
      <c r="H5" s="422">
        <f>+FEE_ByContextArea_ByMode!K25</f>
        <v>110.50661530115225</v>
      </c>
      <c r="I5" s="580">
        <f t="shared" ref="I5:I6" si="0">SUM(F5:H5)</f>
        <v>9651.6577189196796</v>
      </c>
      <c r="J5" s="877">
        <f>+(I5-E5)/E5</f>
        <v>1.1315114512517672E-2</v>
      </c>
      <c r="L5" s="577" t="str">
        <f>D5</f>
        <v>Ring 1 In SMART Plan</v>
      </c>
      <c r="M5" s="422">
        <f>+FEE_ByContextArea!G28</f>
        <v>4188.18</v>
      </c>
      <c r="N5" s="422">
        <f>+FEE_ByContextArea_ByMode!I28</f>
        <v>3697.3738289835037</v>
      </c>
      <c r="O5" s="422">
        <f>+FEE_ByContextArea_ByMode!J28</f>
        <v>800.30862981972211</v>
      </c>
      <c r="P5" s="422">
        <f>+FEE_ByContextArea_ByMode!K26</f>
        <v>85.689451695385017</v>
      </c>
      <c r="Q5" s="580">
        <f t="shared" ref="Q5:Q6" si="1">SUM(N5:P5)</f>
        <v>4583.3719104986112</v>
      </c>
      <c r="R5" s="877">
        <f>+(Q5-M5)/M5</f>
        <v>9.435886482878264E-2</v>
      </c>
      <c r="T5" s="577" t="str">
        <f>L5</f>
        <v>Ring 1 In SMART Plan</v>
      </c>
      <c r="U5" s="422">
        <f>+FEE_ByContextArea_ByMode!G72</f>
        <v>13259.2</v>
      </c>
      <c r="V5" s="422">
        <f>+FEE_ByContextArea_ByMode!I72</f>
        <v>8998.6743192378799</v>
      </c>
      <c r="W5" s="422">
        <f>+FEE_ByContextArea_ByMode!J72</f>
        <v>3060.2242652058217</v>
      </c>
      <c r="X5" s="422">
        <f>+FEE_ByContextArea_ByMode!K72</f>
        <v>192.26570766961737</v>
      </c>
      <c r="Y5" s="580">
        <f t="shared" ref="Y5:Y6" si="2">SUM(V5:X5)</f>
        <v>12251.164292113319</v>
      </c>
      <c r="Z5" s="877">
        <f>+(Y5-U5)/U5</f>
        <v>-7.6025379199852319E-2</v>
      </c>
      <c r="AA5" t="s">
        <v>973</v>
      </c>
      <c r="AB5" s="577" t="str">
        <f>T5</f>
        <v>Ring 1 In SMART Plan</v>
      </c>
      <c r="AC5" s="422">
        <f>+FEE_ByContextArea!G99</f>
        <v>13383.7</v>
      </c>
      <c r="AD5" s="422">
        <f>+FEE_ByContextArea_ByMode!I99</f>
        <v>9718.2062543462307</v>
      </c>
      <c r="AE5" s="422">
        <f>+FEE_ByContextArea_ByMode!J99</f>
        <v>3304.919095721209</v>
      </c>
      <c r="AF5" s="422">
        <f>+FEE_ByContextArea_ByMode!K99</f>
        <v>207.6392295670309</v>
      </c>
      <c r="AG5" s="581">
        <f>SUM(AD5:AF5)</f>
        <v>13230.76457963447</v>
      </c>
      <c r="AH5" s="877">
        <f>+(AG5-AC5)/AC5</f>
        <v>-1.1426991068653001E-2</v>
      </c>
      <c r="AI5" s="578"/>
      <c r="AJ5" s="577" t="str">
        <f>AB5</f>
        <v>Ring 1 In SMART Plan</v>
      </c>
      <c r="AK5" s="422">
        <f>+FEE_ByContextArea_ByMode!G20</f>
        <v>5002.3</v>
      </c>
      <c r="AL5" s="422">
        <f>+FEE_ByContextArea_ByMode!I20</f>
        <v>1179.3160191465954</v>
      </c>
      <c r="AM5" s="422">
        <f>+FEE_ByContextArea_ByMode!J20</f>
        <v>401.0559078044285</v>
      </c>
      <c r="AN5" s="422">
        <f>+FEE_ByContextArea_ByMode!K20</f>
        <v>25.197270280422764</v>
      </c>
      <c r="AO5" s="581">
        <f>SUM(AL5:AN5)</f>
        <v>1605.5691972314467</v>
      </c>
      <c r="AP5" s="877">
        <f>+(AO5-AK5)/AK5</f>
        <v>-0.67903380500340915</v>
      </c>
      <c r="AS5" t="s">
        <v>974</v>
      </c>
      <c r="AT5" s="422">
        <f>AVERAGE(E9,M9,U9,AC9)</f>
        <v>10851.391643099563</v>
      </c>
      <c r="AU5" s="2"/>
    </row>
    <row r="6" spans="1:47" x14ac:dyDescent="0.25">
      <c r="B6" s="422"/>
      <c r="C6" t="s">
        <v>971</v>
      </c>
      <c r="D6" s="577" t="s">
        <v>975</v>
      </c>
      <c r="E6" s="422">
        <f t="shared" ref="E6" si="3">+E5</f>
        <v>9543.67</v>
      </c>
      <c r="F6" s="422">
        <f>+FEE_ByContextArea_ByMode!M25</f>
        <v>8623.2698278700536</v>
      </c>
      <c r="G6" s="422">
        <f>+FEE_ByContextArea_ByMode!N25</f>
        <v>1706.5044396130345</v>
      </c>
      <c r="H6" s="422">
        <f>+FEE_ByContextArea_ByMode!O25</f>
        <v>73.462901705404533</v>
      </c>
      <c r="I6" s="580">
        <f t="shared" si="0"/>
        <v>10403.237169188493</v>
      </c>
      <c r="J6" s="877">
        <f>+(I6-E6)/E6</f>
        <v>9.0066732104996577E-2</v>
      </c>
      <c r="L6" s="577" t="str">
        <f>D6</f>
        <v>Ring 2 In SMART Plan</v>
      </c>
      <c r="M6" s="422">
        <f t="shared" ref="M6" si="4">+M5</f>
        <v>4188.18</v>
      </c>
      <c r="N6" s="422">
        <f>+FEE_ByContextArea_ByMode!M28</f>
        <v>4064.9947811463717</v>
      </c>
      <c r="O6" s="422">
        <f>+FEE_ByContextArea_ByMode!N28</f>
        <v>804.44330045317849</v>
      </c>
      <c r="P6" s="422">
        <f>+FEE_ByContextArea_ByMode!O26</f>
        <v>56.964877169868785</v>
      </c>
      <c r="Q6" s="580">
        <f t="shared" si="1"/>
        <v>4926.4029587694185</v>
      </c>
      <c r="R6" s="877">
        <f t="shared" ref="R6:R12" si="5">+(Q6-M6)/M6</f>
        <v>0.1762634267795124</v>
      </c>
      <c r="T6" s="577" t="str">
        <f t="shared" ref="T6" si="6">L6</f>
        <v>Ring 2 In SMART Plan</v>
      </c>
      <c r="U6" s="422">
        <f>+U5</f>
        <v>13259.2</v>
      </c>
      <c r="V6" s="422">
        <f>+FEE_ByContextArea_ByMode!M72</f>
        <v>12084.042617697605</v>
      </c>
      <c r="W6" s="422">
        <f>+FEE_ByContextArea_ByMode!N72</f>
        <v>2384.528982685566</v>
      </c>
      <c r="X6" s="422">
        <f>+FEE_ByContextArea_ByMode!O72</f>
        <v>103.03272532983547</v>
      </c>
      <c r="Y6" s="580">
        <f t="shared" si="2"/>
        <v>14571.604325713006</v>
      </c>
      <c r="Z6" s="877">
        <f t="shared" ref="Z6:Z12" si="7">+(Y6-U6)/U6</f>
        <v>9.8980656880732251E-2</v>
      </c>
      <c r="AA6" t="s">
        <v>973</v>
      </c>
      <c r="AB6" s="577" t="str">
        <f t="shared" ref="AB6" si="8">T6</f>
        <v>Ring 2 In SMART Plan</v>
      </c>
      <c r="AC6" s="422">
        <f>+AC5</f>
        <v>13383.7</v>
      </c>
      <c r="AD6" s="422">
        <f>+FEE_ByContextArea_ByMode!M99</f>
        <v>13050.279894454625</v>
      </c>
      <c r="AE6" s="422">
        <f>+FEE_ByContextArea_ByMode!N99</f>
        <v>2575.1953733522087</v>
      </c>
      <c r="AF6" s="422">
        <f>+FEE_ByContextArea_ByMode!O99</f>
        <v>111.27119842109661</v>
      </c>
      <c r="AG6" s="581">
        <f t="shared" ref="AG6" si="9">SUM(AD6:AF6)</f>
        <v>15736.746466227929</v>
      </c>
      <c r="AH6" s="877">
        <f t="shared" ref="AH6:AH12" si="10">+(AG6-AC6)/AC6</f>
        <v>0.17581434627404441</v>
      </c>
      <c r="AI6" s="578"/>
      <c r="AJ6" s="577" t="str">
        <f t="shared" ref="AJ6" si="11">AB6</f>
        <v>Ring 2 In SMART Plan</v>
      </c>
      <c r="AK6" s="422">
        <f>+AK5</f>
        <v>5002.3</v>
      </c>
      <c r="AL6" s="422">
        <f>+FEE_ByContextArea_ByMode!M20</f>
        <v>1583.6671635770333</v>
      </c>
      <c r="AM6" s="422">
        <f>+FEE_ByContextArea_ByMode!N20</f>
        <v>312.50305629891795</v>
      </c>
      <c r="AN6" s="422">
        <f>+FEE_ByContextArea_ByMode!O20</f>
        <v>13.502893778257883</v>
      </c>
      <c r="AO6" s="581">
        <f t="shared" ref="AO6" si="12">SUM(AL6:AN6)</f>
        <v>1909.6731136542091</v>
      </c>
      <c r="AP6" s="877">
        <f t="shared" ref="AP6:AP12" si="13">+(AO6-AK6)/AK6</f>
        <v>-0.61824098641540703</v>
      </c>
    </row>
    <row r="7" spans="1:47" x14ac:dyDescent="0.25">
      <c r="C7" t="s">
        <v>971</v>
      </c>
      <c r="D7" s="577" t="s">
        <v>976</v>
      </c>
      <c r="E7" s="422">
        <f>+E6</f>
        <v>9543.67</v>
      </c>
      <c r="F7" s="422">
        <f>'RIFvMIF (Simple)'!F10</f>
        <v>8799.187086988959</v>
      </c>
      <c r="G7" s="422">
        <f>'RIFvMIF (Simple)'!G10</f>
        <v>433.83739163209788</v>
      </c>
      <c r="H7" s="422">
        <f>'RIFvMIF (Simple)'!H10</f>
        <v>70.17684694915144</v>
      </c>
      <c r="I7" s="580">
        <f>SUM(F7:H7)</f>
        <v>9303.2013255702077</v>
      </c>
      <c r="J7" s="877">
        <f>+(I7-E7)/E7</f>
        <v>-2.5196666945712955E-2</v>
      </c>
      <c r="L7" s="577" t="str">
        <f>D7</f>
        <v>Ring 2 Out SMART Plan</v>
      </c>
      <c r="M7" s="422">
        <f>+M6</f>
        <v>4188.18</v>
      </c>
      <c r="N7" s="422">
        <f>+FEE_ByContextArea_ByMode!AC28</f>
        <v>4147.9218789301776</v>
      </c>
      <c r="O7" s="422">
        <f>+FEE_ByContextArea_ByMode!AD28</f>
        <v>204.51021109775806</v>
      </c>
      <c r="P7" s="422">
        <f>+FEE_ByContextArea_ByMode!AE26</f>
        <v>54.416792337689479</v>
      </c>
      <c r="Q7" s="580">
        <f>SUM(N7:P7)</f>
        <v>4406.8488823656253</v>
      </c>
      <c r="R7" s="877">
        <f>+(Q7-M7)/M7</f>
        <v>5.2210956158910311E-2</v>
      </c>
      <c r="T7" s="577" t="str">
        <f>L7</f>
        <v>Ring 2 Out SMART Plan</v>
      </c>
      <c r="U7" s="422">
        <f>+U6</f>
        <v>13259.2</v>
      </c>
      <c r="V7" s="422">
        <f>+FEE_ByContextArea_ByMode!AC72</f>
        <v>12349.330733972771</v>
      </c>
      <c r="W7" s="422">
        <f>+FEE_ByContextArea_ByMode!AD72</f>
        <v>608.56441435979843</v>
      </c>
      <c r="X7" s="422">
        <f>+FEE_ByContextArea_ByMode!AE72</f>
        <v>99.068405621608051</v>
      </c>
      <c r="Y7" s="580">
        <f>SUM(V7:X7)</f>
        <v>13056.963553954178</v>
      </c>
      <c r="Z7" s="877">
        <f>+(Y7-U7)/U7</f>
        <v>-1.5252537562283015E-2</v>
      </c>
      <c r="AA7" t="s">
        <v>973</v>
      </c>
      <c r="AB7" s="577" t="str">
        <f>L7</f>
        <v>Ring 2 Out SMART Plan</v>
      </c>
      <c r="AC7" s="422">
        <f>+AC6</f>
        <v>13383.7</v>
      </c>
      <c r="AD7" s="422">
        <f>+FEE_ByContextArea_ByMode!AC99</f>
        <v>13336.780387674762</v>
      </c>
      <c r="AE7" s="422">
        <f>+FEE_ByContextArea_ByMode!AD99</f>
        <v>657.22508538400234</v>
      </c>
      <c r="AF7" s="422">
        <f>+FEE_ByContextArea_ByMode!AE89</f>
        <v>104.22915029640636</v>
      </c>
      <c r="AG7" s="581">
        <f>SUM(AD7:AF7)</f>
        <v>14098.234623355173</v>
      </c>
      <c r="AH7" s="877">
        <f>+(AG7-AC7)/AC7</f>
        <v>5.3388421987579801E-2</v>
      </c>
      <c r="AI7" s="578"/>
      <c r="AJ7" s="577" t="str">
        <f>T7</f>
        <v>Ring 2 Out SMART Plan</v>
      </c>
      <c r="AK7" s="422">
        <f>+AK6</f>
        <v>5002.3</v>
      </c>
      <c r="AL7" s="422">
        <f>+FEE_ByContextArea_ByMode!AC20</f>
        <v>1618.4343430652029</v>
      </c>
      <c r="AM7" s="422">
        <f>+FEE_ByContextArea_ByMode!AD20</f>
        <v>79.755054697641228</v>
      </c>
      <c r="AN7" s="422">
        <f>+FEE_ByContextArea_ByMode!AE20</f>
        <v>12.983352169008144</v>
      </c>
      <c r="AO7" s="581">
        <f>SUM(AL7:AN7)</f>
        <v>1711.1727499318524</v>
      </c>
      <c r="AP7" s="877">
        <f>+(AO7-AK7)/AK7</f>
        <v>-0.6579228055230889</v>
      </c>
    </row>
    <row r="9" spans="1:47" x14ac:dyDescent="0.25">
      <c r="C9" t="s">
        <v>977</v>
      </c>
      <c r="D9" s="577" t="s">
        <v>978</v>
      </c>
      <c r="E9" s="422">
        <v>10096</v>
      </c>
      <c r="F9" s="422">
        <f>+FEE_ByContextArea_ByMode!Q25</f>
        <v>9218.4896179009975</v>
      </c>
      <c r="G9" s="649">
        <f>+FEE_ByContextArea_ByMode!R25</f>
        <v>975.91493004221707</v>
      </c>
      <c r="H9" s="649">
        <f>+FEE_ByContextArea_ByMode!S25</f>
        <v>44.474496941823112</v>
      </c>
      <c r="I9" s="580">
        <f>SUM(F9:H9)</f>
        <v>10238.879044885038</v>
      </c>
      <c r="J9" s="877">
        <f>+(I9-E9)/E9</f>
        <v>1.4152044857868237E-2</v>
      </c>
      <c r="L9" s="577" t="str">
        <f>D9</f>
        <v>Ring 3 In SMART Plan</v>
      </c>
      <c r="M9" s="422">
        <f>+M6*E9/E6</f>
        <v>4430.5665723982493</v>
      </c>
      <c r="N9" s="422">
        <f>+FEE_ByContextArea_ByMode!Q28</f>
        <v>4345.5803813198563</v>
      </c>
      <c r="O9" s="422">
        <f>+FEE_ByContextArea_ByMode!R28</f>
        <v>460.04464392879942</v>
      </c>
      <c r="P9" s="422">
        <f>+FEE_ByContextArea_ByMode!S26</f>
        <v>34.486580255735724</v>
      </c>
      <c r="Q9" s="580">
        <f>SUM(N9:P9)</f>
        <v>4840.1116055043922</v>
      </c>
      <c r="R9" s="877">
        <f>+(Q9-M9)/M9</f>
        <v>9.2436266652113006E-2</v>
      </c>
      <c r="T9" s="577" t="str">
        <f>L9</f>
        <v>Ring 3 In SMART Plan</v>
      </c>
      <c r="U9" s="422">
        <v>14022</v>
      </c>
      <c r="V9" s="422">
        <f>+FEE_ByContextArea_ByMode!Q72</f>
        <v>13036.612294274757</v>
      </c>
      <c r="W9" s="422">
        <f>+FEE_ByContextArea_ByMode!R72</f>
        <v>1395.4357626390006</v>
      </c>
      <c r="X9" s="422">
        <f>+FEE_ByContextArea_ByMode!S72</f>
        <v>62.648977103656335</v>
      </c>
      <c r="Y9" s="580">
        <f>SUM(V9:X9)</f>
        <v>14494.697034017414</v>
      </c>
      <c r="Z9" s="877">
        <f>+(Y9-U9)/U9</f>
        <v>3.371109927381357E-2</v>
      </c>
      <c r="AA9" t="s">
        <v>973</v>
      </c>
      <c r="AB9" s="577" t="str">
        <f>T9</f>
        <v>Ring 3 In SMART Plan</v>
      </c>
      <c r="AC9" s="422">
        <v>14857</v>
      </c>
      <c r="AD9" s="422">
        <f>+FEE_ByContextArea_ByMode!Q99</f>
        <v>14079.016823940106</v>
      </c>
      <c r="AE9" s="422">
        <f>+FEE_ByContextArea_ByMode!R99</f>
        <v>1507.0144862365978</v>
      </c>
      <c r="AF9" s="422">
        <f>+FEE_ByContextArea_ByMode!S99</f>
        <v>67.658374947023376</v>
      </c>
      <c r="AG9" s="581">
        <f>SUM(AD9:AF9)</f>
        <v>15653.689685123727</v>
      </c>
      <c r="AH9" s="877">
        <f>+(AG9-AC9)/AC9</f>
        <v>5.3623859805056677E-2</v>
      </c>
      <c r="AI9" s="578"/>
      <c r="AJ9" s="577" t="str">
        <f>AB9</f>
        <v>Ring 3 In SMART Plan</v>
      </c>
      <c r="AK9" s="422">
        <f>+AK7*AC17</f>
        <v>5552.9615203568519</v>
      </c>
      <c r="AL9" s="422">
        <f>+FEE_ByContextArea_ByMode!U20</f>
        <v>1483.9120047287395</v>
      </c>
      <c r="AM9" s="422">
        <f>+FEE_ByContextArea_ByMode!V20</f>
        <v>291.3686857783452</v>
      </c>
      <c r="AN9" s="422">
        <f>+FEE_ByContextArea_ByMode!W20</f>
        <v>7.8711766118785063</v>
      </c>
      <c r="AO9" s="581">
        <f>SUM(AL9:AN9)</f>
        <v>1783.1518671189633</v>
      </c>
      <c r="AP9" s="877">
        <f>+(AO9-AK9)/AK9</f>
        <v>-0.67888272580639597</v>
      </c>
    </row>
    <row r="10" spans="1:47" x14ac:dyDescent="0.25">
      <c r="C10" t="s">
        <v>977</v>
      </c>
      <c r="D10" s="577" t="s">
        <v>979</v>
      </c>
      <c r="E10" s="422">
        <f>+E9</f>
        <v>10096</v>
      </c>
      <c r="F10" s="422">
        <f>+FEE_ByContextArea_ByMode!U25</f>
        <v>7980.1108238479956</v>
      </c>
      <c r="G10" s="422">
        <f>+FEE_ByContextArea_ByMode!V25</f>
        <v>1527.5477625441074</v>
      </c>
      <c r="H10" s="422">
        <f>+FEE_ByContextArea_ByMode!W25</f>
        <v>42.390266636781412</v>
      </c>
      <c r="I10" s="580">
        <f>SUM(F10:H10)</f>
        <v>9550.048853028884</v>
      </c>
      <c r="J10" s="877">
        <f>+(I10-E10)/E10</f>
        <v>-5.4075985238818944E-2</v>
      </c>
      <c r="L10" s="577" t="str">
        <f>D10</f>
        <v>Ring 4 In SMART Plan</v>
      </c>
      <c r="M10" s="422">
        <f>+M9</f>
        <v>4430.5665723982493</v>
      </c>
      <c r="N10" s="422">
        <f>+FEE_ByContextArea_ByMode!U28</f>
        <v>3761.8107167503804</v>
      </c>
      <c r="O10" s="422">
        <f>+FEE_ByContextArea_ByMode!V28</f>
        <v>720.08342619928817</v>
      </c>
      <c r="P10" s="422">
        <f>+FEE_ByContextArea_ByMode!W26</f>
        <v>32.870418620894064</v>
      </c>
      <c r="Q10" s="580">
        <f>SUM(N10:P10)</f>
        <v>4514.7645615705624</v>
      </c>
      <c r="R10" s="877">
        <f>+(Q10-M10)/M10</f>
        <v>1.9003887605899814E-2</v>
      </c>
      <c r="T10" s="577" t="str">
        <f>L10</f>
        <v>Ring 4 In SMART Plan</v>
      </c>
      <c r="U10" s="422">
        <v>14022</v>
      </c>
      <c r="V10" s="422">
        <f>+FEE_ByContextArea_ByMode!U72</f>
        <v>11322.869046266578</v>
      </c>
      <c r="W10" s="422">
        <f>+FEE_ByContextArea_ByMode!V72</f>
        <v>2223.2648989547606</v>
      </c>
      <c r="X10" s="422">
        <f>+FEE_ByContextArea_ByMode!W72</f>
        <v>60.060368628548545</v>
      </c>
      <c r="Y10" s="580">
        <f>SUM(V10:X10)</f>
        <v>13606.194313849888</v>
      </c>
      <c r="Z10" s="877">
        <f>+(Y10-U10)/U10</f>
        <v>-2.9653807313515319E-2</v>
      </c>
      <c r="AA10" t="s">
        <v>973</v>
      </c>
      <c r="AB10" s="577" t="str">
        <f>T10</f>
        <v>Ring 4 In SMART Plan</v>
      </c>
      <c r="AC10" s="422">
        <v>14857</v>
      </c>
      <c r="AD10" s="422">
        <f>+FEE_ByContextArea_ByMode!U99</f>
        <v>12228.243058794311</v>
      </c>
      <c r="AE10" s="422">
        <f>+FEE_ByContextArea_ByMode!V99</f>
        <v>2401.036650465252</v>
      </c>
      <c r="AF10" s="422">
        <f>+FEE_ByContextArea_ByMode!W99</f>
        <v>64.862781931831705</v>
      </c>
      <c r="AG10" s="581">
        <f>SUM(AD10:AF10)</f>
        <v>14694.142491191395</v>
      </c>
      <c r="AH10" s="877">
        <f>+(AG10-AC10)/AC10</f>
        <v>-1.0961668493545495E-2</v>
      </c>
      <c r="AI10" s="578"/>
      <c r="AJ10" s="577" t="str">
        <f>AB10</f>
        <v>Ring 4 In SMART Plan</v>
      </c>
      <c r="AK10" s="422">
        <f>+AK11</f>
        <v>5552.9615203568519</v>
      </c>
      <c r="AL10" s="422">
        <f>+FEE_ByContextArea_ByMode!U20</f>
        <v>1483.9120047287395</v>
      </c>
      <c r="AM10" s="422">
        <f>+FEE_ByContextArea_ByMode!V20</f>
        <v>291.3686857783452</v>
      </c>
      <c r="AN10" s="422">
        <f>+FEE_ByContextArea_ByMode!W20</f>
        <v>7.8711766118785063</v>
      </c>
      <c r="AO10" s="581">
        <f>SUM(AL10:AN10)</f>
        <v>1783.1518671189633</v>
      </c>
      <c r="AP10" s="877">
        <f>+(AO10-AK10)/AK10</f>
        <v>-0.67888272580639597</v>
      </c>
    </row>
    <row r="11" spans="1:47" x14ac:dyDescent="0.25">
      <c r="C11" t="s">
        <v>977</v>
      </c>
      <c r="D11" s="577" t="s">
        <v>980</v>
      </c>
      <c r="E11" s="422">
        <v>10096</v>
      </c>
      <c r="F11" s="422">
        <f>+FEE_ByContextArea_ByMode!AG25</f>
        <v>9765.153041384101</v>
      </c>
      <c r="G11" s="422">
        <f>+FEE_ByContextArea_ByMode!AH25</f>
        <v>157.63010553404891</v>
      </c>
      <c r="H11" s="422">
        <f>+FEE_ByContextArea_ByMode!AI25</f>
        <v>69.007235103160085</v>
      </c>
      <c r="I11" s="580">
        <f>SUM(F11:H11)</f>
        <v>9991.7903820213087</v>
      </c>
      <c r="J11" s="877">
        <f>+(I11-E11)/E11</f>
        <v>-1.0321871828317286E-2</v>
      </c>
      <c r="L11" s="577" t="str">
        <f>D11</f>
        <v>Ring 3 Out SMART Plan</v>
      </c>
      <c r="M11" s="422">
        <f>+M10</f>
        <v>4430.5665723982493</v>
      </c>
      <c r="N11" s="422">
        <f>+FEE_ByContextArea_ByMode!AG28</f>
        <v>4603.2765926016173</v>
      </c>
      <c r="O11" s="422">
        <f>+FEE_ByContextArea_ByMode!AH28</f>
        <v>74.306564579080273</v>
      </c>
      <c r="P11" s="422">
        <f>+FEE_ByContextArea_ByMode!AI26</f>
        <v>53.509847558806342</v>
      </c>
      <c r="Q11" s="580">
        <f>SUM(N11:P11)</f>
        <v>4731.0930047395041</v>
      </c>
      <c r="R11" s="877">
        <f t="shared" si="5"/>
        <v>6.7830248666951184E-2</v>
      </c>
      <c r="T11" s="577" t="str">
        <f>L11</f>
        <v>Ring 3 Out SMART Plan</v>
      </c>
      <c r="U11" s="422">
        <v>14022</v>
      </c>
      <c r="V11" s="422">
        <f>+FEE_ByContextArea_ByMode!AG72</f>
        <v>13737.14197762925</v>
      </c>
      <c r="W11" s="422">
        <f>+FEE_ByContextArea_ByMode!AH72</f>
        <v>222.51204435410722</v>
      </c>
      <c r="X11" s="422">
        <f>+FEE_ByContextArea_ByMode!AI72</f>
        <v>96.930976415558547</v>
      </c>
      <c r="Y11" s="580">
        <f>SUM(V11:X11)</f>
        <v>14056.584998398916</v>
      </c>
      <c r="Z11" s="877">
        <f t="shared" si="7"/>
        <v>2.4664811295760634E-3</v>
      </c>
      <c r="AB11" s="577" t="str">
        <f>T11</f>
        <v>Ring 3 Out SMART Plan</v>
      </c>
      <c r="AC11" s="422">
        <v>14857</v>
      </c>
      <c r="AD11" s="422">
        <f>+FEE_ByContextArea_ByMode!AG99</f>
        <v>14835.560700139351</v>
      </c>
      <c r="AE11" s="422">
        <f>+FEE_ByContextArea_ByMode!AH99</f>
        <v>240.30405639711955</v>
      </c>
      <c r="AF11" s="422">
        <f>+FEE_ByContextArea_ByMode!AI99</f>
        <v>104.68155506280708</v>
      </c>
      <c r="AG11" s="581">
        <f>SUM(AD11:AF11)</f>
        <v>15180.546311599277</v>
      </c>
      <c r="AH11" s="877">
        <f t="shared" si="10"/>
        <v>2.1777364986153128E-2</v>
      </c>
      <c r="AI11" s="578"/>
      <c r="AJ11" s="577" t="str">
        <f>AB11</f>
        <v>Ring 3 Out SMART Plan</v>
      </c>
      <c r="AK11" s="422">
        <f>+AK9</f>
        <v>5552.9615203568519</v>
      </c>
      <c r="AL11" s="422">
        <f>+FEE_ByContextArea_ByMode!AG20</f>
        <v>1800.3131368889647</v>
      </c>
      <c r="AM11" s="422">
        <f>+FEE_ByContextArea_ByMode!AH20</f>
        <v>29.161186309283028</v>
      </c>
      <c r="AN11" s="422">
        <f>+FEE_ByContextArea_ByMode!AI20</f>
        <v>12.703232629944811</v>
      </c>
      <c r="AO11" s="581">
        <f>SUM(AL11:AN11)</f>
        <v>1842.1775558281925</v>
      </c>
      <c r="AP11" s="877">
        <f t="shared" si="13"/>
        <v>-0.66825313860453184</v>
      </c>
    </row>
    <row r="12" spans="1:47" x14ac:dyDescent="0.25">
      <c r="C12" t="s">
        <v>977</v>
      </c>
      <c r="D12" s="577" t="s">
        <v>981</v>
      </c>
      <c r="E12" s="422">
        <v>10096</v>
      </c>
      <c r="F12" s="422">
        <f>+FEE_ByContextArea_ByMode!AK25</f>
        <v>10073.363921374925</v>
      </c>
      <c r="G12" s="422">
        <f>+FEE_ByContextArea_ByMode!AL25</f>
        <v>607.34970997571668</v>
      </c>
      <c r="H12" s="422">
        <f>+FEE_ByContextArea_ByMode!AM25</f>
        <v>38.850955490641837</v>
      </c>
      <c r="I12" s="580">
        <f>SUM(F12:H12)</f>
        <v>10719.564586841283</v>
      </c>
      <c r="J12" s="877">
        <f>+(I12-E12)/E12</f>
        <v>6.1763528807575574E-2</v>
      </c>
      <c r="L12" s="577" t="str">
        <f>D12</f>
        <v>Ring 4 Out SMART Plan</v>
      </c>
      <c r="M12" s="422">
        <f>+M10</f>
        <v>4430.5665723982493</v>
      </c>
      <c r="N12" s="422">
        <f>+FEE_ByContextArea_ByMode!AK28</f>
        <v>4748.5666790379682</v>
      </c>
      <c r="O12" s="422">
        <f>+FEE_ByContextArea_ByMode!AL28</f>
        <v>286.30362387626479</v>
      </c>
      <c r="P12" s="422">
        <f>+FEE_ByContextArea_ByMode!AM26</f>
        <v>30.125952774523125</v>
      </c>
      <c r="Q12" s="580">
        <f>SUM(N12:P12)</f>
        <v>5064.9962556887567</v>
      </c>
      <c r="R12" s="877">
        <f t="shared" si="5"/>
        <v>0.14319380443189977</v>
      </c>
      <c r="T12" s="577" t="str">
        <f>L12</f>
        <v>Ring 4 Out SMART Plan</v>
      </c>
      <c r="U12" s="422">
        <v>14022</v>
      </c>
      <c r="V12" s="422">
        <f>+FEE_ByContextArea_ByMode!AK72</f>
        <v>14148.735260870493</v>
      </c>
      <c r="W12" s="422">
        <f>+FEE_ByContextArea_ByMode!AL72</f>
        <v>878.97526107863359</v>
      </c>
      <c r="X12" s="422">
        <f>+FEE_ByContextArea_ByMode!AM72</f>
        <v>54.490762223143399</v>
      </c>
      <c r="Y12" s="580">
        <f>SUM(V12:X12)</f>
        <v>15082.201284172272</v>
      </c>
      <c r="Z12" s="877">
        <f t="shared" si="7"/>
        <v>7.5609847680236181E-2</v>
      </c>
      <c r="AA12" t="s">
        <v>973</v>
      </c>
      <c r="AB12" s="577" t="str">
        <f>T12</f>
        <v>Ring 4 Out SMART Plan</v>
      </c>
      <c r="AC12" s="422">
        <v>14857</v>
      </c>
      <c r="AD12" s="422">
        <f>+FEE_ByContextArea_ByMode!AK99</f>
        <v>15280.064887927396</v>
      </c>
      <c r="AE12" s="422">
        <f>+FEE_ByContextArea_ByMode!AL99</f>
        <v>949.25792139940881</v>
      </c>
      <c r="AF12" s="422">
        <f>+FEE_ByContextArea_ByMode!AM99</f>
        <v>58.847831075399412</v>
      </c>
      <c r="AG12" s="581">
        <f>SUM(AD12:AF12)</f>
        <v>16288.170640402204</v>
      </c>
      <c r="AH12" s="877">
        <f t="shared" si="10"/>
        <v>9.6329719351295973E-2</v>
      </c>
      <c r="AI12" s="578"/>
      <c r="AJ12" s="577" t="str">
        <f>AB12</f>
        <v>Ring 4 Out SMART Plan</v>
      </c>
      <c r="AK12" s="422">
        <f>+AK10</f>
        <v>5552.9615203568519</v>
      </c>
      <c r="AL12" s="422">
        <f>+FEE_ByContextArea_ByMode!AK20</f>
        <v>1854.2542547780552</v>
      </c>
      <c r="AM12" s="422">
        <f>+FEE_ByContextArea_ByMode!AL20</f>
        <v>115.19359063895814</v>
      </c>
      <c r="AN12" s="422">
        <f>+FEE_ByContextArea_ByMode!AM20</f>
        <v>7.141255089972371</v>
      </c>
      <c r="AO12" s="581">
        <f>SUM(AL12:AN12)</f>
        <v>1976.5891005069857</v>
      </c>
      <c r="AP12" s="877">
        <f t="shared" si="13"/>
        <v>-0.64404775843287976</v>
      </c>
    </row>
    <row r="13" spans="1:47" x14ac:dyDescent="0.25">
      <c r="D13" s="577"/>
      <c r="E13" s="422"/>
      <c r="F13" s="422"/>
      <c r="G13" s="422"/>
      <c r="H13" s="422"/>
      <c r="I13" s="580"/>
      <c r="J13" s="877"/>
      <c r="L13" s="577"/>
      <c r="M13" s="422"/>
      <c r="N13" s="422"/>
      <c r="O13" s="422"/>
      <c r="P13" s="422"/>
      <c r="Q13" s="580"/>
      <c r="R13" s="877"/>
      <c r="T13" s="577"/>
      <c r="U13" s="422"/>
      <c r="V13" s="422"/>
      <c r="W13" s="422"/>
      <c r="X13" s="422"/>
      <c r="Y13" s="580"/>
      <c r="Z13" s="877"/>
      <c r="AB13" s="577"/>
      <c r="AC13" s="422"/>
      <c r="AD13" s="422"/>
      <c r="AE13" s="422"/>
      <c r="AF13" s="422"/>
      <c r="AG13" s="581"/>
      <c r="AH13" s="877"/>
      <c r="AI13" s="578"/>
      <c r="AJ13" s="577"/>
      <c r="AK13" s="422"/>
      <c r="AL13" s="422"/>
      <c r="AM13" s="422"/>
      <c r="AN13" s="422"/>
      <c r="AO13" s="581"/>
      <c r="AP13" s="877"/>
    </row>
    <row r="14" spans="1:47" x14ac:dyDescent="0.25">
      <c r="D14" s="577" t="s">
        <v>982</v>
      </c>
      <c r="E14" s="2">
        <f>I14/(AVERAGE(G14:H14))</f>
        <v>2.9498138518443667E-2</v>
      </c>
      <c r="G14" s="422">
        <f>E5</f>
        <v>9543.67</v>
      </c>
      <c r="H14" s="422">
        <f>AVERAGE(I5:I10)</f>
        <v>9829.4048223184618</v>
      </c>
      <c r="I14" s="422">
        <f>H14-G14</f>
        <v>285.73482231846174</v>
      </c>
      <c r="J14" s="422"/>
      <c r="L14" s="577" t="s">
        <v>982</v>
      </c>
      <c r="M14" s="2">
        <f>Q14/(AVERAGE(O14:P14))</f>
        <v>0.10542743316326547</v>
      </c>
      <c r="O14" s="422">
        <f>M5</f>
        <v>4188.18</v>
      </c>
      <c r="P14" s="422">
        <f>AVERAGE(Q5:Q10)</f>
        <v>4654.2999837417219</v>
      </c>
      <c r="Q14" s="422">
        <f>P14-O14</f>
        <v>466.11998374172163</v>
      </c>
      <c r="R14" s="422"/>
      <c r="T14" s="577" t="s">
        <v>982</v>
      </c>
      <c r="U14" s="2">
        <f>Y14/(AVERAGE(W14:X14))</f>
        <v>-2.5091836173573474E-2</v>
      </c>
      <c r="W14" s="422">
        <f>AVERAGE(Y5:Y10)</f>
        <v>13596.124703929561</v>
      </c>
      <c r="X14" s="422">
        <f>U5</f>
        <v>13259.2</v>
      </c>
      <c r="Y14" s="422">
        <f>X14-W14</f>
        <v>-336.92470392956056</v>
      </c>
      <c r="Z14" s="422"/>
      <c r="AB14" s="577" t="s">
        <v>982</v>
      </c>
      <c r="AC14" s="2">
        <f>AG14/(AVERAGE(AE14:AF14))</f>
        <v>-9.2567258252699638E-2</v>
      </c>
      <c r="AE14" s="422">
        <f>AVERAGE(AG5:AG10)</f>
        <v>14682.715569106538</v>
      </c>
      <c r="AF14" s="422">
        <f>AC5</f>
        <v>13383.7</v>
      </c>
      <c r="AG14" s="422">
        <f>AF14-AE14</f>
        <v>-1299.0155691065374</v>
      </c>
      <c r="AH14" s="422"/>
      <c r="AJ14" s="577" t="s">
        <v>982</v>
      </c>
      <c r="AK14" s="2">
        <f>AO14/(AVERAGE(AM14:AN14))</f>
        <v>0.95957142528712414</v>
      </c>
      <c r="AM14" s="422">
        <f>AVERAGE(AO5:AO10)</f>
        <v>1758.5437590110869</v>
      </c>
      <c r="AN14" s="422">
        <f>AK5</f>
        <v>5002.3</v>
      </c>
      <c r="AO14" s="422">
        <f>AN14-AM14</f>
        <v>3243.7562409889133</v>
      </c>
    </row>
    <row r="15" spans="1:47" x14ac:dyDescent="0.25">
      <c r="D15" s="577" t="s">
        <v>983</v>
      </c>
      <c r="E15" s="2">
        <f>I15/(AVERAGE(G15:H15))</f>
        <v>2.8752895533002733E-3</v>
      </c>
      <c r="G15" s="422">
        <f>E9</f>
        <v>10096</v>
      </c>
      <c r="H15" s="422">
        <f>AVERAGE(I9:I12)</f>
        <v>10125.070716694128</v>
      </c>
      <c r="I15" s="422">
        <f>H15-G15</f>
        <v>29.07071669412835</v>
      </c>
      <c r="J15" s="422"/>
      <c r="L15" s="577" t="s">
        <v>983</v>
      </c>
      <c r="M15" s="2">
        <f>Q15/(AVERAGE(O15:P15))</f>
        <v>7.7492482832623777E-2</v>
      </c>
      <c r="O15" s="422">
        <f>M9</f>
        <v>4430.5665723982493</v>
      </c>
      <c r="P15" s="422">
        <f>AVERAGE(Q9:Q12)</f>
        <v>4787.7413568758038</v>
      </c>
      <c r="Q15" s="422">
        <f>P15-O15</f>
        <v>357.17478447755457</v>
      </c>
      <c r="R15" s="422"/>
      <c r="T15" s="577" t="s">
        <v>983</v>
      </c>
      <c r="U15" s="2">
        <f>Y15/(AVERAGE(W15:X15))</f>
        <v>-2.6585805745123268E-3</v>
      </c>
      <c r="W15" s="422">
        <f>AVERAGE(Y7:Y12)</f>
        <v>14059.328236878535</v>
      </c>
      <c r="X15" s="422">
        <f>U9</f>
        <v>14022</v>
      </c>
      <c r="Y15" s="422">
        <f>X15-W15</f>
        <v>-37.328236878534881</v>
      </c>
      <c r="Z15" s="422"/>
      <c r="AB15" s="577" t="s">
        <v>983</v>
      </c>
      <c r="AC15" s="2">
        <f>AG15/(AVERAGE(AE15:AF15))</f>
        <v>-2.1701545913891857E-2</v>
      </c>
      <c r="AE15" s="422">
        <f>AVERAGE(AG7:AG12)</f>
        <v>15182.956750334353</v>
      </c>
      <c r="AF15" s="422">
        <f>AC9</f>
        <v>14857</v>
      </c>
      <c r="AG15" s="422">
        <f>AF15-AE15</f>
        <v>-325.95675033435327</v>
      </c>
      <c r="AH15" s="422"/>
      <c r="AJ15" s="577" t="s">
        <v>983</v>
      </c>
      <c r="AK15" s="2">
        <f>AO15/(AVERAGE(AM15:AN15))</f>
        <v>1.0129154804511094</v>
      </c>
      <c r="AM15" s="422">
        <f>AVERAGE(AO7:AO12)</f>
        <v>1819.2486281009915</v>
      </c>
      <c r="AN15" s="422">
        <f>AK9</f>
        <v>5552.9615203568519</v>
      </c>
      <c r="AO15" s="422">
        <f>AN15-AM15</f>
        <v>3733.7128922558604</v>
      </c>
    </row>
    <row r="17" spans="29:31" x14ac:dyDescent="0.25">
      <c r="AC17" s="797">
        <f>+AC9/AC7</f>
        <v>1.1100816665047781</v>
      </c>
      <c r="AE17" t="s">
        <v>984</v>
      </c>
    </row>
    <row r="69" spans="3:22" x14ac:dyDescent="0.25">
      <c r="C69" s="574"/>
      <c r="D69" s="574"/>
      <c r="E69" s="574" t="s">
        <v>963</v>
      </c>
      <c r="F69" s="574"/>
      <c r="G69" s="574" t="s">
        <v>964</v>
      </c>
      <c r="H69" s="574"/>
    </row>
    <row r="70" spans="3:22" x14ac:dyDescent="0.25">
      <c r="C70" s="574" t="str">
        <f>RoadCapCost!A11</f>
        <v xml:space="preserve">  Class II arterial add 2 lanes</v>
      </c>
      <c r="D70" s="574"/>
      <c r="E70" s="574" t="s">
        <v>677</v>
      </c>
      <c r="F70" s="574" t="s">
        <v>676</v>
      </c>
      <c r="G70" s="574" t="s">
        <v>677</v>
      </c>
      <c r="H70" s="574" t="s">
        <v>674</v>
      </c>
    </row>
    <row r="71" spans="3:22" x14ac:dyDescent="0.25">
      <c r="C71" s="574"/>
      <c r="D71" s="575" t="s">
        <v>104</v>
      </c>
      <c r="E71" s="575" t="str">
        <f>RoadCapCost!Q11</f>
        <v>E</v>
      </c>
      <c r="F71" s="195">
        <f>RoadCapCost!T11</f>
        <v>402.63157894736844</v>
      </c>
      <c r="G71" s="575" t="str">
        <f>RoadCapCost!AH11</f>
        <v>E</v>
      </c>
      <c r="H71" s="195">
        <f>RoadCapCost!AJ11</f>
        <v>402.63157894736844</v>
      </c>
      <c r="I71" s="576"/>
      <c r="J71" s="576"/>
      <c r="K71" s="576"/>
      <c r="L71" s="576"/>
      <c r="M71" s="576"/>
      <c r="N71" s="576"/>
      <c r="O71" s="576"/>
      <c r="P71" s="576"/>
      <c r="S71" s="576"/>
      <c r="T71" s="576"/>
      <c r="U71" s="576"/>
      <c r="V71" s="576"/>
    </row>
    <row r="72" spans="3:22" x14ac:dyDescent="0.25">
      <c r="C72" s="574"/>
      <c r="D72" s="575" t="s">
        <v>105</v>
      </c>
      <c r="E72" s="575" t="str">
        <f>RoadCapCost!U11</f>
        <v>E</v>
      </c>
      <c r="F72" s="195">
        <f>RoadCapCost!X11</f>
        <v>402.63157894736844</v>
      </c>
      <c r="G72" s="575" t="str">
        <f>RoadCapCost!AL11</f>
        <v>E</v>
      </c>
      <c r="H72" s="195">
        <f>RoadCapCost!AN11</f>
        <v>402.63157894736844</v>
      </c>
    </row>
    <row r="73" spans="3:22" x14ac:dyDescent="0.25">
      <c r="C73" s="574"/>
      <c r="D73" s="575" t="s">
        <v>106</v>
      </c>
      <c r="E73" s="575" t="str">
        <f>RoadCapCost!Y11</f>
        <v>E</v>
      </c>
      <c r="F73" s="195">
        <f>RoadCapCost!AB11</f>
        <v>402.63157894736844</v>
      </c>
      <c r="G73" s="575" t="str">
        <f>RoadCapCost!AP11</f>
        <v>E</v>
      </c>
      <c r="H73" s="195">
        <f>RoadCapCost!AR11</f>
        <v>402.63157894736844</v>
      </c>
    </row>
    <row r="74" spans="3:22" x14ac:dyDescent="0.25">
      <c r="C74" s="574"/>
      <c r="D74" s="575" t="s">
        <v>107</v>
      </c>
      <c r="E74" s="575" t="str">
        <f>RoadCapCost!AC11</f>
        <v>E</v>
      </c>
      <c r="F74" s="195">
        <f>RoadCapCost!AF11</f>
        <v>402.63157894736844</v>
      </c>
      <c r="G74" s="575" t="str">
        <f>RoadCapCost!AT11</f>
        <v>E</v>
      </c>
      <c r="H74" s="195">
        <f>RoadCapCost!AV11</f>
        <v>402.63157894736844</v>
      </c>
    </row>
    <row r="75" spans="3:22" x14ac:dyDescent="0.25">
      <c r="F75" s="194"/>
      <c r="H75" s="194"/>
    </row>
    <row r="76" spans="3:22" x14ac:dyDescent="0.25">
      <c r="F76" s="194"/>
      <c r="H76" s="194"/>
    </row>
    <row r="77" spans="3:22" x14ac:dyDescent="0.25">
      <c r="F77" s="194"/>
      <c r="H77" s="194"/>
    </row>
    <row r="78" spans="3:22" x14ac:dyDescent="0.25">
      <c r="F78" s="194"/>
      <c r="H78" s="194"/>
    </row>
    <row r="79" spans="3:22" x14ac:dyDescent="0.25">
      <c r="F79" s="194"/>
      <c r="H79" s="194"/>
    </row>
    <row r="80" spans="3:22" x14ac:dyDescent="0.25">
      <c r="F80" s="194"/>
    </row>
    <row r="81" spans="6:6" x14ac:dyDescent="0.25">
      <c r="F81" s="194"/>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B30DC-9F2B-445A-A08B-3E6C1A3C6E3E}">
  <sheetPr>
    <tabColor theme="8" tint="-0.249977111117893"/>
  </sheetPr>
  <dimension ref="A1:AU81"/>
  <sheetViews>
    <sheetView topLeftCell="AH1" workbookViewId="0">
      <selection activeCell="AD73" sqref="AD73"/>
    </sheetView>
  </sheetViews>
  <sheetFormatPr defaultColWidth="9" defaultRowHeight="15.75" x14ac:dyDescent="0.25"/>
  <cols>
    <col min="4" max="4" width="22.85546875" customWidth="1"/>
    <col min="5" max="5" width="11.140625" customWidth="1"/>
    <col min="12" max="12" width="24.5703125" customWidth="1"/>
    <col min="14" max="15" width="13.5703125" customWidth="1"/>
    <col min="17" max="17" width="9.42578125" bestFit="1" customWidth="1"/>
    <col min="18" max="18" width="9.42578125" customWidth="1"/>
    <col min="20" max="20" width="21.140625" customWidth="1"/>
    <col min="28" max="28" width="20.140625" customWidth="1"/>
    <col min="36" max="36" width="22.140625" customWidth="1"/>
    <col min="39" max="39" width="10.5703125" bestFit="1" customWidth="1"/>
  </cols>
  <sheetData>
    <row r="1" spans="1:47" s="876" customFormat="1" ht="33" customHeight="1" x14ac:dyDescent="0.25">
      <c r="A1" s="876" t="s">
        <v>955</v>
      </c>
    </row>
    <row r="2" spans="1:47" x14ac:dyDescent="0.25">
      <c r="I2" s="578"/>
      <c r="J2" s="578"/>
      <c r="Q2" s="578"/>
      <c r="R2" s="578"/>
      <c r="Y2" s="578"/>
      <c r="Z2" s="578"/>
    </row>
    <row r="3" spans="1:47" x14ac:dyDescent="0.25">
      <c r="B3" t="s">
        <v>985</v>
      </c>
      <c r="C3">
        <v>0.5</v>
      </c>
      <c r="D3" s="648" t="s">
        <v>956</v>
      </c>
      <c r="E3" s="577"/>
      <c r="F3" s="577"/>
      <c r="G3" s="577"/>
      <c r="H3" s="577"/>
      <c r="I3" s="579"/>
      <c r="J3" s="579"/>
      <c r="L3" s="577" t="s">
        <v>957</v>
      </c>
      <c r="M3" s="577"/>
      <c r="N3" s="577"/>
      <c r="O3" s="577"/>
      <c r="P3" s="577"/>
      <c r="Q3" s="579"/>
      <c r="R3" s="579"/>
      <c r="T3" s="577" t="s">
        <v>958</v>
      </c>
      <c r="U3" s="577"/>
      <c r="V3" s="577"/>
      <c r="W3" s="577"/>
      <c r="X3" s="577"/>
      <c r="Y3" s="579"/>
      <c r="Z3" s="579"/>
      <c r="AB3" s="577" t="s">
        <v>959</v>
      </c>
      <c r="AC3" s="577"/>
      <c r="AD3" s="577" t="s">
        <v>965</v>
      </c>
      <c r="AE3" s="577"/>
      <c r="AF3" s="577"/>
      <c r="AG3" s="579"/>
      <c r="AH3" s="579"/>
      <c r="AI3" s="578"/>
      <c r="AJ3" s="577" t="s">
        <v>966</v>
      </c>
      <c r="AK3" s="577"/>
      <c r="AL3" s="577" t="s">
        <v>965</v>
      </c>
      <c r="AM3" s="577"/>
      <c r="AN3" s="577"/>
      <c r="AO3" s="579"/>
      <c r="AS3" t="s">
        <v>967</v>
      </c>
      <c r="AU3" s="2"/>
    </row>
    <row r="4" spans="1:47" x14ac:dyDescent="0.25">
      <c r="D4" s="577"/>
      <c r="E4" s="577" t="s">
        <v>968</v>
      </c>
      <c r="F4" s="577" t="s">
        <v>121</v>
      </c>
      <c r="G4" s="577" t="s">
        <v>63</v>
      </c>
      <c r="H4" s="577" t="s">
        <v>961</v>
      </c>
      <c r="I4" s="579" t="s">
        <v>962</v>
      </c>
      <c r="J4" s="579" t="s">
        <v>969</v>
      </c>
      <c r="L4" s="577"/>
      <c r="M4" s="577" t="str">
        <f>E4</f>
        <v>RIF</v>
      </c>
      <c r="N4" s="577" t="s">
        <v>121</v>
      </c>
      <c r="O4" s="577" t="s">
        <v>63</v>
      </c>
      <c r="P4" s="577" t="s">
        <v>961</v>
      </c>
      <c r="Q4" s="579" t="s">
        <v>962</v>
      </c>
      <c r="R4" s="579" t="s">
        <v>969</v>
      </c>
      <c r="T4" s="577"/>
      <c r="U4" s="577" t="str">
        <f>E4</f>
        <v>RIF</v>
      </c>
      <c r="V4" s="577" t="s">
        <v>121</v>
      </c>
      <c r="W4" s="577" t="s">
        <v>63</v>
      </c>
      <c r="X4" s="577" t="s">
        <v>961</v>
      </c>
      <c r="Y4" s="579" t="s">
        <v>962</v>
      </c>
      <c r="Z4" s="579" t="s">
        <v>969</v>
      </c>
      <c r="AB4" s="577"/>
      <c r="AC4" s="577" t="str">
        <f>E4</f>
        <v>RIF</v>
      </c>
      <c r="AD4" s="577" t="s">
        <v>121</v>
      </c>
      <c r="AE4" s="577" t="s">
        <v>63</v>
      </c>
      <c r="AF4" s="577" t="s">
        <v>961</v>
      </c>
      <c r="AG4" s="579" t="s">
        <v>962</v>
      </c>
      <c r="AH4" s="579" t="s">
        <v>969</v>
      </c>
      <c r="AI4" s="578"/>
      <c r="AJ4" s="577"/>
      <c r="AK4" s="577" t="str">
        <f>M4</f>
        <v>RIF</v>
      </c>
      <c r="AL4" s="577" t="s">
        <v>121</v>
      </c>
      <c r="AM4" s="577" t="s">
        <v>63</v>
      </c>
      <c r="AN4" s="577" t="s">
        <v>961</v>
      </c>
      <c r="AO4" s="579" t="s">
        <v>962</v>
      </c>
      <c r="AS4" t="s">
        <v>970</v>
      </c>
      <c r="AT4" s="422">
        <f>AVERAGE(M5,U5,AC5,E5)</f>
        <v>10093.6875</v>
      </c>
      <c r="AU4" s="2">
        <f>(AT5-AT4)/(AT4+AT5)</f>
        <v>3.6175759371584508E-2</v>
      </c>
    </row>
    <row r="5" spans="1:47" x14ac:dyDescent="0.25">
      <c r="C5" t="s">
        <v>971</v>
      </c>
      <c r="D5" s="577" t="s">
        <v>972</v>
      </c>
      <c r="E5" s="422">
        <f>+FEE_1_In!G22</f>
        <v>9543.67</v>
      </c>
      <c r="F5" s="422">
        <f>+FEE_ByContextArea_ByMode!I25</f>
        <v>7843.4177405852297</v>
      </c>
      <c r="G5" s="422">
        <f>+FEE_ByContextArea_ByMode!J25*$C$3</f>
        <v>848.8666815166489</v>
      </c>
      <c r="H5" s="422">
        <f>+FEE_ByContextArea_ByMode!K25</f>
        <v>110.50661530115225</v>
      </c>
      <c r="I5" s="580">
        <f t="shared" ref="I5:I6" si="0">SUM(F5:H5)</f>
        <v>8802.7910374030307</v>
      </c>
      <c r="J5" s="877">
        <f>+(I5-E5)/E5</f>
        <v>-7.7630404508639686E-2</v>
      </c>
      <c r="L5" s="577" t="str">
        <f>D5</f>
        <v>Ring 1 In SMART Plan</v>
      </c>
      <c r="M5" s="422">
        <f>+FEE_ByContextArea_ByMode!G28</f>
        <v>4188.18</v>
      </c>
      <c r="N5" s="422">
        <f>+FEE_ByContextArea_ByMode!I28</f>
        <v>3697.3738289835037</v>
      </c>
      <c r="O5" s="422">
        <f>+FEE_ByContextArea_ByMode!J28*C3</f>
        <v>400.15431490986106</v>
      </c>
      <c r="P5" s="422">
        <f>+FEE_ByContextArea_ByMode!K28</f>
        <v>52.092631153615216</v>
      </c>
      <c r="Q5" s="580">
        <f t="shared" ref="Q5:Q6" si="1">SUM(N5:P5)</f>
        <v>4149.6207750469794</v>
      </c>
      <c r="R5" s="877">
        <f>+(Q5-M5)/M5</f>
        <v>-9.2066780685216322E-3</v>
      </c>
      <c r="T5" s="577" t="str">
        <f>L5</f>
        <v>Ring 1 In SMART Plan</v>
      </c>
      <c r="U5" s="422">
        <f>+FEE_ByContextArea_ByMode!G72</f>
        <v>13259.2</v>
      </c>
      <c r="V5" s="422">
        <f>+FEE_ByContextArea_ByMode!I72</f>
        <v>8998.6743192378799</v>
      </c>
      <c r="W5" s="422">
        <f>+FEE_ByContextArea_ByMode!J72*C3</f>
        <v>1530.1121326029108</v>
      </c>
      <c r="X5" s="422">
        <f>+FEE_ByContextArea_ByMode!K72</f>
        <v>192.26570766961737</v>
      </c>
      <c r="Y5" s="580">
        <f t="shared" ref="Y5:Y6" si="2">SUM(V5:X5)</f>
        <v>10721.052159510409</v>
      </c>
      <c r="Z5" s="877">
        <f>+(Y5-U5)/U5</f>
        <v>-0.19142541333486118</v>
      </c>
      <c r="AA5" t="s">
        <v>973</v>
      </c>
      <c r="AB5" s="577" t="str">
        <f>T5</f>
        <v>Ring 1 In SMART Plan</v>
      </c>
      <c r="AC5" s="422">
        <f>+FEE_ByContextArea!G99</f>
        <v>13383.7</v>
      </c>
      <c r="AD5" s="422">
        <f>+FEE_ByContextArea_ByMode!I99</f>
        <v>9718.2062543462307</v>
      </c>
      <c r="AE5" s="422">
        <f>+FEE_ByContextArea_ByMode!J99*C3</f>
        <v>1652.4595478606045</v>
      </c>
      <c r="AF5" s="422">
        <f>+FEE_ByContextArea_ByMode!K99</f>
        <v>207.6392295670309</v>
      </c>
      <c r="AG5" s="581">
        <f>SUM(AD5:AF5)</f>
        <v>11578.305031773865</v>
      </c>
      <c r="AH5" s="877">
        <f>+(AG5-AC5)/AC5</f>
        <v>-0.134895056540877</v>
      </c>
      <c r="AI5" s="578"/>
      <c r="AJ5" s="577" t="str">
        <f>AB5</f>
        <v>Ring 1 In SMART Plan</v>
      </c>
      <c r="AK5" s="422">
        <f>+FEE_ByContextArea_ByMode!G20</f>
        <v>5002.3</v>
      </c>
      <c r="AL5" s="422">
        <f>+FEE_ByContextArea_ByMode!I20</f>
        <v>1179.3160191465954</v>
      </c>
      <c r="AM5" s="422">
        <f>+FEE_ByContextArea_ByMode!J20</f>
        <v>401.0559078044285</v>
      </c>
      <c r="AN5" s="422">
        <f>+FEE_ByContextArea_ByMode!K20</f>
        <v>25.197270280422764</v>
      </c>
      <c r="AO5" s="581">
        <f>SUM(AL5:AN5)</f>
        <v>1605.5691972314467</v>
      </c>
      <c r="AS5" t="s">
        <v>974</v>
      </c>
      <c r="AT5" s="422">
        <f>AVERAGE(E9,M9,U9,AC9)</f>
        <v>10851.391643099563</v>
      </c>
      <c r="AU5" s="2"/>
    </row>
    <row r="6" spans="1:47" x14ac:dyDescent="0.25">
      <c r="B6" s="422"/>
      <c r="C6" t="s">
        <v>971</v>
      </c>
      <c r="D6" s="577" t="s">
        <v>975</v>
      </c>
      <c r="E6" s="422">
        <f t="shared" ref="E6" si="3">+E5</f>
        <v>9543.67</v>
      </c>
      <c r="F6" s="422">
        <f>+FEE_ByContextArea_ByMode!M25</f>
        <v>8623.2698278700536</v>
      </c>
      <c r="G6" s="422">
        <f>+FEE_ByContextArea_ByMode!N25*C3</f>
        <v>853.25221980651725</v>
      </c>
      <c r="H6" s="422">
        <f>+FEE_ByContextArea_ByMode!O25</f>
        <v>73.462901705404533</v>
      </c>
      <c r="I6" s="580">
        <f t="shared" si="0"/>
        <v>9549.9849493819765</v>
      </c>
      <c r="J6" s="877">
        <f t="shared" ref="J6:J12" si="4">+(I6-E6)/E6</f>
        <v>6.6168983022008054E-4</v>
      </c>
      <c r="L6" s="577" t="str">
        <f t="shared" ref="L6" si="5">D6</f>
        <v>Ring 2 In SMART Plan</v>
      </c>
      <c r="M6" s="422">
        <f t="shared" ref="M6" si="6">+M5</f>
        <v>4188.18</v>
      </c>
      <c r="N6" s="422">
        <f>+FEE_ByContextArea_ByMode!M28</f>
        <v>4064.9947811463717</v>
      </c>
      <c r="O6" s="422">
        <f>+FEE_ByContextArea_ByMode!N28*C3</f>
        <v>402.22165022658925</v>
      </c>
      <c r="P6" s="422">
        <f>+FEE_ByContextArea_ByMode!O28</f>
        <v>34.630287350534992</v>
      </c>
      <c r="Q6" s="580">
        <f t="shared" si="1"/>
        <v>4501.8467187234955</v>
      </c>
      <c r="R6" s="877">
        <f t="shared" ref="R6:R12" si="7">+(Q6-M6)/M6</f>
        <v>7.4893323286844227E-2</v>
      </c>
      <c r="T6" s="577" t="str">
        <f t="shared" ref="T6" si="8">L6</f>
        <v>Ring 2 In SMART Plan</v>
      </c>
      <c r="U6" s="422">
        <f>+U5</f>
        <v>13259.2</v>
      </c>
      <c r="V6" s="422">
        <f>+FEE_ByContextArea_ByMode!M72</f>
        <v>12084.042617697605</v>
      </c>
      <c r="W6" s="422">
        <f>+FEE_ByContextArea_ByMode!N72*C3</f>
        <v>1192.264491342783</v>
      </c>
      <c r="X6" s="422">
        <f>+FEE_ByContextArea_ByMode!O72</f>
        <v>103.03272532983547</v>
      </c>
      <c r="Y6" s="580">
        <f t="shared" si="2"/>
        <v>13379.339834370223</v>
      </c>
      <c r="Z6" s="877">
        <f t="shared" ref="Z6:Z12" si="9">+(Y6-U6)/U6</f>
        <v>9.0608659926859954E-3</v>
      </c>
      <c r="AA6" t="s">
        <v>973</v>
      </c>
      <c r="AB6" s="577" t="str">
        <f t="shared" ref="AB6" si="10">T6</f>
        <v>Ring 2 In SMART Plan</v>
      </c>
      <c r="AC6" s="422">
        <f>+AC5</f>
        <v>13383.7</v>
      </c>
      <c r="AD6" s="422">
        <f>+FEE_ByContextArea_ByMode!M99</f>
        <v>13050.279894454625</v>
      </c>
      <c r="AE6" s="422">
        <f>+FEE_ByContextArea_ByMode!N99*C3</f>
        <v>1287.5976866761043</v>
      </c>
      <c r="AF6" s="422">
        <f>+FEE_ByContextArea_ByMode!O99</f>
        <v>111.27119842109661</v>
      </c>
      <c r="AG6" s="581">
        <f t="shared" ref="AG6" si="11">SUM(AD6:AF6)</f>
        <v>14449.148779551826</v>
      </c>
      <c r="AH6" s="877">
        <f t="shared" ref="AH6:AH12" si="12">+(AG6-AC6)/AC6</f>
        <v>7.9607939475019998E-2</v>
      </c>
      <c r="AI6" s="578"/>
      <c r="AJ6" s="577" t="str">
        <f t="shared" ref="AJ6" si="13">AB6</f>
        <v>Ring 2 In SMART Plan</v>
      </c>
      <c r="AK6" s="422">
        <f>+AK5</f>
        <v>5002.3</v>
      </c>
      <c r="AL6" s="422">
        <f>+FEE_ByContextArea_ByMode!M20</f>
        <v>1583.6671635770333</v>
      </c>
      <c r="AM6" s="422">
        <f>+FEE_ByContextArea_ByMode!N20</f>
        <v>312.50305629891795</v>
      </c>
      <c r="AN6" s="422">
        <f>+FEE_ByContextArea_ByMode!O20</f>
        <v>13.502893778257883</v>
      </c>
      <c r="AO6" s="581">
        <f t="shared" ref="AO6" si="14">SUM(AL6:AN6)</f>
        <v>1909.6731136542091</v>
      </c>
    </row>
    <row r="7" spans="1:47" x14ac:dyDescent="0.25">
      <c r="C7" t="s">
        <v>971</v>
      </c>
      <c r="D7" s="577" t="s">
        <v>976</v>
      </c>
      <c r="E7" s="422">
        <f>+E6</f>
        <v>9543.67</v>
      </c>
      <c r="F7" s="422">
        <f>'RIFvMIF (Simple)'!F10</f>
        <v>8799.187086988959</v>
      </c>
      <c r="G7" s="422">
        <f>'RIFvMIF (Simple)'!G10*C3</f>
        <v>216.91869581604894</v>
      </c>
      <c r="H7" s="422">
        <f>'RIFvMIF (Simple)'!H10</f>
        <v>70.17684694915144</v>
      </c>
      <c r="I7" s="580">
        <f>SUM(F7:H7)</f>
        <v>9086.2826297541578</v>
      </c>
      <c r="J7" s="877">
        <f>+(I7-E7)/E7</f>
        <v>-4.7925731950690068E-2</v>
      </c>
      <c r="L7" s="577" t="str">
        <f>D7</f>
        <v>Ring 2 Out SMART Plan</v>
      </c>
      <c r="M7" s="422">
        <f>+M6</f>
        <v>4188.18</v>
      </c>
      <c r="N7" s="422">
        <f>+FEE_ByContextArea_ByMode!AC28</f>
        <v>4147.9218789301776</v>
      </c>
      <c r="O7" s="422">
        <f>+FEE_ByContextArea_ByMode!AD28*C3</f>
        <v>102.25510554887903</v>
      </c>
      <c r="P7" s="422">
        <f>+FEE_ByContextArea_ByMode!AE28</f>
        <v>33.081246708021609</v>
      </c>
      <c r="Q7" s="580">
        <f>SUM(N7:P7)</f>
        <v>4283.2582311870783</v>
      </c>
      <c r="R7" s="877">
        <f>+(Q7-M7)/M7</f>
        <v>2.2701562775973815E-2</v>
      </c>
      <c r="T7" s="577" t="str">
        <f>L7</f>
        <v>Ring 2 Out SMART Plan</v>
      </c>
      <c r="U7" s="422">
        <f>+U6</f>
        <v>13259.2</v>
      </c>
      <c r="V7" s="422">
        <f>+FEE_ByContextArea_ByMode!AC72</f>
        <v>12349.330733972771</v>
      </c>
      <c r="W7" s="422">
        <f>+FEE_ByContextArea_ByMode!AD72*C3</f>
        <v>304.28220717989922</v>
      </c>
      <c r="X7" s="422">
        <f>+FEE_ByContextArea_ByMode!AE72</f>
        <v>99.068405621608051</v>
      </c>
      <c r="Y7" s="580">
        <f>SUM(V7:X7)</f>
        <v>12752.68134677428</v>
      </c>
      <c r="Z7" s="877">
        <f>+(Y7-U7)/U7</f>
        <v>-3.8201298209976559E-2</v>
      </c>
      <c r="AA7" t="s">
        <v>973</v>
      </c>
      <c r="AB7" s="577" t="str">
        <f>L7</f>
        <v>Ring 2 Out SMART Plan</v>
      </c>
      <c r="AC7" s="422">
        <f>+AC6</f>
        <v>13383.7</v>
      </c>
      <c r="AD7" s="422">
        <f>+FEE_ByContextArea_ByMode!AC99</f>
        <v>13336.780387674762</v>
      </c>
      <c r="AE7" s="422">
        <f>+FEE_ByContextArea_ByMode!AD99*C3</f>
        <v>328.61254269200117</v>
      </c>
      <c r="AF7" s="422">
        <f>+FEE_ByContextArea_ByMode!AE89</f>
        <v>104.22915029640636</v>
      </c>
      <c r="AG7" s="581">
        <f>SUM(AD7:AF7)</f>
        <v>13769.62208066317</v>
      </c>
      <c r="AH7" s="877">
        <f>+(AG7-AC7)/AC7</f>
        <v>2.8835230964768279E-2</v>
      </c>
      <c r="AI7" s="578"/>
      <c r="AJ7" s="577" t="str">
        <f>T7</f>
        <v>Ring 2 Out SMART Plan</v>
      </c>
      <c r="AK7" s="422">
        <f>+AK6</f>
        <v>5002.3</v>
      </c>
      <c r="AL7" s="422">
        <f>+FEE_ByContextArea_ByMode!AC20</f>
        <v>1618.4343430652029</v>
      </c>
      <c r="AM7" s="422">
        <f>+FEE_ByContextArea_ByMode!AD20</f>
        <v>79.755054697641228</v>
      </c>
      <c r="AN7" s="422">
        <f>+FEE_ByContextArea_ByMode!AE20</f>
        <v>12.983352169008144</v>
      </c>
      <c r="AO7" s="581">
        <f>SUM(AL7:AN7)</f>
        <v>1711.1727499318524</v>
      </c>
    </row>
    <row r="9" spans="1:47" x14ac:dyDescent="0.25">
      <c r="C9" t="s">
        <v>977</v>
      </c>
      <c r="D9" s="577" t="s">
        <v>978</v>
      </c>
      <c r="E9" s="422">
        <v>10096</v>
      </c>
      <c r="F9" s="422">
        <f>+FEE_ByContextArea_ByMode!Q25</f>
        <v>9218.4896179009975</v>
      </c>
      <c r="G9" s="649">
        <f>+FEE_ByContextArea_ByMode!R25*C3</f>
        <v>487.95746502110853</v>
      </c>
      <c r="H9" s="649">
        <f>+FEE_ByContextArea_ByMode!S25</f>
        <v>44.474496941823112</v>
      </c>
      <c r="I9" s="580">
        <f>SUM(F9:H9)</f>
        <v>9750.9215798639289</v>
      </c>
      <c r="J9" s="877">
        <f>+(I9-E9)/E9</f>
        <v>-3.41797167329706E-2</v>
      </c>
      <c r="L9" s="577" t="str">
        <f>D9</f>
        <v>Ring 3 In SMART Plan</v>
      </c>
      <c r="M9" s="422">
        <f>+M6*E9/E6</f>
        <v>4430.5665723982493</v>
      </c>
      <c r="N9" s="422">
        <f>+FEE_ByContextArea_ByMode!Q28</f>
        <v>4345.5803813198563</v>
      </c>
      <c r="O9" s="422">
        <f>+FEE_ByContextArea_ByMode!R28*C3</f>
        <v>230.02232196439971</v>
      </c>
      <c r="P9" s="422">
        <f>+FEE_ByContextArea_ByMode!S28</f>
        <v>20.965202477872129</v>
      </c>
      <c r="Q9" s="580">
        <f>SUM(N9:P9)</f>
        <v>4596.5679057621282</v>
      </c>
      <c r="R9" s="877">
        <f>+(Q9-M9)/M9</f>
        <v>3.7467292422156989E-2</v>
      </c>
      <c r="T9" s="577" t="str">
        <f>L9</f>
        <v>Ring 3 In SMART Plan</v>
      </c>
      <c r="U9" s="422">
        <v>14022</v>
      </c>
      <c r="V9" s="422">
        <f>+FEE_ByContextArea_ByMode!Q72</f>
        <v>13036.612294274757</v>
      </c>
      <c r="W9" s="422">
        <f>+FEE_ByContextArea_ByMode!R72*C3</f>
        <v>697.71788131950029</v>
      </c>
      <c r="X9" s="422">
        <f>+FEE_ByContextArea_ByMode!S72</f>
        <v>62.648977103656335</v>
      </c>
      <c r="Y9" s="580">
        <f>SUM(V9:X9)</f>
        <v>13796.979152697913</v>
      </c>
      <c r="Z9" s="877">
        <f>+(Y9-U9)/U9</f>
        <v>-1.6047699850384154E-2</v>
      </c>
      <c r="AA9" t="s">
        <v>973</v>
      </c>
      <c r="AB9" s="577" t="str">
        <f>T9</f>
        <v>Ring 3 In SMART Plan</v>
      </c>
      <c r="AC9" s="422">
        <v>14857</v>
      </c>
      <c r="AD9" s="422">
        <f>+FEE_ByContextArea_ByMode!Q99</f>
        <v>14079.016823940106</v>
      </c>
      <c r="AE9" s="422">
        <f>+FEE_ByContextArea_ByMode!R99*C3</f>
        <v>753.5072431182989</v>
      </c>
      <c r="AF9" s="422">
        <f>+FEE_ByContextArea_ByMode!S99</f>
        <v>67.658374947023376</v>
      </c>
      <c r="AG9" s="581">
        <f>SUM(AD9:AF9)</f>
        <v>14900.182442005429</v>
      </c>
      <c r="AH9" s="877">
        <f>+(AG9-AC9)/AC9</f>
        <v>2.9065384670814457E-3</v>
      </c>
      <c r="AI9" s="578"/>
      <c r="AJ9" s="577" t="str">
        <f>AB9</f>
        <v>Ring 3 In SMART Plan</v>
      </c>
      <c r="AK9" s="422">
        <f>+AK7*AO17</f>
        <v>5552.9615203568519</v>
      </c>
      <c r="AL9" s="422">
        <f>+FEE_ByContextArea_ByMode!U20</f>
        <v>1483.9120047287395</v>
      </c>
      <c r="AM9" s="422">
        <f>+FEE_ByContextArea_ByMode!V20</f>
        <v>291.3686857783452</v>
      </c>
      <c r="AN9" s="422">
        <f>+FEE_ByContextArea_ByMode!W20</f>
        <v>7.8711766118785063</v>
      </c>
      <c r="AO9" s="581">
        <f>SUM(AL9:AN9)</f>
        <v>1783.1518671189633</v>
      </c>
    </row>
    <row r="10" spans="1:47" x14ac:dyDescent="0.25">
      <c r="C10" t="s">
        <v>977</v>
      </c>
      <c r="D10" s="577" t="s">
        <v>979</v>
      </c>
      <c r="E10" s="422">
        <f>+E9</f>
        <v>10096</v>
      </c>
      <c r="F10" s="422">
        <f>+FEE_ByContextArea_ByMode!U25</f>
        <v>7980.1108238479956</v>
      </c>
      <c r="G10" s="422">
        <f>+FEE_ByContextArea_ByMode!V25*C3</f>
        <v>763.7738812720537</v>
      </c>
      <c r="H10" s="422">
        <f>+FEE_ByContextArea_ByMode!W25</f>
        <v>42.390266636781412</v>
      </c>
      <c r="I10" s="580">
        <f>SUM(F10:H10)</f>
        <v>8786.2749717568313</v>
      </c>
      <c r="J10" s="877">
        <f>+(I10-E10)/E10</f>
        <v>-0.12972712244880832</v>
      </c>
      <c r="L10" s="577" t="str">
        <f>D10</f>
        <v>Ring 4 In SMART Plan</v>
      </c>
      <c r="M10" s="422">
        <f>+M9</f>
        <v>4430.5665723982493</v>
      </c>
      <c r="N10" s="422">
        <f>+FEE_ByContextArea_ByMode!U28</f>
        <v>3761.8107167503804</v>
      </c>
      <c r="O10" s="422">
        <f>+FEE_ByContextArea_ByMode!V28*C3</f>
        <v>360.04171309964408</v>
      </c>
      <c r="P10" s="422">
        <f>+FEE_ByContextArea_ByMode!W28</f>
        <v>19.982699844669213</v>
      </c>
      <c r="Q10" s="580">
        <f>SUM(N10:P10)</f>
        <v>4141.835129694693</v>
      </c>
      <c r="R10" s="877">
        <f>+(Q10-M10)/M10</f>
        <v>-6.5168063268095072E-2</v>
      </c>
      <c r="T10" s="577" t="str">
        <f>L10</f>
        <v>Ring 4 In SMART Plan</v>
      </c>
      <c r="U10" s="422">
        <v>14022</v>
      </c>
      <c r="V10" s="422">
        <f>+FEE_ByContextArea_ByMode!U72</f>
        <v>11322.869046266578</v>
      </c>
      <c r="W10" s="422">
        <f>+FEE_ByContextArea_ByMode!V72*C3</f>
        <v>1111.6324494773803</v>
      </c>
      <c r="X10" s="422">
        <f>+FEE_ByContextArea_ByMode!W72</f>
        <v>60.060368628548545</v>
      </c>
      <c r="Y10" s="580">
        <f>SUM(V10:X10)</f>
        <v>12494.561864372507</v>
      </c>
      <c r="Z10" s="877">
        <f>+(Y10-U10)/U10</f>
        <v>-0.10893154582994534</v>
      </c>
      <c r="AA10" t="s">
        <v>973</v>
      </c>
      <c r="AB10" s="577" t="str">
        <f>T10</f>
        <v>Ring 4 In SMART Plan</v>
      </c>
      <c r="AC10" s="422">
        <v>14857</v>
      </c>
      <c r="AD10" s="422">
        <f>+FEE_ByContextArea_ByMode!U99</f>
        <v>12228.243058794311</v>
      </c>
      <c r="AE10" s="422">
        <f>+FEE_ByContextArea_ByMode!V99*C3</f>
        <v>1200.518325232626</v>
      </c>
      <c r="AF10" s="422">
        <f>+FEE_ByContextArea_ByMode!W99</f>
        <v>64.862781931831705</v>
      </c>
      <c r="AG10" s="581">
        <f>SUM(AD10:AF10)</f>
        <v>13493.624165958769</v>
      </c>
      <c r="AH10" s="877">
        <f>+(AG10-AC10)/AC10</f>
        <v>-9.1766563508193538E-2</v>
      </c>
      <c r="AI10" s="578"/>
      <c r="AJ10" s="577" t="str">
        <f>AB10</f>
        <v>Ring 4 In SMART Plan</v>
      </c>
      <c r="AK10" s="422">
        <f>+AK11</f>
        <v>5552.9615203568519</v>
      </c>
      <c r="AL10" s="422">
        <f>+FEE_ByContextArea_ByMode!U20</f>
        <v>1483.9120047287395</v>
      </c>
      <c r="AM10" s="422">
        <f>+FEE_ByContextArea_ByMode!V20</f>
        <v>291.3686857783452</v>
      </c>
      <c r="AN10" s="422">
        <f>+FEE_ByContextArea_ByMode!W20</f>
        <v>7.8711766118785063</v>
      </c>
      <c r="AO10" s="581">
        <f>SUM(AL10:AN10)</f>
        <v>1783.1518671189633</v>
      </c>
    </row>
    <row r="11" spans="1:47" x14ac:dyDescent="0.25">
      <c r="C11" t="s">
        <v>977</v>
      </c>
      <c r="D11" s="577" t="s">
        <v>980</v>
      </c>
      <c r="E11" s="422">
        <v>10096</v>
      </c>
      <c r="F11" s="422">
        <f>+FEE_ByContextArea_ByMode!AG25</f>
        <v>9765.153041384101</v>
      </c>
      <c r="G11" s="422">
        <f>+FEE_ByContextArea_ByMode!AH25*C3</f>
        <v>78.815052767024454</v>
      </c>
      <c r="H11" s="422">
        <f>+FEE_ByContextArea_ByMode!AI25</f>
        <v>69.007235103160085</v>
      </c>
      <c r="I11" s="580">
        <f>SUM(F11:H11)</f>
        <v>9912.9753292542846</v>
      </c>
      <c r="J11" s="877">
        <f t="shared" si="4"/>
        <v>-1.8128434107142967E-2</v>
      </c>
      <c r="L11" s="577" t="str">
        <f>D11</f>
        <v>Ring 3 Out SMART Plan</v>
      </c>
      <c r="M11" s="422">
        <f>+M10</f>
        <v>4430.5665723982493</v>
      </c>
      <c r="N11" s="422">
        <f>+FEE_ByContextArea_ByMode!AG28</f>
        <v>4603.2765926016173</v>
      </c>
      <c r="O11" s="422">
        <f>+FEE_ByContextArea_ByMode!AH28*C3</f>
        <v>37.153282289540137</v>
      </c>
      <c r="P11" s="422">
        <f>+FEE_ByContextArea_ByMode!AI28</f>
        <v>32.529893666214242</v>
      </c>
      <c r="Q11" s="580">
        <f>SUM(N11:P11)</f>
        <v>4672.9597685573717</v>
      </c>
      <c r="R11" s="877">
        <f t="shared" si="7"/>
        <v>5.470930008572604E-2</v>
      </c>
      <c r="T11" s="577" t="str">
        <f>L11</f>
        <v>Ring 3 Out SMART Plan</v>
      </c>
      <c r="U11" s="422">
        <v>14022</v>
      </c>
      <c r="V11" s="422">
        <f>+FEE_ByContextArea_ByMode!AG72</f>
        <v>13737.14197762925</v>
      </c>
      <c r="W11" s="422">
        <f>+FEE_ByContextArea_ByMode!AH72*C3</f>
        <v>111.25602217705361</v>
      </c>
      <c r="X11" s="422">
        <f>+FEE_ByContextArea_ByMode!AI72</f>
        <v>96.930976415558547</v>
      </c>
      <c r="Y11" s="580">
        <f>SUM(V11:X11)</f>
        <v>13945.328976221861</v>
      </c>
      <c r="Z11" s="877">
        <f t="shared" si="9"/>
        <v>-5.4679092695862925E-3</v>
      </c>
      <c r="AB11" s="577" t="str">
        <f>T11</f>
        <v>Ring 3 Out SMART Plan</v>
      </c>
      <c r="AC11" s="422">
        <v>14857</v>
      </c>
      <c r="AD11" s="422">
        <f>+FEE_ByContextArea_ByMode!AG99</f>
        <v>14835.560700139351</v>
      </c>
      <c r="AE11" s="422">
        <f>+FEE_ByContextArea_ByMode!AH99*C3</f>
        <v>120.15202819855978</v>
      </c>
      <c r="AF11" s="422">
        <f>+FEE_ByContextArea_ByMode!AI99</f>
        <v>104.68155506280708</v>
      </c>
      <c r="AG11" s="581">
        <f>SUM(AD11:AF11)</f>
        <v>15060.394283400718</v>
      </c>
      <c r="AH11" s="877">
        <f t="shared" si="12"/>
        <v>1.3690131480158681E-2</v>
      </c>
      <c r="AI11" s="578"/>
      <c r="AJ11" s="577" t="str">
        <f>AB11</f>
        <v>Ring 3 Out SMART Plan</v>
      </c>
      <c r="AK11" s="422">
        <f>+AK9</f>
        <v>5552.9615203568519</v>
      </c>
      <c r="AL11" s="422">
        <f>+FEE_ByContextArea_ByMode!AG20</f>
        <v>1800.3131368889647</v>
      </c>
      <c r="AM11" s="422">
        <f>+FEE_ByContextArea_ByMode!AH20</f>
        <v>29.161186309283028</v>
      </c>
      <c r="AN11" s="422">
        <f>+FEE_ByContextArea_ByMode!AI20</f>
        <v>12.703232629944811</v>
      </c>
      <c r="AO11" s="581">
        <f>SUM(AL11:AN11)</f>
        <v>1842.1775558281925</v>
      </c>
    </row>
    <row r="12" spans="1:47" x14ac:dyDescent="0.25">
      <c r="C12" t="s">
        <v>977</v>
      </c>
      <c r="D12" s="577" t="s">
        <v>981</v>
      </c>
      <c r="E12" s="422">
        <v>10096</v>
      </c>
      <c r="F12" s="422">
        <f>+FEE_ByContextArea_ByMode!AK25</f>
        <v>10073.363921374925</v>
      </c>
      <c r="G12" s="422">
        <f>+FEE_ByContextArea_ByMode!AL25*C3</f>
        <v>303.67485498785834</v>
      </c>
      <c r="H12" s="422">
        <f>+FEE_ByContextArea_ByMode!AM25</f>
        <v>38.850955490641837</v>
      </c>
      <c r="I12" s="580">
        <f>SUM(F12:H12)</f>
        <v>10415.889731853424</v>
      </c>
      <c r="J12" s="877">
        <f t="shared" si="4"/>
        <v>3.1684799113849409E-2</v>
      </c>
      <c r="L12" s="577" t="str">
        <f>D12</f>
        <v>Ring 4 Out SMART Plan</v>
      </c>
      <c r="M12" s="422">
        <f>+M10</f>
        <v>4430.5665723982493</v>
      </c>
      <c r="N12" s="422">
        <f>+FEE_ByContextArea_ByMode!AK28</f>
        <v>4748.5666790379682</v>
      </c>
      <c r="O12" s="422">
        <f>+FEE_ByContextArea_ByMode!AL28*C3</f>
        <v>143.1518119381324</v>
      </c>
      <c r="P12" s="422">
        <f>+FEE_ByContextArea_ByMode!AM28</f>
        <v>18.314274569211459</v>
      </c>
      <c r="Q12" s="580">
        <f>SUM(N12:P12)</f>
        <v>4910.032765545312</v>
      </c>
      <c r="R12" s="877">
        <f t="shared" si="7"/>
        <v>0.10821780585220492</v>
      </c>
      <c r="T12" s="577" t="str">
        <f>L12</f>
        <v>Ring 4 Out SMART Plan</v>
      </c>
      <c r="U12" s="422">
        <v>14022</v>
      </c>
      <c r="V12" s="422">
        <f>+FEE_ByContextArea_ByMode!AK72</f>
        <v>14148.735260870493</v>
      </c>
      <c r="W12" s="422">
        <f>+FEE_ByContextArea_ByMode!AL72*C3</f>
        <v>439.4876305393168</v>
      </c>
      <c r="X12" s="422">
        <f>+FEE_ByContextArea_ByMode!AM72</f>
        <v>54.490762223143399</v>
      </c>
      <c r="Y12" s="580">
        <f>SUM(V12:X12)</f>
        <v>14642.713653632954</v>
      </c>
      <c r="Z12" s="877">
        <f t="shared" si="9"/>
        <v>4.4267126917198293E-2</v>
      </c>
      <c r="AA12" t="s">
        <v>973</v>
      </c>
      <c r="AB12" s="577" t="str">
        <f>T12</f>
        <v>Ring 4 Out SMART Plan</v>
      </c>
      <c r="AC12" s="422">
        <v>14857</v>
      </c>
      <c r="AD12" s="422">
        <f>+FEE_ByContextArea_ByMode!AK99</f>
        <v>15280.064887927396</v>
      </c>
      <c r="AE12" s="422">
        <f>+FEE_ByContextArea_ByMode!AL99*C3</f>
        <v>474.62896069970441</v>
      </c>
      <c r="AF12" s="422">
        <f>+FEE_ByContextArea_ByMode!AM99</f>
        <v>58.847831075399412</v>
      </c>
      <c r="AG12" s="581">
        <f>SUM(AD12:AF12)</f>
        <v>15813.541679702501</v>
      </c>
      <c r="AH12" s="877">
        <f t="shared" si="12"/>
        <v>6.4383232126438775E-2</v>
      </c>
      <c r="AI12" s="578"/>
      <c r="AJ12" s="577" t="str">
        <f>AB12</f>
        <v>Ring 4 Out SMART Plan</v>
      </c>
      <c r="AK12" s="422">
        <f>+AK10</f>
        <v>5552.9615203568519</v>
      </c>
      <c r="AL12" s="422">
        <f>+FEE_ByContextArea_ByMode!AK20</f>
        <v>1854.2542547780552</v>
      </c>
      <c r="AM12" s="422">
        <f>+FEE_ByContextArea_ByMode!AL20</f>
        <v>115.19359063895814</v>
      </c>
      <c r="AN12" s="422">
        <f>+FEE_ByContextArea_ByMode!AM20</f>
        <v>7.141255089972371</v>
      </c>
      <c r="AO12" s="581">
        <f>SUM(AL12:AN12)</f>
        <v>1976.5891005069857</v>
      </c>
    </row>
    <row r="13" spans="1:47" x14ac:dyDescent="0.25">
      <c r="D13" s="577"/>
      <c r="E13" s="422"/>
      <c r="F13" s="422"/>
      <c r="G13" s="422"/>
      <c r="H13" s="422"/>
      <c r="I13" s="580"/>
      <c r="J13" s="877"/>
      <c r="L13" s="577"/>
      <c r="M13" s="422"/>
      <c r="N13" s="422"/>
      <c r="O13" s="422"/>
      <c r="P13" s="422"/>
      <c r="Q13" s="580"/>
      <c r="R13" s="877"/>
      <c r="T13" s="577"/>
      <c r="U13" s="422"/>
      <c r="V13" s="422"/>
      <c r="W13" s="422"/>
      <c r="X13" s="422"/>
      <c r="Y13" s="580"/>
      <c r="Z13" s="877"/>
      <c r="AB13" s="577"/>
      <c r="AC13" s="422"/>
      <c r="AD13" s="422"/>
      <c r="AE13" s="422"/>
      <c r="AF13" s="422"/>
      <c r="AG13" s="581"/>
      <c r="AH13" s="877"/>
      <c r="AI13" s="578"/>
      <c r="AJ13" s="577"/>
      <c r="AK13" s="422"/>
      <c r="AL13" s="422"/>
      <c r="AM13" s="422"/>
      <c r="AN13" s="422"/>
      <c r="AO13" s="581"/>
    </row>
    <row r="14" spans="1:47" x14ac:dyDescent="0.25">
      <c r="D14" s="577" t="s">
        <v>982</v>
      </c>
      <c r="E14" s="2">
        <f>I14/(AVERAGE(G14:H14))</f>
        <v>-3.7186662534378023E-2</v>
      </c>
      <c r="G14" s="422">
        <f>E5</f>
        <v>9543.67</v>
      </c>
      <c r="H14" s="422">
        <f>AVERAGE(I5:I10)</f>
        <v>9195.2510336319847</v>
      </c>
      <c r="I14" s="422">
        <f>H14-G14</f>
        <v>-348.41896636801539</v>
      </c>
      <c r="J14" s="422"/>
      <c r="L14" s="577" t="s">
        <v>982</v>
      </c>
      <c r="M14" s="2">
        <f>Q14/(AVERAGE(O14:P14))</f>
        <v>3.436562004175326E-2</v>
      </c>
      <c r="O14" s="422">
        <f>M5</f>
        <v>4188.18</v>
      </c>
      <c r="P14" s="422">
        <f>AVERAGE(Q5:Q10)</f>
        <v>4334.6257520828749</v>
      </c>
      <c r="Q14" s="422">
        <f>P14-O14</f>
        <v>146.44575208287461</v>
      </c>
      <c r="R14" s="422"/>
      <c r="T14" s="577" t="s">
        <v>982</v>
      </c>
      <c r="U14" s="2">
        <f>Y14/(AVERAGE(W14:X14))</f>
        <v>4.8692377704040141E-2</v>
      </c>
      <c r="W14" s="422">
        <f>AVERAGE(Y5:Y10)</f>
        <v>12628.922871545064</v>
      </c>
      <c r="X14" s="422">
        <f>U5</f>
        <v>13259.2</v>
      </c>
      <c r="Y14" s="422">
        <f>X14-W14</f>
        <v>630.27712845493625</v>
      </c>
      <c r="Z14" s="422"/>
      <c r="AB14" s="577" t="s">
        <v>982</v>
      </c>
      <c r="AC14" s="2">
        <f>AG14/(AVERAGE(AE14:AF14))</f>
        <v>-1.8834850347325023E-2</v>
      </c>
      <c r="AE14" s="422">
        <f>AVERAGE(AG5:AG10)</f>
        <v>13638.176499990612</v>
      </c>
      <c r="AF14" s="422">
        <f>AC5</f>
        <v>13383.7</v>
      </c>
      <c r="AG14" s="422">
        <f>AF14-AE14</f>
        <v>-254.47649999061105</v>
      </c>
      <c r="AH14" s="422"/>
      <c r="AJ14" s="577" t="s">
        <v>982</v>
      </c>
      <c r="AK14" s="2">
        <f>AO14/(AVERAGE(AM14:AN14))</f>
        <v>0.95957142528712414</v>
      </c>
      <c r="AM14" s="422">
        <f>AVERAGE(AO5:AO10)</f>
        <v>1758.5437590110869</v>
      </c>
      <c r="AN14" s="422">
        <f>AK5</f>
        <v>5002.3</v>
      </c>
      <c r="AO14" s="422">
        <f>AN14-AM14</f>
        <v>3243.7562409889133</v>
      </c>
    </row>
    <row r="15" spans="1:47" x14ac:dyDescent="0.25">
      <c r="D15" s="577" t="s">
        <v>983</v>
      </c>
      <c r="E15" s="2">
        <f>I15/(AVERAGE(G15:H15))</f>
        <v>-3.8307563587502251E-2</v>
      </c>
      <c r="G15" s="422">
        <f>E9</f>
        <v>10096</v>
      </c>
      <c r="H15" s="422">
        <f>AVERAGE(I9:I12)</f>
        <v>9716.5154031821166</v>
      </c>
      <c r="I15" s="422">
        <f>H15-G15</f>
        <v>-379.48459681788336</v>
      </c>
      <c r="J15" s="422"/>
      <c r="L15" s="577" t="s">
        <v>983</v>
      </c>
      <c r="M15" s="2">
        <f>Q15/(AVERAGE(O15:P15))</f>
        <v>3.3244639920756013E-2</v>
      </c>
      <c r="O15" s="422">
        <f>M9</f>
        <v>4430.5665723982493</v>
      </c>
      <c r="P15" s="422">
        <f>AVERAGE(Q9:Q12)</f>
        <v>4580.3488923898758</v>
      </c>
      <c r="Q15" s="422">
        <f>P15-O15</f>
        <v>149.78231999162654</v>
      </c>
      <c r="R15" s="422"/>
      <c r="T15" s="577" t="s">
        <v>983</v>
      </c>
      <c r="U15" s="2">
        <f>Y15/(AVERAGE(W15:X15))</f>
        <v>2.3653926887996089E-2</v>
      </c>
      <c r="W15" s="422">
        <f>AVERAGE(Y10:Y12)</f>
        <v>13694.201498075774</v>
      </c>
      <c r="X15" s="422">
        <f>U9</f>
        <v>14022</v>
      </c>
      <c r="Y15" s="422">
        <f>X15-W15</f>
        <v>327.798501924226</v>
      </c>
      <c r="Z15" s="422"/>
      <c r="AB15" s="577" t="s">
        <v>983</v>
      </c>
      <c r="AC15" s="2">
        <f>AG15/(AVERAGE(AE15:AF15))</f>
        <v>4.5748406684972256E-3</v>
      </c>
      <c r="AE15" s="422">
        <f>AVERAGE(AG10:AG12)</f>
        <v>14789.18670968733</v>
      </c>
      <c r="AF15" s="422">
        <f>AC9</f>
        <v>14857</v>
      </c>
      <c r="AG15" s="422">
        <f>AF15-AE15</f>
        <v>67.813290312669778</v>
      </c>
      <c r="AH15" s="422"/>
      <c r="AJ15" s="577" t="s">
        <v>983</v>
      </c>
      <c r="AK15" s="2">
        <f>AO15/(AVERAGE(AM15:AN15))</f>
        <v>0.99340225917572711</v>
      </c>
      <c r="AM15" s="422">
        <f>AVERAGE(AO10:AO12)</f>
        <v>1867.3061744847139</v>
      </c>
      <c r="AN15" s="422">
        <f>AK9</f>
        <v>5552.9615203568519</v>
      </c>
      <c r="AO15" s="422">
        <f>AN15-AM15</f>
        <v>3685.6553458721382</v>
      </c>
    </row>
    <row r="17" spans="31:41" x14ac:dyDescent="0.25">
      <c r="AE17" t="s">
        <v>984</v>
      </c>
      <c r="AO17" s="797">
        <f>+AC9/AC7</f>
        <v>1.1100816665047781</v>
      </c>
    </row>
    <row r="69" spans="3:22" x14ac:dyDescent="0.25">
      <c r="C69" s="574"/>
      <c r="D69" s="574"/>
      <c r="E69" s="574" t="s">
        <v>963</v>
      </c>
      <c r="F69" s="574"/>
      <c r="G69" s="574" t="s">
        <v>964</v>
      </c>
      <c r="H69" s="574"/>
    </row>
    <row r="70" spans="3:22" x14ac:dyDescent="0.25">
      <c r="C70" s="574" t="str">
        <f>RoadCapCost!A11</f>
        <v xml:space="preserve">  Class II arterial add 2 lanes</v>
      </c>
      <c r="D70" s="574"/>
      <c r="E70" s="574" t="s">
        <v>677</v>
      </c>
      <c r="F70" s="574" t="s">
        <v>676</v>
      </c>
      <c r="G70" s="574" t="s">
        <v>677</v>
      </c>
      <c r="H70" s="574" t="s">
        <v>674</v>
      </c>
    </row>
    <row r="71" spans="3:22" x14ac:dyDescent="0.25">
      <c r="C71" s="574"/>
      <c r="D71" s="575" t="s">
        <v>104</v>
      </c>
      <c r="E71" s="575" t="str">
        <f>RoadCapCost!Q11</f>
        <v>E</v>
      </c>
      <c r="F71" s="195">
        <f>RoadCapCost!T11</f>
        <v>402.63157894736844</v>
      </c>
      <c r="G71" s="575" t="str">
        <f>RoadCapCost!AH11</f>
        <v>E</v>
      </c>
      <c r="H71" s="195">
        <f>RoadCapCost!AJ11</f>
        <v>402.63157894736844</v>
      </c>
      <c r="I71" s="576"/>
      <c r="J71" s="576"/>
      <c r="K71" s="576"/>
      <c r="L71" s="576"/>
      <c r="M71" s="576"/>
      <c r="N71" s="576"/>
      <c r="O71" s="576"/>
      <c r="P71" s="576"/>
      <c r="S71" s="576"/>
      <c r="T71" s="576"/>
      <c r="U71" s="576"/>
      <c r="V71" s="576"/>
    </row>
    <row r="72" spans="3:22" x14ac:dyDescent="0.25">
      <c r="C72" s="574"/>
      <c r="D72" s="575" t="s">
        <v>105</v>
      </c>
      <c r="E72" s="575" t="str">
        <f>RoadCapCost!U11</f>
        <v>E</v>
      </c>
      <c r="F72" s="195">
        <f>RoadCapCost!X11</f>
        <v>402.63157894736844</v>
      </c>
      <c r="G72" s="575" t="str">
        <f>RoadCapCost!AL11</f>
        <v>E</v>
      </c>
      <c r="H72" s="195">
        <f>RoadCapCost!AN11</f>
        <v>402.63157894736844</v>
      </c>
    </row>
    <row r="73" spans="3:22" x14ac:dyDescent="0.25">
      <c r="C73" s="574"/>
      <c r="D73" s="575" t="s">
        <v>106</v>
      </c>
      <c r="E73" s="575" t="str">
        <f>RoadCapCost!Y11</f>
        <v>E</v>
      </c>
      <c r="F73" s="195">
        <f>RoadCapCost!AB11</f>
        <v>402.63157894736844</v>
      </c>
      <c r="G73" s="575" t="str">
        <f>RoadCapCost!AP11</f>
        <v>E</v>
      </c>
      <c r="H73" s="195">
        <f>RoadCapCost!AR11</f>
        <v>402.63157894736844</v>
      </c>
    </row>
    <row r="74" spans="3:22" x14ac:dyDescent="0.25">
      <c r="C74" s="574"/>
      <c r="D74" s="575" t="s">
        <v>107</v>
      </c>
      <c r="E74" s="575" t="str">
        <f>RoadCapCost!AC11</f>
        <v>E</v>
      </c>
      <c r="F74" s="195">
        <f>RoadCapCost!AF11</f>
        <v>402.63157894736844</v>
      </c>
      <c r="G74" s="575" t="str">
        <f>RoadCapCost!AT11</f>
        <v>E</v>
      </c>
      <c r="H74" s="195">
        <f>RoadCapCost!AV11</f>
        <v>402.63157894736844</v>
      </c>
    </row>
    <row r="75" spans="3:22" x14ac:dyDescent="0.25">
      <c r="F75" s="194"/>
      <c r="H75" s="194"/>
    </row>
    <row r="76" spans="3:22" x14ac:dyDescent="0.25">
      <c r="F76" s="194"/>
      <c r="H76" s="194"/>
    </row>
    <row r="77" spans="3:22" x14ac:dyDescent="0.25">
      <c r="F77" s="194"/>
      <c r="H77" s="194"/>
    </row>
    <row r="78" spans="3:22" x14ac:dyDescent="0.25">
      <c r="F78" s="194"/>
      <c r="H78" s="194"/>
    </row>
    <row r="79" spans="3:22" x14ac:dyDescent="0.25">
      <c r="F79" s="194"/>
      <c r="H79" s="194"/>
    </row>
    <row r="80" spans="3:22" x14ac:dyDescent="0.25">
      <c r="F80" s="194"/>
    </row>
    <row r="81" spans="6:6" x14ac:dyDescent="0.25">
      <c r="F81" s="194"/>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B9EF9-D8FA-4647-A3AD-13CB2DF97FE4}">
  <sheetPr>
    <tabColor theme="8" tint="-0.249977111117893"/>
  </sheetPr>
  <dimension ref="A1:AU81"/>
  <sheetViews>
    <sheetView topLeftCell="AC1" zoomScale="150" zoomScaleNormal="150" workbookViewId="0">
      <selection activeCell="A13" sqref="A13:XFD13"/>
    </sheetView>
  </sheetViews>
  <sheetFormatPr defaultColWidth="9" defaultRowHeight="15.75" x14ac:dyDescent="0.25"/>
  <cols>
    <col min="4" max="4" width="22.85546875" customWidth="1"/>
    <col min="5" max="5" width="11.140625" customWidth="1"/>
    <col min="12" max="12" width="24.5703125" customWidth="1"/>
    <col min="14" max="15" width="13.5703125" customWidth="1"/>
    <col min="17" max="17" width="9.42578125" bestFit="1" customWidth="1"/>
    <col min="18" max="18" width="9.42578125" customWidth="1"/>
    <col min="20" max="20" width="21.140625" customWidth="1"/>
    <col min="28" max="28" width="20.140625" customWidth="1"/>
    <col min="36" max="36" width="22.140625" customWidth="1"/>
    <col min="39" max="39" width="10.5703125" bestFit="1" customWidth="1"/>
  </cols>
  <sheetData>
    <row r="1" spans="1:47" s="876" customFormat="1" ht="33" customHeight="1" x14ac:dyDescent="0.25">
      <c r="A1" s="876" t="s">
        <v>955</v>
      </c>
    </row>
    <row r="2" spans="1:47" x14ac:dyDescent="0.25">
      <c r="I2" s="578"/>
      <c r="J2" s="578"/>
      <c r="Q2" s="578"/>
      <c r="R2" s="578"/>
      <c r="Y2" s="578"/>
      <c r="Z2" s="578"/>
    </row>
    <row r="3" spans="1:47" x14ac:dyDescent="0.25">
      <c r="B3" t="s">
        <v>985</v>
      </c>
      <c r="C3">
        <v>0.25</v>
      </c>
      <c r="D3" s="648" t="s">
        <v>956</v>
      </c>
      <c r="E3" s="577"/>
      <c r="F3" s="577"/>
      <c r="G3" s="577"/>
      <c r="H3" s="577"/>
      <c r="I3" s="579"/>
      <c r="J3" s="579"/>
      <c r="L3" s="577" t="s">
        <v>957</v>
      </c>
      <c r="M3" s="577"/>
      <c r="N3" s="577"/>
      <c r="O3" s="577"/>
      <c r="P3" s="577"/>
      <c r="Q3" s="579"/>
      <c r="R3" s="579"/>
      <c r="T3" s="577" t="s">
        <v>958</v>
      </c>
      <c r="U3" s="577"/>
      <c r="V3" s="577"/>
      <c r="W3" s="577"/>
      <c r="X3" s="577"/>
      <c r="Y3" s="579"/>
      <c r="Z3" s="579"/>
      <c r="AB3" s="577" t="s">
        <v>959</v>
      </c>
      <c r="AC3" s="577"/>
      <c r="AD3" s="577" t="s">
        <v>965</v>
      </c>
      <c r="AE3" s="577"/>
      <c r="AF3" s="577"/>
      <c r="AG3" s="579"/>
      <c r="AH3" s="579"/>
      <c r="AI3" s="578"/>
      <c r="AJ3" s="577" t="s">
        <v>966</v>
      </c>
      <c r="AK3" s="577"/>
      <c r="AL3" s="577" t="s">
        <v>965</v>
      </c>
      <c r="AM3" s="577"/>
      <c r="AN3" s="577"/>
      <c r="AO3" s="579"/>
      <c r="AS3" t="s">
        <v>967</v>
      </c>
      <c r="AU3" s="2"/>
    </row>
    <row r="4" spans="1:47" x14ac:dyDescent="0.25">
      <c r="D4" s="577"/>
      <c r="E4" s="577" t="s">
        <v>968</v>
      </c>
      <c r="F4" s="577" t="s">
        <v>121</v>
      </c>
      <c r="G4" s="577" t="s">
        <v>63</v>
      </c>
      <c r="H4" s="577" t="s">
        <v>961</v>
      </c>
      <c r="I4" s="579" t="s">
        <v>962</v>
      </c>
      <c r="J4" s="579" t="s">
        <v>969</v>
      </c>
      <c r="L4" s="577"/>
      <c r="M4" s="577" t="str">
        <f>E4</f>
        <v>RIF</v>
      </c>
      <c r="N4" s="577" t="s">
        <v>121</v>
      </c>
      <c r="O4" s="577" t="s">
        <v>63</v>
      </c>
      <c r="P4" s="577" t="s">
        <v>961</v>
      </c>
      <c r="Q4" s="579" t="s">
        <v>962</v>
      </c>
      <c r="R4" s="579" t="s">
        <v>969</v>
      </c>
      <c r="T4" s="577"/>
      <c r="U4" s="577" t="str">
        <f>E4</f>
        <v>RIF</v>
      </c>
      <c r="V4" s="577" t="s">
        <v>121</v>
      </c>
      <c r="W4" s="577" t="s">
        <v>63</v>
      </c>
      <c r="X4" s="577" t="s">
        <v>961</v>
      </c>
      <c r="Y4" s="579" t="s">
        <v>962</v>
      </c>
      <c r="Z4" s="579" t="s">
        <v>969</v>
      </c>
      <c r="AB4" s="577"/>
      <c r="AC4" s="577" t="str">
        <f>E4</f>
        <v>RIF</v>
      </c>
      <c r="AD4" s="577" t="s">
        <v>121</v>
      </c>
      <c r="AE4" s="577" t="s">
        <v>63</v>
      </c>
      <c r="AF4" s="577" t="s">
        <v>961</v>
      </c>
      <c r="AG4" s="579" t="s">
        <v>962</v>
      </c>
      <c r="AH4" s="579" t="s">
        <v>969</v>
      </c>
      <c r="AI4" s="578"/>
      <c r="AJ4" s="577"/>
      <c r="AK4" s="577" t="str">
        <f>M4</f>
        <v>RIF</v>
      </c>
      <c r="AL4" s="577" t="s">
        <v>121</v>
      </c>
      <c r="AM4" s="577" t="s">
        <v>63</v>
      </c>
      <c r="AN4" s="577" t="s">
        <v>961</v>
      </c>
      <c r="AO4" s="579" t="s">
        <v>962</v>
      </c>
      <c r="AS4" t="s">
        <v>970</v>
      </c>
      <c r="AT4" s="422">
        <f>AVERAGE(M5,U5,AC5,E5)</f>
        <v>10093.6875</v>
      </c>
      <c r="AU4" s="2">
        <f>(AT5-AT4)/(AT4+AT5)</f>
        <v>3.6175759371584508E-2</v>
      </c>
    </row>
    <row r="5" spans="1:47" x14ac:dyDescent="0.25">
      <c r="C5" t="s">
        <v>971</v>
      </c>
      <c r="D5" s="577" t="s">
        <v>972</v>
      </c>
      <c r="E5" s="422">
        <f>+FEE_1_In!G22</f>
        <v>9543.67</v>
      </c>
      <c r="F5" s="422">
        <f>+FEE_ByContextArea_ByMode!I25</f>
        <v>7843.4177405852297</v>
      </c>
      <c r="G5" s="422">
        <f>+FEE_ByContextArea_ByMode!J25*$C$3</f>
        <v>424.43334075832445</v>
      </c>
      <c r="H5" s="422">
        <f>+FEE_ByContextArea_ByMode!K25</f>
        <v>110.50661530115225</v>
      </c>
      <c r="I5" s="580">
        <f t="shared" ref="I5:I6" si="0">SUM(F5:H5)</f>
        <v>8378.3576966447054</v>
      </c>
      <c r="J5" s="877">
        <f>+(I5-E5)/E5</f>
        <v>-0.12210316401921846</v>
      </c>
      <c r="L5" s="577" t="str">
        <f>D5</f>
        <v>Ring 1 In SMART Plan</v>
      </c>
      <c r="M5" s="422">
        <f>+FEE_ByContextArea!G28</f>
        <v>4188.18</v>
      </c>
      <c r="N5" s="422">
        <f>+FEE_ByContextArea_ByMode!I28</f>
        <v>3697.3738289835037</v>
      </c>
      <c r="O5" s="422">
        <f>+FEE_ByContextArea_ByMode!J28*C3</f>
        <v>200.07715745493053</v>
      </c>
      <c r="P5" s="422">
        <f>+FEE_ByContextArea_ByMode!K28</f>
        <v>52.092631153615216</v>
      </c>
      <c r="Q5" s="580">
        <f t="shared" ref="Q5:Q6" si="1">SUM(N5:P5)</f>
        <v>3949.543617592049</v>
      </c>
      <c r="R5" s="877">
        <f>+(Q5-M5)/M5</f>
        <v>-5.6978540179254772E-2</v>
      </c>
      <c r="T5" s="577" t="str">
        <f>L5</f>
        <v>Ring 1 In SMART Plan</v>
      </c>
      <c r="U5" s="422">
        <f>+FEE_ByContextArea_ByMode!G72</f>
        <v>13259.2</v>
      </c>
      <c r="V5" s="422">
        <f>+FEE_ByContextArea_ByMode!I72</f>
        <v>8998.6743192378799</v>
      </c>
      <c r="W5" s="422">
        <f>+FEE_ByContextArea_ByMode!J72*C3</f>
        <v>765.05606630145542</v>
      </c>
      <c r="X5" s="422">
        <f>+FEE_ByContextArea_ByMode!K72</f>
        <v>192.26570766961737</v>
      </c>
      <c r="Y5" s="580">
        <f t="shared" ref="Y5:Y6" si="2">SUM(V5:X5)</f>
        <v>9955.9960932089525</v>
      </c>
      <c r="Z5" s="877">
        <f>+(Y5-U5)/U5</f>
        <v>-0.24912543040236576</v>
      </c>
      <c r="AA5" t="s">
        <v>973</v>
      </c>
      <c r="AB5" s="577" t="str">
        <f>T5</f>
        <v>Ring 1 In SMART Plan</v>
      </c>
      <c r="AC5" s="422">
        <f>+FEE_ByContextArea!G99</f>
        <v>13383.7</v>
      </c>
      <c r="AD5" s="422">
        <f>+FEE_ByContextArea_ByMode!I99</f>
        <v>9718.2062543462307</v>
      </c>
      <c r="AE5" s="422">
        <f>+FEE_ByContextArea_ByMode!J99*C3</f>
        <v>826.22977393030226</v>
      </c>
      <c r="AF5" s="422">
        <f>+FEE_ByContextArea_ByMode!K99</f>
        <v>207.6392295670309</v>
      </c>
      <c r="AG5" s="581">
        <f>SUM(AD5:AF5)</f>
        <v>10752.075257843564</v>
      </c>
      <c r="AH5" s="877">
        <f>+(AG5-AC5)/AC5</f>
        <v>-0.19662908927698891</v>
      </c>
      <c r="AI5" s="578"/>
      <c r="AJ5" s="577" t="str">
        <f>AB5</f>
        <v>Ring 1 In SMART Plan</v>
      </c>
      <c r="AK5" s="422">
        <f>+FEE_ByContextArea_ByMode!G20</f>
        <v>5002.3</v>
      </c>
      <c r="AL5" s="422">
        <f>+FEE_ByContextArea_ByMode!I20</f>
        <v>1179.3160191465954</v>
      </c>
      <c r="AM5" s="422">
        <f>+FEE_ByContextArea_ByMode!J20</f>
        <v>401.0559078044285</v>
      </c>
      <c r="AN5" s="422">
        <f>+FEE_ByContextArea_ByMode!K20</f>
        <v>25.197270280422764</v>
      </c>
      <c r="AO5" s="581">
        <f>SUM(AL5:AN5)</f>
        <v>1605.5691972314467</v>
      </c>
      <c r="AS5" t="s">
        <v>974</v>
      </c>
      <c r="AT5" s="422">
        <f>AVERAGE(E9,M9,U9,AC9)</f>
        <v>10851.391643099563</v>
      </c>
      <c r="AU5" s="2"/>
    </row>
    <row r="6" spans="1:47" x14ac:dyDescent="0.25">
      <c r="B6" s="422"/>
      <c r="C6" t="s">
        <v>971</v>
      </c>
      <c r="D6" s="577" t="s">
        <v>975</v>
      </c>
      <c r="E6" s="422">
        <f t="shared" ref="E6" si="3">+E5</f>
        <v>9543.67</v>
      </c>
      <c r="F6" s="422">
        <f>+FEE_ByContextArea_ByMode!M25</f>
        <v>8623.2698278700536</v>
      </c>
      <c r="G6" s="422">
        <f>+FEE_ByContextArea_ByMode!N25*C3</f>
        <v>426.62610990325862</v>
      </c>
      <c r="H6" s="422">
        <f>+FEE_ByContextArea_ByMode!O25</f>
        <v>73.462901705404533</v>
      </c>
      <c r="I6" s="580">
        <f t="shared" si="0"/>
        <v>9123.3588394787166</v>
      </c>
      <c r="J6" s="877">
        <f t="shared" ref="J6:J12" si="4">+(I6-E6)/E6</f>
        <v>-4.4040831307168356E-2</v>
      </c>
      <c r="L6" s="577" t="str">
        <f t="shared" ref="L6" si="5">D6</f>
        <v>Ring 2 In SMART Plan</v>
      </c>
      <c r="M6" s="422">
        <f t="shared" ref="M6" si="6">+M5</f>
        <v>4188.18</v>
      </c>
      <c r="N6" s="422">
        <f>+FEE_ByContextArea_ByMode!M28</f>
        <v>4064.9947811463717</v>
      </c>
      <c r="O6" s="422">
        <f>+FEE_ByContextArea_ByMode!N28*C3</f>
        <v>201.11082511329462</v>
      </c>
      <c r="P6" s="422">
        <f>+FEE_ByContextArea_ByMode!O28</f>
        <v>34.630287350534992</v>
      </c>
      <c r="Q6" s="580">
        <f t="shared" si="1"/>
        <v>4300.7358936102009</v>
      </c>
      <c r="R6" s="877">
        <f t="shared" ref="R6:R12" si="7">+(Q6-M6)/M6</f>
        <v>2.6874655246479532E-2</v>
      </c>
      <c r="T6" s="577" t="str">
        <f t="shared" ref="T6" si="8">L6</f>
        <v>Ring 2 In SMART Plan</v>
      </c>
      <c r="U6" s="422">
        <f>+U5</f>
        <v>13259.2</v>
      </c>
      <c r="V6" s="422">
        <f>+FEE_ByContextArea_ByMode!M72</f>
        <v>12084.042617697605</v>
      </c>
      <c r="W6" s="422">
        <f>+FEE_ByContextArea_ByMode!N72*C3</f>
        <v>596.1322456713915</v>
      </c>
      <c r="X6" s="422">
        <f>+FEE_ByContextArea_ByMode!O72</f>
        <v>103.03272532983547</v>
      </c>
      <c r="Y6" s="580">
        <f t="shared" si="2"/>
        <v>12783.207588698831</v>
      </c>
      <c r="Z6" s="877">
        <f t="shared" ref="Z6:Z12" si="9">+(Y6-U6)/U6</f>
        <v>-3.5899029451337133E-2</v>
      </c>
      <c r="AA6" t="s">
        <v>973</v>
      </c>
      <c r="AB6" s="577" t="str">
        <f t="shared" ref="AB6" si="10">T6</f>
        <v>Ring 2 In SMART Plan</v>
      </c>
      <c r="AC6" s="422">
        <f>+AC5</f>
        <v>13383.7</v>
      </c>
      <c r="AD6" s="422">
        <f>+FEE_ByContextArea_ByMode!M99</f>
        <v>13050.279894454625</v>
      </c>
      <c r="AE6" s="422">
        <f>+FEE_ByContextArea_ByMode!N99*C3</f>
        <v>643.79884333805217</v>
      </c>
      <c r="AF6" s="422">
        <f>+FEE_ByContextArea_ByMode!O99</f>
        <v>111.27119842109661</v>
      </c>
      <c r="AG6" s="581">
        <f t="shared" ref="AG6" si="11">SUM(AD6:AF6)</f>
        <v>13805.349936213774</v>
      </c>
      <c r="AH6" s="877">
        <f t="shared" ref="AH6:AH12" si="12">+(AG6-AC6)/AC6</f>
        <v>3.1504736075507737E-2</v>
      </c>
      <c r="AI6" s="578"/>
      <c r="AJ6" s="577" t="str">
        <f t="shared" ref="AJ6" si="13">AB6</f>
        <v>Ring 2 In SMART Plan</v>
      </c>
      <c r="AK6" s="422">
        <f>+AK5</f>
        <v>5002.3</v>
      </c>
      <c r="AL6" s="422">
        <f>+FEE_ByContextArea_ByMode!M20</f>
        <v>1583.6671635770333</v>
      </c>
      <c r="AM6" s="422">
        <f>+FEE_ByContextArea_ByMode!N20</f>
        <v>312.50305629891795</v>
      </c>
      <c r="AN6" s="422">
        <f>+FEE_ByContextArea_ByMode!O20</f>
        <v>13.502893778257883</v>
      </c>
      <c r="AO6" s="581">
        <f t="shared" ref="AO6" si="14">SUM(AL6:AN6)</f>
        <v>1909.6731136542091</v>
      </c>
    </row>
    <row r="7" spans="1:47" x14ac:dyDescent="0.25">
      <c r="C7" t="s">
        <v>971</v>
      </c>
      <c r="D7" s="577" t="s">
        <v>976</v>
      </c>
      <c r="E7" s="422">
        <f>+E6</f>
        <v>9543.67</v>
      </c>
      <c r="F7" s="422">
        <f>'RIFvMIF (Simple)'!F10</f>
        <v>8799.187086988959</v>
      </c>
      <c r="G7" s="422">
        <f>'RIFvMIF (Simple)'!G10*C3</f>
        <v>108.45934790802447</v>
      </c>
      <c r="H7" s="422">
        <f>'RIFvMIF (Simple)'!H10</f>
        <v>70.17684694915144</v>
      </c>
      <c r="I7" s="580">
        <f>SUM(F7:H7)</f>
        <v>8977.8232818461347</v>
      </c>
      <c r="J7" s="877">
        <f>+(I7-E7)/E7</f>
        <v>-5.9290264453178428E-2</v>
      </c>
      <c r="L7" s="577" t="str">
        <f>D7</f>
        <v>Ring 2 Out SMART Plan</v>
      </c>
      <c r="M7" s="422">
        <f>+M6</f>
        <v>4188.18</v>
      </c>
      <c r="N7" s="422">
        <f>+FEE_ByContextArea_ByMode!AC28</f>
        <v>4147.9218789301776</v>
      </c>
      <c r="O7" s="422">
        <f>+FEE_ByContextArea_ByMode!AD28*C3</f>
        <v>51.127552774439515</v>
      </c>
      <c r="P7" s="422">
        <f>+FEE_ByContextArea_ByMode!AE28</f>
        <v>33.081246708021609</v>
      </c>
      <c r="Q7" s="580">
        <f>SUM(N7:P7)</f>
        <v>4232.1306784126382</v>
      </c>
      <c r="R7" s="877">
        <f>+(Q7-M7)/M7</f>
        <v>1.0493980299948401E-2</v>
      </c>
      <c r="T7" s="577" t="str">
        <f>L7</f>
        <v>Ring 2 Out SMART Plan</v>
      </c>
      <c r="U7" s="422">
        <f>+U6</f>
        <v>13259.2</v>
      </c>
      <c r="V7" s="422">
        <f>+FEE_ByContextArea_ByMode!AC72</f>
        <v>12349.330733972771</v>
      </c>
      <c r="W7" s="422">
        <f>+FEE_ByContextArea_ByMode!AD72*C3</f>
        <v>152.14110358994961</v>
      </c>
      <c r="X7" s="422">
        <f>+FEE_ByContextArea_ByMode!AE72</f>
        <v>99.068405621608051</v>
      </c>
      <c r="Y7" s="580">
        <f>SUM(V7:X7)</f>
        <v>12600.540243184329</v>
      </c>
      <c r="Z7" s="877">
        <f>+(Y7-U7)/U7</f>
        <v>-4.9675678533823465E-2</v>
      </c>
      <c r="AA7" t="s">
        <v>973</v>
      </c>
      <c r="AB7" s="577" t="str">
        <f>L7</f>
        <v>Ring 2 Out SMART Plan</v>
      </c>
      <c r="AC7" s="422">
        <f>+AC6</f>
        <v>13383.7</v>
      </c>
      <c r="AD7" s="422">
        <f>+FEE_ByContextArea_ByMode!AC99</f>
        <v>13336.780387674762</v>
      </c>
      <c r="AE7" s="422">
        <f>+FEE_ByContextArea_ByMode!AD99*C3</f>
        <v>164.30627134600059</v>
      </c>
      <c r="AF7" s="422">
        <f>+FEE_ByContextArea_ByMode!AE89</f>
        <v>104.22915029640636</v>
      </c>
      <c r="AG7" s="581">
        <f>SUM(AD7:AF7)</f>
        <v>13605.31580931717</v>
      </c>
      <c r="AH7" s="877">
        <f>+(AG7-AC7)/AC7</f>
        <v>1.6558635453362589E-2</v>
      </c>
      <c r="AI7" s="578"/>
      <c r="AJ7" s="577" t="str">
        <f>T7</f>
        <v>Ring 2 Out SMART Plan</v>
      </c>
      <c r="AK7" s="422">
        <f>+AK6</f>
        <v>5002.3</v>
      </c>
      <c r="AL7" s="422">
        <f>+FEE_ByContextArea_ByMode!AC20</f>
        <v>1618.4343430652029</v>
      </c>
      <c r="AM7" s="422">
        <f>+FEE_ByContextArea_ByMode!AD20</f>
        <v>79.755054697641228</v>
      </c>
      <c r="AN7" s="422">
        <f>+FEE_ByContextArea_ByMode!AE20</f>
        <v>12.983352169008144</v>
      </c>
      <c r="AO7" s="581">
        <f>SUM(AL7:AN7)</f>
        <v>1711.1727499318524</v>
      </c>
    </row>
    <row r="9" spans="1:47" x14ac:dyDescent="0.25">
      <c r="C9" t="s">
        <v>977</v>
      </c>
      <c r="D9" s="577" t="s">
        <v>978</v>
      </c>
      <c r="E9" s="422">
        <v>10096</v>
      </c>
      <c r="F9" s="422">
        <f>+FEE_ByContextArea_ByMode!Q25</f>
        <v>9218.4896179009975</v>
      </c>
      <c r="G9" s="649">
        <f>+FEE_ByContextArea_ByMode!R25*C3</f>
        <v>243.97873251055427</v>
      </c>
      <c r="H9" s="649">
        <f>+FEE_ByContextArea_ByMode!S25</f>
        <v>44.474496941823112</v>
      </c>
      <c r="I9" s="580">
        <f>SUM(F9:H9)</f>
        <v>9506.9428473533735</v>
      </c>
      <c r="J9" s="877">
        <f>+(I9-E9)/E9</f>
        <v>-5.8345597528390102E-2</v>
      </c>
      <c r="L9" s="577" t="str">
        <f>D9</f>
        <v>Ring 3 In SMART Plan</v>
      </c>
      <c r="M9" s="422">
        <f>+M6*E9/E6</f>
        <v>4430.5665723982493</v>
      </c>
      <c r="N9" s="422">
        <f>+FEE_ByContextArea_ByMode!Q28</f>
        <v>4345.5803813198563</v>
      </c>
      <c r="O9" s="422">
        <f>+FEE_ByContextArea_ByMode!R28*C3</f>
        <v>115.01116098219985</v>
      </c>
      <c r="P9" s="422">
        <f>+FEE_ByContextArea_ByMode!S28</f>
        <v>20.965202477872129</v>
      </c>
      <c r="Q9" s="580">
        <f>SUM(N9:P9)</f>
        <v>4481.5567447799285</v>
      </c>
      <c r="R9" s="877">
        <f>+(Q9-M9)/M9</f>
        <v>1.1508725023869456E-2</v>
      </c>
      <c r="T9" s="577" t="str">
        <f>L9</f>
        <v>Ring 3 In SMART Plan</v>
      </c>
      <c r="U9" s="422">
        <v>14022</v>
      </c>
      <c r="V9" s="422">
        <f>+FEE_ByContextArea_ByMode!Q72</f>
        <v>13036.612294274757</v>
      </c>
      <c r="W9" s="422">
        <f>+FEE_ByContextArea_ByMode!R72*C3</f>
        <v>348.85894065975015</v>
      </c>
      <c r="X9" s="422">
        <f>+FEE_ByContextArea_ByMode!S72</f>
        <v>62.648977103656335</v>
      </c>
      <c r="Y9" s="580">
        <f>SUM(V9:X9)</f>
        <v>13448.120212038162</v>
      </c>
      <c r="Z9" s="877">
        <f>+(Y9-U9)/U9</f>
        <v>-4.0927099412483084E-2</v>
      </c>
      <c r="AA9" t="s">
        <v>973</v>
      </c>
      <c r="AB9" s="577" t="str">
        <f>T9</f>
        <v>Ring 3 In SMART Plan</v>
      </c>
      <c r="AC9" s="422">
        <v>14857</v>
      </c>
      <c r="AD9" s="422">
        <f>+FEE_ByContextArea_ByMode!Q99</f>
        <v>14079.016823940106</v>
      </c>
      <c r="AE9" s="422">
        <f>+FEE_ByContextArea_ByMode!R99*C3</f>
        <v>376.75362155914945</v>
      </c>
      <c r="AF9" s="422">
        <f>+FEE_ByContextArea_ByMode!S99</f>
        <v>67.658374947023376</v>
      </c>
      <c r="AG9" s="581">
        <f>SUM(AD9:AF9)</f>
        <v>14523.428820446279</v>
      </c>
      <c r="AH9" s="877">
        <f>+(AG9-AC9)/AC9</f>
        <v>-2.2452122201906229E-2</v>
      </c>
      <c r="AI9" s="578"/>
      <c r="AJ9" s="577" t="str">
        <f>AB9</f>
        <v>Ring 3 In SMART Plan</v>
      </c>
      <c r="AK9" s="422">
        <f>+AK7*AO17</f>
        <v>5552.9615203568519</v>
      </c>
      <c r="AL9" s="422">
        <f>+FEE_ByContextArea_ByMode!U20</f>
        <v>1483.9120047287395</v>
      </c>
      <c r="AM9" s="422">
        <f>+FEE_ByContextArea_ByMode!V20</f>
        <v>291.3686857783452</v>
      </c>
      <c r="AN9" s="422">
        <f>+FEE_ByContextArea_ByMode!W20</f>
        <v>7.8711766118785063</v>
      </c>
      <c r="AO9" s="581">
        <f>SUM(AL9:AN9)</f>
        <v>1783.1518671189633</v>
      </c>
    </row>
    <row r="10" spans="1:47" x14ac:dyDescent="0.25">
      <c r="C10" t="s">
        <v>977</v>
      </c>
      <c r="D10" s="577" t="s">
        <v>979</v>
      </c>
      <c r="E10" s="422">
        <f>+E9</f>
        <v>10096</v>
      </c>
      <c r="F10" s="422">
        <f>+FEE_ByContextArea_ByMode!U25</f>
        <v>7980.1108238479956</v>
      </c>
      <c r="G10" s="422">
        <f>+FEE_ByContextArea_ByMode!V25*C3</f>
        <v>381.88694063602685</v>
      </c>
      <c r="H10" s="422">
        <f>+FEE_ByContextArea_ByMode!W25</f>
        <v>42.390266636781412</v>
      </c>
      <c r="I10" s="580">
        <f>SUM(F10:H10)</f>
        <v>8404.3880311208031</v>
      </c>
      <c r="J10" s="877">
        <f>+(I10-E10)/E10</f>
        <v>-0.16755269105380319</v>
      </c>
      <c r="L10" s="577" t="str">
        <f>D10</f>
        <v>Ring 4 In SMART Plan</v>
      </c>
      <c r="M10" s="422">
        <f>+M9</f>
        <v>4430.5665723982493</v>
      </c>
      <c r="N10" s="422">
        <f>+FEE_ByContextArea_ByMode!U28</f>
        <v>3761.8107167503804</v>
      </c>
      <c r="O10" s="422">
        <f>+FEE_ByContextArea_ByMode!V28*C3</f>
        <v>180.02085654982204</v>
      </c>
      <c r="P10" s="422">
        <f>+FEE_ByContextArea_ByMode!W28</f>
        <v>19.982699844669213</v>
      </c>
      <c r="Q10" s="580">
        <f>SUM(N10:P10)</f>
        <v>3961.8142731448715</v>
      </c>
      <c r="R10" s="877">
        <f>+(Q10-M10)/M10</f>
        <v>-0.10579962891735624</v>
      </c>
      <c r="T10" s="577" t="str">
        <f>L10</f>
        <v>Ring 4 In SMART Plan</v>
      </c>
      <c r="U10" s="422">
        <v>14022</v>
      </c>
      <c r="V10" s="422">
        <f>+FEE_ByContextArea_ByMode!U72</f>
        <v>11322.869046266578</v>
      </c>
      <c r="W10" s="422">
        <f>+FEE_ByContextArea_ByMode!V72*C3</f>
        <v>555.81622473869015</v>
      </c>
      <c r="X10" s="422">
        <f>+FEE_ByContextArea_ByMode!W72</f>
        <v>60.060368628548545</v>
      </c>
      <c r="Y10" s="580">
        <f>SUM(V10:X10)</f>
        <v>11938.745639633817</v>
      </c>
      <c r="Z10" s="877">
        <f>+(Y10-U10)/U10</f>
        <v>-0.14857041508816027</v>
      </c>
      <c r="AA10" t="s">
        <v>973</v>
      </c>
      <c r="AB10" s="577" t="str">
        <f>T10</f>
        <v>Ring 4 In SMART Plan</v>
      </c>
      <c r="AC10" s="422">
        <v>14857</v>
      </c>
      <c r="AD10" s="422">
        <f>+FEE_ByContextArea_ByMode!U99</f>
        <v>12228.243058794311</v>
      </c>
      <c r="AE10" s="422">
        <f>+FEE_ByContextArea_ByMode!V99*C3</f>
        <v>600.25916261631301</v>
      </c>
      <c r="AF10" s="422">
        <f>+FEE_ByContextArea_ByMode!W99</f>
        <v>64.862781931831705</v>
      </c>
      <c r="AG10" s="581">
        <f>SUM(AD10:AF10)</f>
        <v>12893.365003342456</v>
      </c>
      <c r="AH10" s="877">
        <f>+(AG10-AC10)/AC10</f>
        <v>-0.13216901101551751</v>
      </c>
      <c r="AI10" s="578"/>
      <c r="AJ10" s="577" t="str">
        <f>AB10</f>
        <v>Ring 4 In SMART Plan</v>
      </c>
      <c r="AK10" s="422">
        <f>+AK11</f>
        <v>5552.9615203568519</v>
      </c>
      <c r="AL10" s="422">
        <f>+FEE_ByContextArea_ByMode!U20</f>
        <v>1483.9120047287395</v>
      </c>
      <c r="AM10" s="422">
        <f>+FEE_ByContextArea_ByMode!V20</f>
        <v>291.3686857783452</v>
      </c>
      <c r="AN10" s="422">
        <f>+FEE_ByContextArea_ByMode!W20</f>
        <v>7.8711766118785063</v>
      </c>
      <c r="AO10" s="581">
        <f>SUM(AL10:AN10)</f>
        <v>1783.1518671189633</v>
      </c>
    </row>
    <row r="11" spans="1:47" x14ac:dyDescent="0.25">
      <c r="C11" t="s">
        <v>977</v>
      </c>
      <c r="D11" s="577" t="s">
        <v>980</v>
      </c>
      <c r="E11" s="422">
        <v>10096</v>
      </c>
      <c r="F11" s="422">
        <f>+FEE_ByContextArea_ByMode!AG25</f>
        <v>9765.153041384101</v>
      </c>
      <c r="G11" s="422">
        <f>+FEE_ByContextArea_ByMode!AH25*C3</f>
        <v>39.407526383512227</v>
      </c>
      <c r="H11" s="422">
        <f>+FEE_ByContextArea_ByMode!AI25</f>
        <v>69.007235103160085</v>
      </c>
      <c r="I11" s="580">
        <f>SUM(F11:H11)</f>
        <v>9873.5678028707734</v>
      </c>
      <c r="J11" s="877">
        <f t="shared" si="4"/>
        <v>-2.2031715246555721E-2</v>
      </c>
      <c r="L11" s="577" t="str">
        <f>D11</f>
        <v>Ring 3 Out SMART Plan</v>
      </c>
      <c r="M11" s="422">
        <f>+M10</f>
        <v>4430.5665723982493</v>
      </c>
      <c r="N11" s="422">
        <f>+FEE_ByContextArea_ByMode!AG28</f>
        <v>4603.2765926016173</v>
      </c>
      <c r="O11" s="422">
        <f>+FEE_ByContextArea_ByMode!AH28*C3</f>
        <v>18.576641144770068</v>
      </c>
      <c r="P11" s="422">
        <f>+FEE_ByContextArea_ByMode!AI28</f>
        <v>32.529893666214242</v>
      </c>
      <c r="Q11" s="580">
        <f>SUM(N11:P11)</f>
        <v>4654.3831274126014</v>
      </c>
      <c r="R11" s="877">
        <f t="shared" si="7"/>
        <v>5.0516463607317173E-2</v>
      </c>
      <c r="T11" s="577" t="str">
        <f>L11</f>
        <v>Ring 3 Out SMART Plan</v>
      </c>
      <c r="U11" s="422">
        <v>14022</v>
      </c>
      <c r="V11" s="422">
        <f>+FEE_ByContextArea_ByMode!AG72</f>
        <v>13737.14197762925</v>
      </c>
      <c r="W11" s="422">
        <f>+FEE_ByContextArea_ByMode!AH72*C3</f>
        <v>55.628011088526804</v>
      </c>
      <c r="X11" s="422">
        <f>+FEE_ByContextArea_ByMode!AI72</f>
        <v>96.930976415558547</v>
      </c>
      <c r="Y11" s="580">
        <f>SUM(V11:X11)</f>
        <v>13889.700965133336</v>
      </c>
      <c r="Z11" s="877">
        <f t="shared" si="9"/>
        <v>-9.4351044691673401E-3</v>
      </c>
      <c r="AB11" s="577" t="str">
        <f>T11</f>
        <v>Ring 3 Out SMART Plan</v>
      </c>
      <c r="AC11" s="422">
        <v>14857</v>
      </c>
      <c r="AD11" s="422">
        <f>+FEE_ByContextArea_ByMode!AG99</f>
        <v>14835.560700139351</v>
      </c>
      <c r="AE11" s="422">
        <f>+FEE_ByContextArea_ByMode!AH99*C3</f>
        <v>60.076014099279888</v>
      </c>
      <c r="AF11" s="422">
        <f>+FEE_ByContextArea_ByMode!AI99</f>
        <v>104.68155506280708</v>
      </c>
      <c r="AG11" s="581">
        <f>SUM(AD11:AF11)</f>
        <v>15000.318269301439</v>
      </c>
      <c r="AH11" s="877">
        <f t="shared" si="12"/>
        <v>9.6465147271615204E-3</v>
      </c>
      <c r="AI11" s="578"/>
      <c r="AJ11" s="577" t="str">
        <f>AB11</f>
        <v>Ring 3 Out SMART Plan</v>
      </c>
      <c r="AK11" s="422">
        <f>+AK9</f>
        <v>5552.9615203568519</v>
      </c>
      <c r="AL11" s="422">
        <f>+FEE_ByContextArea_ByMode!AG20</f>
        <v>1800.3131368889647</v>
      </c>
      <c r="AM11" s="422">
        <f>+FEE_ByContextArea_ByMode!AH20</f>
        <v>29.161186309283028</v>
      </c>
      <c r="AN11" s="422">
        <f>+FEE_ByContextArea_ByMode!AI20</f>
        <v>12.703232629944811</v>
      </c>
      <c r="AO11" s="581">
        <f>SUM(AL11:AN11)</f>
        <v>1842.1775558281925</v>
      </c>
    </row>
    <row r="12" spans="1:47" x14ac:dyDescent="0.25">
      <c r="C12" t="s">
        <v>977</v>
      </c>
      <c r="D12" s="577" t="s">
        <v>981</v>
      </c>
      <c r="E12" s="422">
        <v>10096</v>
      </c>
      <c r="F12" s="422">
        <f>+FEE_ByContextArea_ByMode!AK25</f>
        <v>10073.363921374925</v>
      </c>
      <c r="G12" s="422">
        <f>+FEE_ByContextArea_ByMode!AL25*C3</f>
        <v>151.83742749392917</v>
      </c>
      <c r="H12" s="422">
        <f>+FEE_ByContextArea_ByMode!AM25</f>
        <v>38.850955490641837</v>
      </c>
      <c r="I12" s="580">
        <f>SUM(F12:H12)</f>
        <v>10264.052304359495</v>
      </c>
      <c r="J12" s="877">
        <f t="shared" si="4"/>
        <v>1.664543426698642E-2</v>
      </c>
      <c r="L12" s="577" t="str">
        <f>D12</f>
        <v>Ring 4 Out SMART Plan</v>
      </c>
      <c r="M12" s="422">
        <f>+M10</f>
        <v>4430.5665723982493</v>
      </c>
      <c r="N12" s="422">
        <f>+FEE_ByContextArea_ByMode!AK28</f>
        <v>4748.5666790379682</v>
      </c>
      <c r="O12" s="422">
        <f>+FEE_ByContextArea_ByMode!AL28*C3</f>
        <v>71.575905969066199</v>
      </c>
      <c r="P12" s="422">
        <f>+FEE_ByContextArea_ByMode!AM28</f>
        <v>18.314274569211459</v>
      </c>
      <c r="Q12" s="580">
        <f>SUM(N12:P12)</f>
        <v>4838.4568595762457</v>
      </c>
      <c r="R12" s="877">
        <f t="shared" si="7"/>
        <v>9.2062782606425655E-2</v>
      </c>
      <c r="T12" s="577" t="str">
        <f>L12</f>
        <v>Ring 4 Out SMART Plan</v>
      </c>
      <c r="U12" s="422">
        <v>14022</v>
      </c>
      <c r="V12" s="422">
        <f>+FEE_ByContextArea_ByMode!AK72</f>
        <v>14148.735260870493</v>
      </c>
      <c r="W12" s="422">
        <f>+FEE_ByContextArea_ByMode!AL72*C3</f>
        <v>219.7438152696584</v>
      </c>
      <c r="X12" s="422">
        <f>+FEE_ByContextArea_ByMode!AM72</f>
        <v>54.490762223143399</v>
      </c>
      <c r="Y12" s="580">
        <f>SUM(V12:X12)</f>
        <v>14422.969838363295</v>
      </c>
      <c r="Z12" s="877">
        <f t="shared" si="9"/>
        <v>2.8595766535679284E-2</v>
      </c>
      <c r="AA12" t="s">
        <v>973</v>
      </c>
      <c r="AB12" s="577" t="str">
        <f>T12</f>
        <v>Ring 4 Out SMART Plan</v>
      </c>
      <c r="AC12" s="422">
        <v>14857</v>
      </c>
      <c r="AD12" s="422">
        <f>+FEE_ByContextArea_ByMode!AK99</f>
        <v>15280.064887927396</v>
      </c>
      <c r="AE12" s="422">
        <f>+FEE_ByContextArea_ByMode!AL99*C3</f>
        <v>237.3144803498522</v>
      </c>
      <c r="AF12" s="422">
        <f>+FEE_ByContextArea_ByMode!AM99</f>
        <v>58.847831075399412</v>
      </c>
      <c r="AG12" s="581">
        <f>SUM(AD12:AF12)</f>
        <v>15576.227199352648</v>
      </c>
      <c r="AH12" s="877">
        <f t="shared" si="12"/>
        <v>4.840998851401012E-2</v>
      </c>
      <c r="AI12" s="578"/>
      <c r="AJ12" s="577" t="str">
        <f>AB12</f>
        <v>Ring 4 Out SMART Plan</v>
      </c>
      <c r="AK12" s="422">
        <f>+AK10</f>
        <v>5552.9615203568519</v>
      </c>
      <c r="AL12" s="422">
        <f>+FEE_ByContextArea_ByMode!AK20</f>
        <v>1854.2542547780552</v>
      </c>
      <c r="AM12" s="422">
        <f>+FEE_ByContextArea_ByMode!AL20</f>
        <v>115.19359063895814</v>
      </c>
      <c r="AN12" s="422">
        <f>+FEE_ByContextArea_ByMode!AM20</f>
        <v>7.141255089972371</v>
      </c>
      <c r="AO12" s="581">
        <f>SUM(AL12:AN12)</f>
        <v>1976.5891005069857</v>
      </c>
    </row>
    <row r="13" spans="1:47" x14ac:dyDescent="0.25">
      <c r="D13" s="577"/>
      <c r="E13" s="422"/>
      <c r="F13" s="422"/>
      <c r="G13" s="422"/>
      <c r="H13" s="422"/>
      <c r="I13" s="580"/>
      <c r="J13" s="877"/>
      <c r="L13" s="577"/>
      <c r="M13" s="422"/>
      <c r="N13" s="422"/>
      <c r="O13" s="422"/>
      <c r="P13" s="422"/>
      <c r="Q13" s="580"/>
      <c r="R13" s="877"/>
      <c r="T13" s="577"/>
      <c r="U13" s="422"/>
      <c r="V13" s="422"/>
      <c r="W13" s="422"/>
      <c r="X13" s="422"/>
      <c r="Y13" s="580"/>
      <c r="Z13" s="877"/>
      <c r="AB13" s="577"/>
      <c r="AC13" s="422"/>
      <c r="AD13" s="422"/>
      <c r="AE13" s="422"/>
      <c r="AF13" s="422"/>
      <c r="AG13" s="581"/>
      <c r="AH13" s="877"/>
      <c r="AI13" s="578"/>
      <c r="AJ13" s="577"/>
      <c r="AK13" s="422"/>
      <c r="AL13" s="422"/>
      <c r="AM13" s="422"/>
      <c r="AN13" s="422"/>
      <c r="AO13" s="581"/>
    </row>
    <row r="14" spans="1:47" x14ac:dyDescent="0.25">
      <c r="D14" s="577" t="s">
        <v>982</v>
      </c>
      <c r="E14" s="2">
        <f>I14/(AVERAGE(G14:H14))</f>
        <v>-7.2250731868036433E-2</v>
      </c>
      <c r="G14" s="422">
        <f>E5</f>
        <v>9543.67</v>
      </c>
      <c r="H14" s="422">
        <f>AVERAGE(I5:I10)</f>
        <v>8878.1741392887452</v>
      </c>
      <c r="I14" s="422">
        <f>H14-G14</f>
        <v>-665.49586071125486</v>
      </c>
      <c r="J14" s="422"/>
      <c r="L14" s="577" t="s">
        <v>982</v>
      </c>
      <c r="M14" s="2">
        <f>Q14/(AVERAGE(O14:P14))</f>
        <v>-7.2223505777138772E-4</v>
      </c>
      <c r="O14" s="422">
        <f>M5</f>
        <v>4188.18</v>
      </c>
      <c r="P14" s="422">
        <f>AVERAGE(Q5:Q10)</f>
        <v>4185.1562415079379</v>
      </c>
      <c r="Q14" s="422">
        <f>P14-O14</f>
        <v>-3.0237584920623704</v>
      </c>
      <c r="R14" s="422"/>
      <c r="T14" s="577" t="s">
        <v>982</v>
      </c>
      <c r="U14" s="2">
        <f>Y14/(AVERAGE(W14:X14))</f>
        <v>8.7691320986457919E-2</v>
      </c>
      <c r="W14" s="422">
        <f>AVERAGE(Y5:Y10)</f>
        <v>12145.32195535282</v>
      </c>
      <c r="X14" s="422">
        <f>U5</f>
        <v>13259.2</v>
      </c>
      <c r="Y14" s="422">
        <f>X14-W14</f>
        <v>1113.878044647181</v>
      </c>
      <c r="Z14" s="422"/>
      <c r="AB14" s="577" t="s">
        <v>982</v>
      </c>
      <c r="AC14" s="2">
        <f>AG14/(AVERAGE(AE14:AF14))</f>
        <v>2.0211094822400511E-2</v>
      </c>
      <c r="AE14" s="422">
        <f>AVERAGE(AG5:AG10)</f>
        <v>13115.906965432649</v>
      </c>
      <c r="AF14" s="422">
        <f>AC5</f>
        <v>13383.7</v>
      </c>
      <c r="AG14" s="422">
        <f>AF14-AE14</f>
        <v>267.79303456735215</v>
      </c>
      <c r="AH14" s="422"/>
      <c r="AJ14" s="577" t="s">
        <v>982</v>
      </c>
      <c r="AK14" s="2">
        <f>AO14/(AVERAGE(AM14:AN14))</f>
        <v>0.95957142528712414</v>
      </c>
      <c r="AM14" s="422">
        <f>AVERAGE(AO5:AO10)</f>
        <v>1758.5437590110869</v>
      </c>
      <c r="AN14" s="422">
        <f>AK5</f>
        <v>5002.3</v>
      </c>
      <c r="AO14" s="422">
        <f>AN14-AM14</f>
        <v>3243.7562409889133</v>
      </c>
    </row>
    <row r="15" spans="1:47" x14ac:dyDescent="0.25">
      <c r="D15" s="577" t="s">
        <v>983</v>
      </c>
      <c r="E15" s="2">
        <f>I15/(AVERAGE(G15:H15))</f>
        <v>-5.9542551566653411E-2</v>
      </c>
      <c r="G15" s="422">
        <f>E9</f>
        <v>10096</v>
      </c>
      <c r="H15" s="422">
        <f>AVERAGE(I9:I12)</f>
        <v>9512.2377464261117</v>
      </c>
      <c r="I15" s="422">
        <f>H15-G15</f>
        <v>-583.7622535738883</v>
      </c>
      <c r="J15" s="422"/>
      <c r="L15" s="577" t="s">
        <v>983</v>
      </c>
      <c r="M15" s="2">
        <f>Q15/(AVERAGE(O15:P15))</f>
        <v>1.1999655148124457E-2</v>
      </c>
      <c r="O15" s="422">
        <f>M9</f>
        <v>4430.5665723982493</v>
      </c>
      <c r="P15" s="422">
        <f>AVERAGE(Q9:Q12)</f>
        <v>4484.0527512284125</v>
      </c>
      <c r="Q15" s="422">
        <f>P15-O15</f>
        <v>53.486178830163226</v>
      </c>
      <c r="R15" s="422"/>
      <c r="T15" s="577" t="s">
        <v>983</v>
      </c>
      <c r="U15" s="2">
        <f>Y15/(AVERAGE(W15:X15))</f>
        <v>5.5859848308509485E-2</v>
      </c>
      <c r="W15" s="422">
        <f>AVERAGE(Y7:Y12)</f>
        <v>13260.015379670589</v>
      </c>
      <c r="X15" s="422">
        <f>U9</f>
        <v>14022</v>
      </c>
      <c r="Y15" s="422">
        <f>X15-W15</f>
        <v>761.98462032941097</v>
      </c>
      <c r="Z15" s="422"/>
      <c r="AB15" s="577" t="s">
        <v>983</v>
      </c>
      <c r="AC15" s="2">
        <f>AG15/(AVERAGE(AE15:AF15))</f>
        <v>3.682859325626528E-2</v>
      </c>
      <c r="AE15" s="422">
        <f>AVERAGE(AG7:AG12)</f>
        <v>14319.731020351999</v>
      </c>
      <c r="AF15" s="422">
        <f>AC9</f>
        <v>14857</v>
      </c>
      <c r="AG15" s="422">
        <f>AF15-AE15</f>
        <v>537.26897964800082</v>
      </c>
      <c r="AH15" s="422"/>
      <c r="AJ15" s="577" t="s">
        <v>983</v>
      </c>
      <c r="AK15" s="2">
        <f>AO15/(AVERAGE(AM15:AN15))</f>
        <v>1.0129154804511094</v>
      </c>
      <c r="AM15" s="422">
        <f>AVERAGE(AO7:AO12)</f>
        <v>1819.2486281009915</v>
      </c>
      <c r="AN15" s="422">
        <f>AK9</f>
        <v>5552.9615203568519</v>
      </c>
      <c r="AO15" s="422">
        <f>AN15-AM15</f>
        <v>3733.7128922558604</v>
      </c>
    </row>
    <row r="17" spans="31:41" x14ac:dyDescent="0.25">
      <c r="AE17" t="s">
        <v>984</v>
      </c>
      <c r="AO17" s="797">
        <f>+AC9/AC7</f>
        <v>1.1100816665047781</v>
      </c>
    </row>
    <row r="69" spans="3:22" x14ac:dyDescent="0.25">
      <c r="C69" s="574"/>
      <c r="D69" s="574"/>
      <c r="E69" s="574" t="s">
        <v>963</v>
      </c>
      <c r="F69" s="574"/>
      <c r="G69" s="574" t="s">
        <v>964</v>
      </c>
      <c r="H69" s="574"/>
    </row>
    <row r="70" spans="3:22" x14ac:dyDescent="0.25">
      <c r="C70" s="574" t="str">
        <f>RoadCapCost!A11</f>
        <v xml:space="preserve">  Class II arterial add 2 lanes</v>
      </c>
      <c r="D70" s="574"/>
      <c r="E70" s="574" t="s">
        <v>677</v>
      </c>
      <c r="F70" s="574" t="s">
        <v>676</v>
      </c>
      <c r="G70" s="574" t="s">
        <v>677</v>
      </c>
      <c r="H70" s="574" t="s">
        <v>674</v>
      </c>
    </row>
    <row r="71" spans="3:22" x14ac:dyDescent="0.25">
      <c r="C71" s="574"/>
      <c r="D71" s="575" t="s">
        <v>104</v>
      </c>
      <c r="E71" s="575" t="str">
        <f>RoadCapCost!Q11</f>
        <v>E</v>
      </c>
      <c r="F71" s="195">
        <f>RoadCapCost!T11</f>
        <v>402.63157894736844</v>
      </c>
      <c r="G71" s="575" t="str">
        <f>RoadCapCost!AH11</f>
        <v>E</v>
      </c>
      <c r="H71" s="195">
        <f>RoadCapCost!AJ11</f>
        <v>402.63157894736844</v>
      </c>
      <c r="I71" s="576"/>
      <c r="J71" s="576"/>
      <c r="K71" s="576"/>
      <c r="L71" s="576"/>
      <c r="M71" s="576"/>
      <c r="N71" s="576"/>
      <c r="O71" s="576"/>
      <c r="P71" s="576"/>
      <c r="S71" s="576"/>
      <c r="T71" s="576"/>
      <c r="U71" s="576"/>
      <c r="V71" s="576"/>
    </row>
    <row r="72" spans="3:22" x14ac:dyDescent="0.25">
      <c r="C72" s="574"/>
      <c r="D72" s="575" t="s">
        <v>105</v>
      </c>
      <c r="E72" s="575" t="str">
        <f>RoadCapCost!U11</f>
        <v>E</v>
      </c>
      <c r="F72" s="195">
        <f>RoadCapCost!X11</f>
        <v>402.63157894736844</v>
      </c>
      <c r="G72" s="575" t="str">
        <f>RoadCapCost!AL11</f>
        <v>E</v>
      </c>
      <c r="H72" s="195">
        <f>RoadCapCost!AN11</f>
        <v>402.63157894736844</v>
      </c>
    </row>
    <row r="73" spans="3:22" x14ac:dyDescent="0.25">
      <c r="C73" s="574"/>
      <c r="D73" s="575" t="s">
        <v>106</v>
      </c>
      <c r="E73" s="575" t="str">
        <f>RoadCapCost!Y11</f>
        <v>E</v>
      </c>
      <c r="F73" s="195">
        <f>RoadCapCost!AB11</f>
        <v>402.63157894736844</v>
      </c>
      <c r="G73" s="575" t="str">
        <f>RoadCapCost!AP11</f>
        <v>E</v>
      </c>
      <c r="H73" s="195">
        <f>RoadCapCost!AR11</f>
        <v>402.63157894736844</v>
      </c>
    </row>
    <row r="74" spans="3:22" x14ac:dyDescent="0.25">
      <c r="C74" s="574"/>
      <c r="D74" s="575" t="s">
        <v>107</v>
      </c>
      <c r="E74" s="575" t="str">
        <f>RoadCapCost!AC11</f>
        <v>E</v>
      </c>
      <c r="F74" s="195">
        <f>RoadCapCost!AF11</f>
        <v>402.63157894736844</v>
      </c>
      <c r="G74" s="575" t="str">
        <f>RoadCapCost!AT11</f>
        <v>E</v>
      </c>
      <c r="H74" s="195">
        <f>RoadCapCost!AV11</f>
        <v>402.63157894736844</v>
      </c>
    </row>
    <row r="75" spans="3:22" x14ac:dyDescent="0.25">
      <c r="F75" s="194"/>
      <c r="H75" s="194"/>
    </row>
    <row r="76" spans="3:22" x14ac:dyDescent="0.25">
      <c r="F76" s="194"/>
      <c r="H76" s="194"/>
    </row>
    <row r="77" spans="3:22" x14ac:dyDescent="0.25">
      <c r="F77" s="194"/>
      <c r="H77" s="194"/>
    </row>
    <row r="78" spans="3:22" x14ac:dyDescent="0.25">
      <c r="F78" s="194"/>
      <c r="H78" s="194"/>
    </row>
    <row r="79" spans="3:22" x14ac:dyDescent="0.25">
      <c r="F79" s="194"/>
      <c r="H79" s="194"/>
    </row>
    <row r="80" spans="3:22" x14ac:dyDescent="0.25">
      <c r="F80" s="194"/>
    </row>
    <row r="81" spans="6:6" x14ac:dyDescent="0.25">
      <c r="F81" s="194"/>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54590-A6E8-FE43-A6DD-93C457F6E5A3}">
  <sheetPr>
    <tabColor theme="8" tint="0.79998168889431442"/>
  </sheetPr>
  <dimension ref="A1:AU81"/>
  <sheetViews>
    <sheetView topLeftCell="X1" zoomScale="169" zoomScaleNormal="169" workbookViewId="0">
      <selection activeCell="J38" sqref="J38"/>
    </sheetView>
  </sheetViews>
  <sheetFormatPr defaultColWidth="9" defaultRowHeight="15.75" x14ac:dyDescent="0.25"/>
  <cols>
    <col min="4" max="4" width="22.85546875" customWidth="1"/>
    <col min="5" max="5" width="11.140625" customWidth="1"/>
    <col min="12" max="12" width="24.5703125" customWidth="1"/>
    <col min="14" max="15" width="13.5703125" customWidth="1"/>
    <col min="17" max="17" width="9.42578125" bestFit="1" customWidth="1"/>
    <col min="18" max="18" width="9.42578125" customWidth="1"/>
    <col min="20" max="20" width="21.140625" customWidth="1"/>
    <col min="28" max="28" width="20.140625" customWidth="1"/>
    <col min="36" max="36" width="22.140625" customWidth="1"/>
    <col min="39" max="39" width="10.5703125" bestFit="1" customWidth="1"/>
  </cols>
  <sheetData>
    <row r="1" spans="1:47" s="876" customFormat="1" ht="33" customHeight="1" x14ac:dyDescent="0.25">
      <c r="A1" s="876" t="s">
        <v>955</v>
      </c>
    </row>
    <row r="2" spans="1:47" x14ac:dyDescent="0.25">
      <c r="I2" s="578"/>
      <c r="J2" s="578"/>
      <c r="Q2" s="578"/>
      <c r="R2" s="578"/>
      <c r="Y2" s="578"/>
      <c r="Z2" s="578"/>
    </row>
    <row r="3" spans="1:47" x14ac:dyDescent="0.25">
      <c r="D3" s="648" t="s">
        <v>956</v>
      </c>
      <c r="E3" s="577"/>
      <c r="F3" s="577"/>
      <c r="G3" s="577"/>
      <c r="H3" s="577"/>
      <c r="I3" s="579"/>
      <c r="J3" s="579"/>
      <c r="L3" s="577" t="s">
        <v>957</v>
      </c>
      <c r="M3" s="577"/>
      <c r="N3" s="577"/>
      <c r="O3" s="577"/>
      <c r="P3" s="577"/>
      <c r="Q3" s="579"/>
      <c r="R3" s="579"/>
      <c r="T3" s="577" t="s">
        <v>958</v>
      </c>
      <c r="U3" s="577"/>
      <c r="V3" s="577"/>
      <c r="W3" s="577"/>
      <c r="X3" s="577"/>
      <c r="Y3" s="579"/>
      <c r="Z3" s="579"/>
      <c r="AB3" s="577" t="s">
        <v>959</v>
      </c>
      <c r="AC3" s="577"/>
      <c r="AD3" s="577" t="s">
        <v>965</v>
      </c>
      <c r="AE3" s="577"/>
      <c r="AF3" s="577"/>
      <c r="AG3" s="579"/>
      <c r="AH3" s="579"/>
      <c r="AI3" s="578"/>
      <c r="AJ3" s="577" t="s">
        <v>966</v>
      </c>
      <c r="AK3" s="577"/>
      <c r="AL3" s="577" t="s">
        <v>965</v>
      </c>
      <c r="AM3" s="577"/>
      <c r="AN3" s="577"/>
      <c r="AO3" s="579"/>
      <c r="AP3" s="579"/>
      <c r="AS3" t="s">
        <v>967</v>
      </c>
      <c r="AU3" s="2"/>
    </row>
    <row r="4" spans="1:47" x14ac:dyDescent="0.25">
      <c r="D4" s="577"/>
      <c r="E4" s="577" t="s">
        <v>968</v>
      </c>
      <c r="F4" s="577" t="s">
        <v>121</v>
      </c>
      <c r="G4" s="577" t="s">
        <v>63</v>
      </c>
      <c r="H4" s="577" t="s">
        <v>961</v>
      </c>
      <c r="I4" s="579" t="s">
        <v>962</v>
      </c>
      <c r="J4" s="579" t="s">
        <v>969</v>
      </c>
      <c r="L4" s="577"/>
      <c r="M4" s="577" t="str">
        <f>E4</f>
        <v>RIF</v>
      </c>
      <c r="N4" s="577" t="s">
        <v>121</v>
      </c>
      <c r="O4" s="577" t="s">
        <v>63</v>
      </c>
      <c r="P4" s="577" t="s">
        <v>961</v>
      </c>
      <c r="Q4" s="579" t="s">
        <v>962</v>
      </c>
      <c r="R4" s="579" t="s">
        <v>969</v>
      </c>
      <c r="T4" s="577"/>
      <c r="U4" s="577" t="str">
        <f>E4</f>
        <v>RIF</v>
      </c>
      <c r="V4" s="577" t="s">
        <v>121</v>
      </c>
      <c r="W4" s="577" t="s">
        <v>63</v>
      </c>
      <c r="X4" s="577" t="s">
        <v>961</v>
      </c>
      <c r="Y4" s="579" t="s">
        <v>962</v>
      </c>
      <c r="Z4" s="579" t="s">
        <v>969</v>
      </c>
      <c r="AB4" s="577"/>
      <c r="AC4" s="577" t="str">
        <f>E4</f>
        <v>RIF</v>
      </c>
      <c r="AD4" s="577" t="s">
        <v>121</v>
      </c>
      <c r="AE4" s="577" t="s">
        <v>63</v>
      </c>
      <c r="AF4" s="577" t="s">
        <v>961</v>
      </c>
      <c r="AG4" s="579" t="s">
        <v>962</v>
      </c>
      <c r="AH4" s="579" t="s">
        <v>969</v>
      </c>
      <c r="AI4" s="578"/>
      <c r="AJ4" s="577"/>
      <c r="AK4" s="577" t="str">
        <f>M4</f>
        <v>RIF</v>
      </c>
      <c r="AL4" s="577" t="s">
        <v>121</v>
      </c>
      <c r="AM4" s="577" t="s">
        <v>63</v>
      </c>
      <c r="AN4" s="577" t="s">
        <v>961</v>
      </c>
      <c r="AO4" s="579" t="s">
        <v>962</v>
      </c>
      <c r="AP4" s="579" t="s">
        <v>969</v>
      </c>
      <c r="AS4" t="s">
        <v>970</v>
      </c>
      <c r="AT4" s="422">
        <f>AVERAGE(M5,U5,AC5,E5)</f>
        <v>10093.6875</v>
      </c>
      <c r="AU4" s="2">
        <f>(AT5-AT4)/(AT4+AT5)</f>
        <v>3.6175759371584508E-2</v>
      </c>
    </row>
    <row r="5" spans="1:47" x14ac:dyDescent="0.25">
      <c r="C5" t="s">
        <v>971</v>
      </c>
      <c r="D5" s="577" t="s">
        <v>972</v>
      </c>
      <c r="E5" s="422">
        <f>+FEE_1_In!G22</f>
        <v>9543.67</v>
      </c>
      <c r="F5" s="422">
        <f>+FEE_ByContextArea_ByMode!I25</f>
        <v>7843.4177405852297</v>
      </c>
      <c r="I5" s="580">
        <f>SUM(F5:H5)</f>
        <v>7843.4177405852297</v>
      </c>
      <c r="J5" s="877">
        <f>+(I5-E5)/E5</f>
        <v>-0.17815497176817413</v>
      </c>
      <c r="L5" s="577" t="str">
        <f>D5</f>
        <v>Ring 1 In SMART Plan</v>
      </c>
      <c r="M5" s="422">
        <f>+FEE_ByContextArea!G28</f>
        <v>4188.18</v>
      </c>
      <c r="N5" s="422">
        <f>+FEE_ByContextArea_ByMode!I28</f>
        <v>3697.3738289835037</v>
      </c>
      <c r="Q5" s="580">
        <f>SUM(N5:P5)</f>
        <v>3697.3738289835037</v>
      </c>
      <c r="R5" s="877">
        <f>+(Q5-M5)/M5</f>
        <v>-0.11718841382569435</v>
      </c>
      <c r="T5" s="577" t="str">
        <f>L5</f>
        <v>Ring 1 In SMART Plan</v>
      </c>
      <c r="U5" s="422">
        <f>+FEE_ByContextArea_ByMode!G72</f>
        <v>13259.2</v>
      </c>
      <c r="V5" s="422">
        <f>+FEE_ByContextArea_ByMode!I72</f>
        <v>8998.6743192378799</v>
      </c>
      <c r="Y5" s="580">
        <f t="shared" ref="Y5:Y6" si="0">SUM(V5:X5)</f>
        <v>8998.6743192378799</v>
      </c>
      <c r="Z5" s="877">
        <f>+(Y5-U5)/U5</f>
        <v>-0.32132599860942745</v>
      </c>
      <c r="AA5" t="s">
        <v>973</v>
      </c>
      <c r="AB5" s="577" t="str">
        <f>T5</f>
        <v>Ring 1 In SMART Plan</v>
      </c>
      <c r="AC5" s="422">
        <f>+FEE_ByContextArea!G99</f>
        <v>13383.7</v>
      </c>
      <c r="AD5" s="422">
        <f>+FEE_ByContextArea_ByMode!I99</f>
        <v>9718.2062543462307</v>
      </c>
      <c r="AG5" s="581">
        <f>SUM(AD5:AF5)</f>
        <v>9718.2062543462307</v>
      </c>
      <c r="AH5" s="877">
        <f>+(AG5-AC5)/AC5</f>
        <v>-0.27387745882332759</v>
      </c>
      <c r="AI5" s="578"/>
      <c r="AJ5" s="577" t="str">
        <f>AB5</f>
        <v>Ring 1 In SMART Plan</v>
      </c>
      <c r="AK5" s="422">
        <f>+FEE_ByContextArea_ByMode!G20</f>
        <v>5002.3</v>
      </c>
      <c r="AL5" s="422">
        <f>+FEE_ByContextArea_ByMode!I20</f>
        <v>1179.3160191465954</v>
      </c>
      <c r="AO5" s="581">
        <f>SUM(AL5:AN5)</f>
        <v>1179.3160191465954</v>
      </c>
      <c r="AP5" s="877">
        <f>+(AO5-AK5)/AK5</f>
        <v>-0.76424524335873589</v>
      </c>
      <c r="AS5" t="s">
        <v>974</v>
      </c>
      <c r="AT5" s="422">
        <f>AVERAGE(E9,M9,U9,AC9)</f>
        <v>10851.391643099563</v>
      </c>
      <c r="AU5" s="2"/>
    </row>
    <row r="6" spans="1:47" x14ac:dyDescent="0.25">
      <c r="B6" s="422"/>
      <c r="C6" t="s">
        <v>971</v>
      </c>
      <c r="D6" s="577" t="s">
        <v>975</v>
      </c>
      <c r="E6" s="422">
        <f t="shared" ref="E6" si="1">+E5</f>
        <v>9543.67</v>
      </c>
      <c r="F6" s="422">
        <f>+FEE_ByContextArea_ByMode!M25</f>
        <v>8623.2698278700536</v>
      </c>
      <c r="I6" s="580">
        <f>SUM(F6:H6)</f>
        <v>8623.2698278700536</v>
      </c>
      <c r="J6" s="877">
        <f>+(I6-E6)/E6</f>
        <v>-9.6440905032335197E-2</v>
      </c>
      <c r="L6" s="577" t="str">
        <f>D6</f>
        <v>Ring 2 In SMART Plan</v>
      </c>
      <c r="M6" s="422">
        <f t="shared" ref="M6" si="2">+M5</f>
        <v>4188.18</v>
      </c>
      <c r="N6" s="422">
        <f>+FEE_ByContextArea_ByMode!M28</f>
        <v>4064.9947811463717</v>
      </c>
      <c r="Q6" s="580">
        <f>SUM(N6:P6)</f>
        <v>4064.9947811463717</v>
      </c>
      <c r="R6" s="877">
        <f t="shared" ref="R6:R12" si="3">+(Q6-M6)/M6</f>
        <v>-2.9412589443058464E-2</v>
      </c>
      <c r="T6" s="577" t="str">
        <f t="shared" ref="T6" si="4">L6</f>
        <v>Ring 2 In SMART Plan</v>
      </c>
      <c r="U6" s="422">
        <f>+U5</f>
        <v>13259.2</v>
      </c>
      <c r="V6" s="422">
        <f>+FEE_ByContextArea_ByMode!M72</f>
        <v>12084.042617697605</v>
      </c>
      <c r="Y6" s="580">
        <f t="shared" si="0"/>
        <v>12084.042617697605</v>
      </c>
      <c r="Z6" s="877">
        <f t="shared" ref="Z6:Z12" si="5">+(Y6-U6)/U6</f>
        <v>-8.8629584160612659E-2</v>
      </c>
      <c r="AA6" t="s">
        <v>973</v>
      </c>
      <c r="AB6" s="577" t="str">
        <f t="shared" ref="AB6" si="6">T6</f>
        <v>Ring 2 In SMART Plan</v>
      </c>
      <c r="AC6" s="422">
        <f>+AC5</f>
        <v>13383.7</v>
      </c>
      <c r="AD6" s="422">
        <f>+FEE_ByContextArea_ByMode!M99</f>
        <v>13050.279894454625</v>
      </c>
      <c r="AG6" s="581">
        <f t="shared" ref="AG6" si="7">SUM(AD6:AF6)</f>
        <v>13050.279894454625</v>
      </c>
      <c r="AH6" s="877">
        <f t="shared" ref="AH6:AH12" si="8">+(AG6-AC6)/AC6</f>
        <v>-2.4912401319917205E-2</v>
      </c>
      <c r="AI6" s="578"/>
      <c r="AJ6" s="577" t="str">
        <f t="shared" ref="AJ6" si="9">AB6</f>
        <v>Ring 2 In SMART Plan</v>
      </c>
      <c r="AK6" s="422">
        <f>+AK5</f>
        <v>5002.3</v>
      </c>
      <c r="AL6" s="422">
        <f>+FEE_ByContextArea_ByMode!M20</f>
        <v>1583.6671635770333</v>
      </c>
      <c r="AO6" s="581">
        <f t="shared" ref="AO6" si="10">SUM(AL6:AN6)</f>
        <v>1583.6671635770333</v>
      </c>
      <c r="AP6" s="877">
        <f t="shared" ref="AP6:AP12" si="11">+(AO6-AK6)/AK6</f>
        <v>-0.68341219767366346</v>
      </c>
    </row>
    <row r="7" spans="1:47" x14ac:dyDescent="0.25">
      <c r="C7" t="s">
        <v>971</v>
      </c>
      <c r="D7" s="577" t="s">
        <v>976</v>
      </c>
      <c r="E7" s="422">
        <f>+E6</f>
        <v>9543.67</v>
      </c>
      <c r="F7" s="422">
        <f>'RIFvMIF (Simple)'!F10</f>
        <v>8799.187086988959</v>
      </c>
      <c r="I7" s="580">
        <f>SUM(F7:H7)</f>
        <v>8799.187086988959</v>
      </c>
      <c r="J7" s="877">
        <f>+(I7-E7)/E7</f>
        <v>-7.8008031817009715E-2</v>
      </c>
      <c r="L7" s="577" t="str">
        <f>D7</f>
        <v>Ring 2 Out SMART Plan</v>
      </c>
      <c r="M7" s="422">
        <f>+M6</f>
        <v>4188.18</v>
      </c>
      <c r="N7" s="422">
        <f>+FEE_ByContextArea_ByMode!AC28</f>
        <v>4147.9218789301776</v>
      </c>
      <c r="Q7" s="580">
        <f>SUM(N7:P7)</f>
        <v>4147.9218789301776</v>
      </c>
      <c r="R7" s="877">
        <f>+(Q7-M7)/M7</f>
        <v>-9.6123187326768809E-3</v>
      </c>
      <c r="T7" s="577" t="str">
        <f>L7</f>
        <v>Ring 2 Out SMART Plan</v>
      </c>
      <c r="U7" s="422">
        <f>+U6</f>
        <v>13259.2</v>
      </c>
      <c r="V7" s="422">
        <f>+FEE_ByContextArea_ByMode!AC72</f>
        <v>12349.330733972771</v>
      </c>
      <c r="Y7" s="580">
        <f>SUM(V7:X7)</f>
        <v>12349.330733972771</v>
      </c>
      <c r="Z7" s="877">
        <f>+(Y7-U7)/U7</f>
        <v>-6.862173178074317E-2</v>
      </c>
      <c r="AA7" t="s">
        <v>973</v>
      </c>
      <c r="AB7" s="577" t="str">
        <f>L7</f>
        <v>Ring 2 Out SMART Plan</v>
      </c>
      <c r="AC7" s="422">
        <f>+AC6</f>
        <v>13383.7</v>
      </c>
      <c r="AD7" s="422">
        <f>+FEE_ByContextArea_ByMode!AC99</f>
        <v>13336.780387674762</v>
      </c>
      <c r="AG7" s="581">
        <f>SUM(AD7:AF7)</f>
        <v>13336.780387674762</v>
      </c>
      <c r="AH7" s="877">
        <f>+(AG7-AC7)/AC7</f>
        <v>-3.505728036734134E-3</v>
      </c>
      <c r="AI7" s="578"/>
      <c r="AJ7" s="577" t="str">
        <f>T7</f>
        <v>Ring 2 Out SMART Plan</v>
      </c>
      <c r="AK7" s="422">
        <f>+AK6</f>
        <v>5002.3</v>
      </c>
      <c r="AL7" s="422">
        <f>+FEE_ByContextArea_ByMode!AC20</f>
        <v>1618.4343430652029</v>
      </c>
      <c r="AO7" s="581">
        <f>SUM(AL7:AN7)</f>
        <v>1618.4343430652029</v>
      </c>
      <c r="AP7" s="877">
        <f>+(AO7-AK7)/AK7</f>
        <v>-0.67646195888587191</v>
      </c>
    </row>
    <row r="9" spans="1:47" x14ac:dyDescent="0.25">
      <c r="C9" t="s">
        <v>977</v>
      </c>
      <c r="D9" s="577" t="s">
        <v>978</v>
      </c>
      <c r="E9" s="422">
        <v>10096</v>
      </c>
      <c r="F9" s="422">
        <f>+FEE_ByContextArea_ByMode!Q25</f>
        <v>9218.4896179009975</v>
      </c>
      <c r="I9" s="580">
        <f>SUM(F9:H9)</f>
        <v>9218.4896179009975</v>
      </c>
      <c r="J9" s="877">
        <f>+(I9-E9)/E9</f>
        <v>-8.6916638480487571E-2</v>
      </c>
      <c r="L9" s="577" t="str">
        <f>D9</f>
        <v>Ring 3 In SMART Plan</v>
      </c>
      <c r="M9" s="422">
        <f>+M6*E9/E6</f>
        <v>4430.5665723982493</v>
      </c>
      <c r="N9" s="422">
        <f>+FEE_ByContextArea_ByMode!Q28</f>
        <v>4345.5803813198563</v>
      </c>
      <c r="Q9" s="580">
        <f>SUM(N9:P9)</f>
        <v>4345.5803813198563</v>
      </c>
      <c r="R9" s="877">
        <f>+(Q9-M9)/M9</f>
        <v>-1.9181788534189712E-2</v>
      </c>
      <c r="T9" s="577" t="str">
        <f>L9</f>
        <v>Ring 3 In SMART Plan</v>
      </c>
      <c r="U9" s="422">
        <v>14022</v>
      </c>
      <c r="V9" s="422">
        <f>+FEE_ByContextArea_ByMode!Q72</f>
        <v>13036.612294274757</v>
      </c>
      <c r="Y9" s="580">
        <f>SUM(V9:X9)</f>
        <v>13036.612294274757</v>
      </c>
      <c r="Z9" s="877">
        <f>+(Y9-U9)/U9</f>
        <v>-7.027440491550728E-2</v>
      </c>
      <c r="AA9" t="s">
        <v>973</v>
      </c>
      <c r="AB9" s="577" t="str">
        <f>T9</f>
        <v>Ring 3 In SMART Plan</v>
      </c>
      <c r="AC9" s="422">
        <v>14857</v>
      </c>
      <c r="AD9" s="422">
        <f>+FEE_ByContextArea_ByMode!Q99</f>
        <v>14079.016823940106</v>
      </c>
      <c r="AG9" s="581">
        <f>SUM(AD9:AF9)</f>
        <v>14079.016823940106</v>
      </c>
      <c r="AH9" s="877">
        <f>+(AG9-AC9)/AC9</f>
        <v>-5.2364755742067282E-2</v>
      </c>
      <c r="AI9" s="578"/>
      <c r="AJ9" s="577" t="str">
        <f>AB9</f>
        <v>Ring 3 In SMART Plan</v>
      </c>
      <c r="AK9" s="422">
        <f>+AK7*AC17</f>
        <v>5552.9615203568519</v>
      </c>
      <c r="AL9" s="422">
        <f>+FEE_ByContextArea_ByMode!U20</f>
        <v>1483.9120047287395</v>
      </c>
      <c r="AO9" s="581">
        <f>SUM(AL9:AN9)</f>
        <v>1483.9120047287395</v>
      </c>
      <c r="AP9" s="877">
        <f>+(AO9-AK9)/AK9</f>
        <v>-0.73277106292042549</v>
      </c>
    </row>
    <row r="10" spans="1:47" x14ac:dyDescent="0.25">
      <c r="C10" t="s">
        <v>977</v>
      </c>
      <c r="D10" s="577" t="s">
        <v>979</v>
      </c>
      <c r="E10" s="422">
        <f>+E9</f>
        <v>10096</v>
      </c>
      <c r="F10" s="422">
        <f>+FEE_ByContextArea_ByMode!U25</f>
        <v>7980.1108238479956</v>
      </c>
      <c r="I10" s="580">
        <f>SUM(F10:H10)</f>
        <v>7980.1108238479956</v>
      </c>
      <c r="J10" s="877">
        <f>+(I10-E10)/E10</f>
        <v>-0.20957697862044419</v>
      </c>
      <c r="L10" s="577" t="str">
        <f>D10</f>
        <v>Ring 4 In SMART Plan</v>
      </c>
      <c r="M10" s="422">
        <f>+M9</f>
        <v>4430.5665723982493</v>
      </c>
      <c r="N10" s="422">
        <f>+FEE_ByContextArea_ByMode!U28</f>
        <v>3761.8107167503804</v>
      </c>
      <c r="Q10" s="580">
        <f>SUM(N10:P10)</f>
        <v>3761.8107167503804</v>
      </c>
      <c r="R10" s="877">
        <f>+(Q10-M10)/M10</f>
        <v>-0.15094138519757616</v>
      </c>
      <c r="T10" s="577" t="str">
        <f>L10</f>
        <v>Ring 4 In SMART Plan</v>
      </c>
      <c r="U10" s="422">
        <v>14022</v>
      </c>
      <c r="V10" s="422">
        <f>+FEE_ByContextArea_ByMode!U72</f>
        <v>11322.869046266578</v>
      </c>
      <c r="Y10" s="580">
        <f>SUM(V10:X10)</f>
        <v>11322.869046266578</v>
      </c>
      <c r="Z10" s="877">
        <f>+(Y10-U10)/U10</f>
        <v>-0.19249257978415504</v>
      </c>
      <c r="AA10" t="s">
        <v>973</v>
      </c>
      <c r="AB10" s="577" t="str">
        <f>T10</f>
        <v>Ring 4 In SMART Plan</v>
      </c>
      <c r="AC10" s="422">
        <v>14857</v>
      </c>
      <c r="AD10" s="422">
        <f>+FEE_ByContextArea_ByMode!U99</f>
        <v>12228.243058794311</v>
      </c>
      <c r="AG10" s="581">
        <f>SUM(AD10:AF10)</f>
        <v>12228.243058794311</v>
      </c>
      <c r="AH10" s="877">
        <f>+(AG10-AC10)/AC10</f>
        <v>-0.17693726467023552</v>
      </c>
      <c r="AI10" s="578"/>
      <c r="AJ10" s="577" t="str">
        <f>AB10</f>
        <v>Ring 4 In SMART Plan</v>
      </c>
      <c r="AK10" s="422">
        <f>+AK11</f>
        <v>5552.9615203568519</v>
      </c>
      <c r="AL10" s="422">
        <f>+FEE_ByContextArea_ByMode!U20</f>
        <v>1483.9120047287395</v>
      </c>
      <c r="AO10" s="581">
        <f>SUM(AL10:AN10)</f>
        <v>1483.9120047287395</v>
      </c>
      <c r="AP10" s="877">
        <f>+(AO10-AK10)/AK10</f>
        <v>-0.73277106292042549</v>
      </c>
    </row>
    <row r="11" spans="1:47" x14ac:dyDescent="0.25">
      <c r="C11" t="s">
        <v>977</v>
      </c>
      <c r="D11" s="577" t="s">
        <v>980</v>
      </c>
      <c r="E11" s="422">
        <v>10096</v>
      </c>
      <c r="F11" s="422">
        <f>+FEE_ByContextArea_ByMode!AG25</f>
        <v>9765.153041384101</v>
      </c>
      <c r="I11" s="580">
        <f>SUM(F11:H11)</f>
        <v>9765.153041384101</v>
      </c>
      <c r="J11" s="877">
        <f>+(I11-E11)/E11</f>
        <v>-3.27701028739995E-2</v>
      </c>
      <c r="L11" s="577" t="str">
        <f>D11</f>
        <v>Ring 3 Out SMART Plan</v>
      </c>
      <c r="M11" s="422">
        <f>+M10</f>
        <v>4430.5665723982493</v>
      </c>
      <c r="N11" s="422">
        <f>+FEE_ByContextArea_ByMode!AG28</f>
        <v>4603.2765926016173</v>
      </c>
      <c r="Q11" s="580">
        <f>SUM(N11:P11)</f>
        <v>4603.2765926016173</v>
      </c>
      <c r="R11" s="877">
        <f t="shared" si="3"/>
        <v>3.898147502834625E-2</v>
      </c>
      <c r="T11" s="577" t="str">
        <f>L11</f>
        <v>Ring 3 Out SMART Plan</v>
      </c>
      <c r="U11" s="422">
        <v>14022</v>
      </c>
      <c r="V11" s="422">
        <f>+FEE_ByContextArea_ByMode!AG72</f>
        <v>13737.14197762925</v>
      </c>
      <c r="Y11" s="580">
        <f>SUM(V11:X11)</f>
        <v>13737.14197762925</v>
      </c>
      <c r="Z11" s="877">
        <f t="shared" si="5"/>
        <v>-2.0315077904061504E-2</v>
      </c>
      <c r="AB11" s="577" t="str">
        <f>T11</f>
        <v>Ring 3 Out SMART Plan</v>
      </c>
      <c r="AC11" s="422">
        <v>14857</v>
      </c>
      <c r="AD11" s="422">
        <f>+FEE_ByContextArea_ByMode!AG99</f>
        <v>14835.560700139351</v>
      </c>
      <c r="AG11" s="581">
        <f>SUM(AD11:AF11)</f>
        <v>14835.560700139351</v>
      </c>
      <c r="AH11" s="877">
        <f t="shared" si="8"/>
        <v>-1.4430436737328562E-3</v>
      </c>
      <c r="AI11" s="578"/>
      <c r="AJ11" s="577" t="str">
        <f>AB11</f>
        <v>Ring 3 Out SMART Plan</v>
      </c>
      <c r="AK11" s="422">
        <f>+AK9</f>
        <v>5552.9615203568519</v>
      </c>
      <c r="AL11" s="422">
        <f>+FEE_ByContextArea_ByMode!AG20</f>
        <v>1800.3131368889647</v>
      </c>
      <c r="AO11" s="581">
        <f>SUM(AL11:AN11)</f>
        <v>1800.3131368889647</v>
      </c>
      <c r="AP11" s="877">
        <f t="shared" si="11"/>
        <v>-0.6757922542252246</v>
      </c>
    </row>
    <row r="12" spans="1:47" x14ac:dyDescent="0.25">
      <c r="C12" t="s">
        <v>977</v>
      </c>
      <c r="D12" s="577" t="s">
        <v>981</v>
      </c>
      <c r="E12" s="422">
        <v>10096</v>
      </c>
      <c r="F12" s="422">
        <f>+FEE_ByContextArea_ByMode!AK25</f>
        <v>10073.363921374925</v>
      </c>
      <c r="I12" s="580">
        <f>SUM(F12:H12)</f>
        <v>10073.363921374925</v>
      </c>
      <c r="J12" s="877">
        <f>+(I12-E12)/E12</f>
        <v>-2.2420838574757568E-3</v>
      </c>
      <c r="L12" s="577" t="str">
        <f>D12</f>
        <v>Ring 4 Out SMART Plan</v>
      </c>
      <c r="M12" s="422">
        <f>+M10</f>
        <v>4430.5665723982493</v>
      </c>
      <c r="N12" s="422">
        <f>+FEE_ByContextArea_ByMode!AK28</f>
        <v>4748.5666790379682</v>
      </c>
      <c r="Q12" s="580">
        <f>SUM(N12:P12)</f>
        <v>4748.5666790379682</v>
      </c>
      <c r="R12" s="877">
        <f t="shared" si="3"/>
        <v>7.17741402692854E-2</v>
      </c>
      <c r="T12" s="577" t="str">
        <f>L12</f>
        <v>Ring 4 Out SMART Plan</v>
      </c>
      <c r="U12" s="422">
        <v>14022</v>
      </c>
      <c r="V12" s="422">
        <f>+FEE_ByContextArea_ByMode!AK72</f>
        <v>14148.735260870493</v>
      </c>
      <c r="Y12" s="580">
        <f>SUM(V12:X12)</f>
        <v>14148.735260870493</v>
      </c>
      <c r="Z12" s="877">
        <f t="shared" si="5"/>
        <v>9.0383155662882055E-3</v>
      </c>
      <c r="AA12" t="s">
        <v>973</v>
      </c>
      <c r="AB12" s="577" t="str">
        <f>T12</f>
        <v>Ring 4 Out SMART Plan</v>
      </c>
      <c r="AC12" s="422">
        <v>14857</v>
      </c>
      <c r="AD12" s="422">
        <f>+FEE_ByContextArea_ByMode!AK99</f>
        <v>15280.064887927396</v>
      </c>
      <c r="AG12" s="581">
        <f>SUM(AD12:AF12)</f>
        <v>15280.064887927396</v>
      </c>
      <c r="AH12" s="877">
        <f t="shared" si="8"/>
        <v>2.8475795108527685E-2</v>
      </c>
      <c r="AI12" s="578"/>
      <c r="AJ12" s="577" t="str">
        <f>AB12</f>
        <v>Ring 4 Out SMART Plan</v>
      </c>
      <c r="AK12" s="422">
        <f>+AK10</f>
        <v>5552.9615203568519</v>
      </c>
      <c r="AL12" s="422">
        <f>+FEE_ByContextArea_ByMode!AK20</f>
        <v>1854.2542547780552</v>
      </c>
      <c r="AO12" s="581">
        <f>SUM(AL12:AN12)</f>
        <v>1854.2542547780552</v>
      </c>
      <c r="AP12" s="877">
        <f t="shared" si="11"/>
        <v>-0.66607831731221967</v>
      </c>
    </row>
    <row r="13" spans="1:47" x14ac:dyDescent="0.25">
      <c r="D13" s="577"/>
      <c r="E13" s="422"/>
      <c r="F13" s="422"/>
      <c r="I13" s="580"/>
      <c r="J13" s="877"/>
      <c r="L13" s="577"/>
      <c r="M13" s="422"/>
      <c r="N13" s="422"/>
      <c r="Q13" s="580"/>
      <c r="R13" s="877"/>
      <c r="T13" s="577"/>
      <c r="U13" s="422"/>
      <c r="V13" s="422"/>
      <c r="Y13" s="580"/>
      <c r="Z13" s="877"/>
      <c r="AB13" s="577"/>
      <c r="AC13" s="422"/>
      <c r="AD13" s="422"/>
      <c r="AG13" s="581"/>
      <c r="AH13" s="877"/>
      <c r="AI13" s="578"/>
      <c r="AJ13" s="577"/>
      <c r="AK13" s="422"/>
      <c r="AL13" s="422"/>
      <c r="AO13" s="581"/>
      <c r="AP13" s="877"/>
    </row>
    <row r="14" spans="1:47" x14ac:dyDescent="0.25">
      <c r="D14" s="577" t="s">
        <v>982</v>
      </c>
      <c r="E14" s="2">
        <f>I14/(AVERAGE(G14:H14))</f>
        <v>-0.11651608600960296</v>
      </c>
      <c r="G14" s="422">
        <f>E5</f>
        <v>9543.67</v>
      </c>
      <c r="H14" s="422">
        <f>AVERAGE(I5:I10)</f>
        <v>8492.8950194386452</v>
      </c>
      <c r="I14" s="422">
        <f>H14-G14</f>
        <v>-1050.7749805613548</v>
      </c>
      <c r="J14" s="422"/>
      <c r="L14" s="577" t="s">
        <v>982</v>
      </c>
      <c r="M14" s="2">
        <f>Q14/(AVERAGE(O14:P14))</f>
        <v>-4.5080585171425915E-2</v>
      </c>
      <c r="O14" s="422">
        <f>M5</f>
        <v>4188.18</v>
      </c>
      <c r="P14" s="422">
        <f>AVERAGE(Q5:Q10)</f>
        <v>4003.5363174260578</v>
      </c>
      <c r="Q14" s="422">
        <f>P14-O14</f>
        <v>-184.64368257394244</v>
      </c>
      <c r="R14" s="422"/>
      <c r="T14" s="577" t="s">
        <v>982</v>
      </c>
      <c r="U14" s="2">
        <f>Y14/(AVERAGE(W14:X14))</f>
        <v>0.13707213055657996</v>
      </c>
      <c r="W14" s="422">
        <f>AVERAGE(Y5:Y10)</f>
        <v>11558.305802289919</v>
      </c>
      <c r="X14" s="422">
        <f>U5</f>
        <v>13259.2</v>
      </c>
      <c r="Y14" s="422">
        <f>X14-W14</f>
        <v>1700.8941977100822</v>
      </c>
      <c r="Z14" s="422"/>
      <c r="AB14" s="577" t="s">
        <v>982</v>
      </c>
      <c r="AC14" s="2">
        <f>AG14/(AVERAGE(AE14:AF14))</f>
        <v>6.9681246728599197E-2</v>
      </c>
      <c r="AE14" s="422">
        <f>AVERAGE(AG5:AG10)</f>
        <v>12482.505283842005</v>
      </c>
      <c r="AF14" s="422">
        <f>AC5</f>
        <v>13383.7</v>
      </c>
      <c r="AG14" s="422">
        <f>AF14-AE14</f>
        <v>901.19471615799557</v>
      </c>
      <c r="AH14" s="422"/>
      <c r="AJ14" s="577" t="s">
        <v>982</v>
      </c>
      <c r="AK14" s="2">
        <f>AO14/(AVERAGE(AM14:AN14))</f>
        <v>1.0915855216430383</v>
      </c>
      <c r="AM14" s="422">
        <f>AVERAGE(AO5:AO10)</f>
        <v>1469.8483070492621</v>
      </c>
      <c r="AN14" s="422">
        <f>AK5</f>
        <v>5002.3</v>
      </c>
      <c r="AO14" s="422">
        <f>AN14-AM14</f>
        <v>3532.4516929507381</v>
      </c>
    </row>
    <row r="15" spans="1:47" x14ac:dyDescent="0.25">
      <c r="D15" s="577" t="s">
        <v>983</v>
      </c>
      <c r="E15" s="2">
        <f>I15/(AVERAGE(G15:H15))</f>
        <v>-8.6459165346458852E-2</v>
      </c>
      <c r="G15" s="422">
        <f>E9</f>
        <v>10096</v>
      </c>
      <c r="H15" s="422">
        <f>AVERAGE(I9:I12)</f>
        <v>9259.2793511270047</v>
      </c>
      <c r="I15" s="422">
        <f>H15-G15</f>
        <v>-836.7206488729953</v>
      </c>
      <c r="J15" s="422"/>
      <c r="L15" s="577" t="s">
        <v>983</v>
      </c>
      <c r="M15" s="2">
        <f>Q15/(AVERAGE(O15:P15))</f>
        <v>-1.4952853912081376E-2</v>
      </c>
      <c r="O15" s="422">
        <f>M9</f>
        <v>4430.5665723982493</v>
      </c>
      <c r="P15" s="422">
        <f>AVERAGE(Q9:Q12)</f>
        <v>4364.8085924274556</v>
      </c>
      <c r="Q15" s="422">
        <f>P15-O15</f>
        <v>-65.757979970793713</v>
      </c>
      <c r="R15" s="422"/>
      <c r="T15" s="577" t="s">
        <v>983</v>
      </c>
      <c r="U15" s="2">
        <f>Y15/(AVERAGE(W15:X15))</f>
        <v>8.1887434136315759E-2</v>
      </c>
      <c r="W15" s="422">
        <f>AVERAGE(Y7:Y12)</f>
        <v>12918.93786260277</v>
      </c>
      <c r="X15" s="422">
        <f>U9</f>
        <v>14022</v>
      </c>
      <c r="Y15" s="422">
        <f>X15-W15</f>
        <v>1103.0621373972299</v>
      </c>
      <c r="Z15" s="422"/>
      <c r="AB15" s="577" t="s">
        <v>983</v>
      </c>
      <c r="AC15" s="2">
        <f>AG15/(AVERAGE(AE15:AF15))</f>
        <v>6.2832373757876162E-2</v>
      </c>
      <c r="AE15" s="422">
        <f>AVERAGE(AG7:AG12)</f>
        <v>13951.933171695186</v>
      </c>
      <c r="AF15" s="422">
        <f>AC9</f>
        <v>14857</v>
      </c>
      <c r="AG15" s="422">
        <f>AF15-AE15</f>
        <v>905.06682830481441</v>
      </c>
      <c r="AH15" s="422"/>
      <c r="AJ15" s="577" t="s">
        <v>983</v>
      </c>
      <c r="AK15" s="2">
        <f>AO15/(AVERAGE(AM15:AN15))</f>
        <v>1.0844959548407815</v>
      </c>
      <c r="AM15" s="422">
        <f>AVERAGE(AO7:AO12)</f>
        <v>1648.1651488379405</v>
      </c>
      <c r="AN15" s="422">
        <f>AK9</f>
        <v>5552.9615203568519</v>
      </c>
      <c r="AO15" s="422">
        <f>AN15-AM15</f>
        <v>3904.7963715189117</v>
      </c>
    </row>
    <row r="17" spans="29:31" x14ac:dyDescent="0.25">
      <c r="AC17" s="797">
        <f>+AC9/AC7</f>
        <v>1.1100816665047781</v>
      </c>
      <c r="AE17" t="s">
        <v>984</v>
      </c>
    </row>
    <row r="35" spans="7:40" s="878" customFormat="1" x14ac:dyDescent="0.25"/>
    <row r="36" spans="7:40" x14ac:dyDescent="0.25">
      <c r="G36" s="422">
        <f>+FEE_ByContextArea_ByMode!J25</f>
        <v>1697.7333630332978</v>
      </c>
      <c r="H36" s="422">
        <f>+FEE_ByContextArea_ByMode!K25</f>
        <v>110.50661530115225</v>
      </c>
      <c r="O36" s="422">
        <f>+FEE_ByContextArea_ByMode!J28</f>
        <v>800.30862981972211</v>
      </c>
      <c r="P36" s="422">
        <f>+FEE_ByContextArea_ByMode!K26</f>
        <v>85.689451695385017</v>
      </c>
      <c r="W36" s="422">
        <f>+FEE_ByContextArea_ByMode!J72</f>
        <v>3060.2242652058217</v>
      </c>
      <c r="X36" s="422">
        <f>+FEE_ByContextArea_ByMode!K72</f>
        <v>192.26570766961737</v>
      </c>
      <c r="AE36" s="422">
        <f>+FEE_ByContextArea_ByMode!J99</f>
        <v>3304.919095721209</v>
      </c>
      <c r="AF36" s="422">
        <f>+FEE_ByContextArea_ByMode!K99</f>
        <v>207.6392295670309</v>
      </c>
      <c r="AM36" s="422">
        <f>+FEE_ByContextArea_ByMode!J20</f>
        <v>401.0559078044285</v>
      </c>
      <c r="AN36" s="422">
        <f>+FEE_ByContextArea_ByMode!K20</f>
        <v>25.197270280422764</v>
      </c>
    </row>
    <row r="37" spans="7:40" x14ac:dyDescent="0.25">
      <c r="G37" s="422">
        <f>+FEE_ByContextArea_ByMode!N25</f>
        <v>1706.5044396130345</v>
      </c>
      <c r="H37" s="422">
        <f>+FEE_ByContextArea_ByMode!O25</f>
        <v>73.462901705404533</v>
      </c>
      <c r="O37" s="422">
        <f>+FEE_ByContextArea_ByMode!N28</f>
        <v>804.44330045317849</v>
      </c>
      <c r="P37" s="422">
        <f>+FEE_ByContextArea_ByMode!O26</f>
        <v>56.964877169868785</v>
      </c>
      <c r="W37" s="422">
        <f>+FEE_ByContextArea_ByMode!N72</f>
        <v>2384.528982685566</v>
      </c>
      <c r="X37" s="422">
        <f>+FEE_ByContextArea_ByMode!O72</f>
        <v>103.03272532983547</v>
      </c>
      <c r="AE37" s="422">
        <f>+FEE_ByContextArea_ByMode!N99</f>
        <v>2575.1953733522087</v>
      </c>
      <c r="AF37" s="422">
        <f>+FEE_ByContextArea_ByMode!O99</f>
        <v>111.27119842109661</v>
      </c>
      <c r="AM37" s="422">
        <f>+FEE_ByContextArea_ByMode!N20</f>
        <v>312.50305629891795</v>
      </c>
      <c r="AN37" s="422">
        <f>+FEE_ByContextArea_ByMode!O20</f>
        <v>13.502893778257883</v>
      </c>
    </row>
    <row r="38" spans="7:40" x14ac:dyDescent="0.25">
      <c r="G38" s="422">
        <f>'RIFvMIF (Simple)'!G10</f>
        <v>433.83739163209788</v>
      </c>
      <c r="H38" s="422">
        <f>'RIFvMIF (Simple)'!H10</f>
        <v>70.17684694915144</v>
      </c>
      <c r="O38" s="422">
        <f>+FEE_ByContextArea_ByMode!AD28</f>
        <v>204.51021109775806</v>
      </c>
      <c r="P38" s="422">
        <f>+FEE_ByContextArea_ByMode!AE26</f>
        <v>54.416792337689479</v>
      </c>
      <c r="W38" s="422">
        <f>+FEE_ByContextArea_ByMode!AD72</f>
        <v>608.56441435979843</v>
      </c>
      <c r="X38" s="422">
        <f>+FEE_ByContextArea_ByMode!AE72</f>
        <v>99.068405621608051</v>
      </c>
      <c r="AE38" s="422">
        <f>+FEE_ByContextArea_ByMode!AD99</f>
        <v>657.22508538400234</v>
      </c>
      <c r="AF38" s="422">
        <f>+FEE_ByContextArea_ByMode!AE89</f>
        <v>104.22915029640636</v>
      </c>
      <c r="AM38" s="422">
        <f>+FEE_ByContextArea_ByMode!AD20</f>
        <v>79.755054697641228</v>
      </c>
      <c r="AN38" s="422">
        <f>+FEE_ByContextArea_ByMode!AE20</f>
        <v>12.983352169008144</v>
      </c>
    </row>
    <row r="40" spans="7:40" x14ac:dyDescent="0.25">
      <c r="G40" s="649">
        <f>+FEE_ByContextArea_ByMode!R25</f>
        <v>975.91493004221707</v>
      </c>
      <c r="H40" s="649">
        <f>+FEE_ByContextArea_ByMode!S25</f>
        <v>44.474496941823112</v>
      </c>
      <c r="O40" s="422">
        <f>+FEE_ByContextArea_ByMode!R28</f>
        <v>460.04464392879942</v>
      </c>
      <c r="P40" s="422">
        <f>+FEE_ByContextArea_ByMode!S26</f>
        <v>34.486580255735724</v>
      </c>
      <c r="W40" s="422">
        <f>+FEE_ByContextArea_ByMode!R72</f>
        <v>1395.4357626390006</v>
      </c>
      <c r="X40" s="422">
        <f>+FEE_ByContextArea_ByMode!S72</f>
        <v>62.648977103656335</v>
      </c>
      <c r="AE40" s="422">
        <f>+FEE_ByContextArea_ByMode!R99</f>
        <v>1507.0144862365978</v>
      </c>
      <c r="AF40" s="422">
        <f>+FEE_ByContextArea_ByMode!S99</f>
        <v>67.658374947023376</v>
      </c>
      <c r="AM40" s="422">
        <f>+FEE_ByContextArea_ByMode!V20</f>
        <v>291.3686857783452</v>
      </c>
      <c r="AN40" s="422">
        <f>+FEE_ByContextArea_ByMode!W20</f>
        <v>7.8711766118785063</v>
      </c>
    </row>
    <row r="41" spans="7:40" x14ac:dyDescent="0.25">
      <c r="G41" s="422">
        <f>+FEE_ByContextArea_ByMode!V25</f>
        <v>1527.5477625441074</v>
      </c>
      <c r="H41" s="422">
        <f>+FEE_ByContextArea_ByMode!W25</f>
        <v>42.390266636781412</v>
      </c>
      <c r="O41" s="422">
        <f>+FEE_ByContextArea_ByMode!V28</f>
        <v>720.08342619928817</v>
      </c>
      <c r="P41" s="422">
        <f>+FEE_ByContextArea_ByMode!W26</f>
        <v>32.870418620894064</v>
      </c>
      <c r="W41" s="422">
        <f>+FEE_ByContextArea_ByMode!V72</f>
        <v>2223.2648989547606</v>
      </c>
      <c r="X41" s="422">
        <f>+FEE_ByContextArea_ByMode!W72</f>
        <v>60.060368628548545</v>
      </c>
      <c r="AE41" s="422">
        <f>+FEE_ByContextArea_ByMode!V99</f>
        <v>2401.036650465252</v>
      </c>
      <c r="AF41" s="422">
        <f>+FEE_ByContextArea_ByMode!W99</f>
        <v>64.862781931831705</v>
      </c>
      <c r="AM41" s="422">
        <f>+FEE_ByContextArea_ByMode!V20</f>
        <v>291.3686857783452</v>
      </c>
      <c r="AN41" s="422">
        <f>+FEE_ByContextArea_ByMode!W20</f>
        <v>7.8711766118785063</v>
      </c>
    </row>
    <row r="42" spans="7:40" x14ac:dyDescent="0.25">
      <c r="G42" s="422">
        <f>+FEE_ByContextArea_ByMode!AH25</f>
        <v>157.63010553404891</v>
      </c>
      <c r="H42" s="422">
        <f>+FEE_ByContextArea_ByMode!AI25</f>
        <v>69.007235103160085</v>
      </c>
      <c r="O42" s="422">
        <f>+FEE_ByContextArea_ByMode!AH28</f>
        <v>74.306564579080273</v>
      </c>
      <c r="P42" s="422">
        <f>+FEE_ByContextArea_ByMode!AI26</f>
        <v>53.509847558806342</v>
      </c>
      <c r="W42" s="422">
        <f>+FEE_ByContextArea_ByMode!AH72</f>
        <v>222.51204435410722</v>
      </c>
      <c r="X42" s="422">
        <f>+FEE_ByContextArea_ByMode!AI72</f>
        <v>96.930976415558547</v>
      </c>
      <c r="AE42" s="422">
        <f>+FEE_ByContextArea_ByMode!AH99</f>
        <v>240.30405639711955</v>
      </c>
      <c r="AF42" s="422">
        <f>+FEE_ByContextArea_ByMode!AI99</f>
        <v>104.68155506280708</v>
      </c>
      <c r="AM42" s="422">
        <f>+FEE_ByContextArea_ByMode!AH20</f>
        <v>29.161186309283028</v>
      </c>
      <c r="AN42" s="422">
        <f>+FEE_ByContextArea_ByMode!AI20</f>
        <v>12.703232629944811</v>
      </c>
    </row>
    <row r="43" spans="7:40" x14ac:dyDescent="0.25">
      <c r="G43" s="422">
        <f>+FEE_ByContextArea_ByMode!AL25</f>
        <v>607.34970997571668</v>
      </c>
      <c r="H43" s="422">
        <f>+FEE_ByContextArea_ByMode!AM25</f>
        <v>38.850955490641837</v>
      </c>
      <c r="O43" s="422">
        <f>+FEE_ByContextArea_ByMode!AL28</f>
        <v>286.30362387626479</v>
      </c>
      <c r="P43" s="422">
        <f>+FEE_ByContextArea_ByMode!AM26</f>
        <v>30.125952774523125</v>
      </c>
      <c r="W43" s="422">
        <f>+FEE_ByContextArea_ByMode!AL72</f>
        <v>878.97526107863359</v>
      </c>
      <c r="X43" s="422">
        <f>+FEE_ByContextArea_ByMode!AM72</f>
        <v>54.490762223143399</v>
      </c>
      <c r="AE43" s="422">
        <f>+FEE_ByContextArea_ByMode!AL99</f>
        <v>949.25792139940881</v>
      </c>
      <c r="AF43" s="422">
        <f>+FEE_ByContextArea_ByMode!AM99</f>
        <v>58.847831075399412</v>
      </c>
      <c r="AM43" s="422">
        <f>+FEE_ByContextArea_ByMode!AL20</f>
        <v>115.19359063895814</v>
      </c>
      <c r="AN43" s="422">
        <f>+FEE_ByContextArea_ByMode!AM20</f>
        <v>7.141255089972371</v>
      </c>
    </row>
    <row r="69" spans="3:22" x14ac:dyDescent="0.25">
      <c r="C69" s="574"/>
      <c r="D69" s="574"/>
      <c r="E69" s="574" t="s">
        <v>963</v>
      </c>
      <c r="F69" s="574"/>
      <c r="G69" s="574" t="s">
        <v>964</v>
      </c>
      <c r="H69" s="574"/>
    </row>
    <row r="70" spans="3:22" x14ac:dyDescent="0.25">
      <c r="C70" s="574" t="str">
        <f>RoadCapCost!A11</f>
        <v xml:space="preserve">  Class II arterial add 2 lanes</v>
      </c>
      <c r="D70" s="574"/>
      <c r="E70" s="574" t="s">
        <v>677</v>
      </c>
      <c r="F70" s="574" t="s">
        <v>676</v>
      </c>
      <c r="G70" s="574" t="s">
        <v>677</v>
      </c>
      <c r="H70" s="574" t="s">
        <v>674</v>
      </c>
    </row>
    <row r="71" spans="3:22" x14ac:dyDescent="0.25">
      <c r="C71" s="574"/>
      <c r="D71" s="575" t="s">
        <v>104</v>
      </c>
      <c r="E71" s="575" t="str">
        <f>RoadCapCost!Q11</f>
        <v>E</v>
      </c>
      <c r="F71" s="195">
        <f>RoadCapCost!T11</f>
        <v>402.63157894736844</v>
      </c>
      <c r="G71" s="575" t="str">
        <f>RoadCapCost!AH11</f>
        <v>E</v>
      </c>
      <c r="H71" s="195">
        <f>RoadCapCost!AJ11</f>
        <v>402.63157894736844</v>
      </c>
      <c r="I71" s="576"/>
      <c r="J71" s="576"/>
      <c r="K71" s="576"/>
      <c r="L71" s="576"/>
      <c r="M71" s="576"/>
      <c r="N71" s="576"/>
      <c r="O71" s="576"/>
      <c r="P71" s="576"/>
      <c r="S71" s="576"/>
      <c r="T71" s="576"/>
      <c r="U71" s="576"/>
      <c r="V71" s="576"/>
    </row>
    <row r="72" spans="3:22" x14ac:dyDescent="0.25">
      <c r="C72" s="574"/>
      <c r="D72" s="575" t="s">
        <v>105</v>
      </c>
      <c r="E72" s="575" t="str">
        <f>RoadCapCost!U11</f>
        <v>E</v>
      </c>
      <c r="F72" s="195">
        <f>RoadCapCost!X11</f>
        <v>402.63157894736844</v>
      </c>
      <c r="G72" s="575" t="str">
        <f>RoadCapCost!AL11</f>
        <v>E</v>
      </c>
      <c r="H72" s="195">
        <f>RoadCapCost!AN11</f>
        <v>402.63157894736844</v>
      </c>
    </row>
    <row r="73" spans="3:22" x14ac:dyDescent="0.25">
      <c r="C73" s="574"/>
      <c r="D73" s="575" t="s">
        <v>106</v>
      </c>
      <c r="E73" s="575" t="str">
        <f>RoadCapCost!Y11</f>
        <v>E</v>
      </c>
      <c r="F73" s="195">
        <f>RoadCapCost!AB11</f>
        <v>402.63157894736844</v>
      </c>
      <c r="G73" s="575" t="str">
        <f>RoadCapCost!AP11</f>
        <v>E</v>
      </c>
      <c r="H73" s="195">
        <f>RoadCapCost!AR11</f>
        <v>402.63157894736844</v>
      </c>
    </row>
    <row r="74" spans="3:22" x14ac:dyDescent="0.25">
      <c r="C74" s="574"/>
      <c r="D74" s="575" t="s">
        <v>107</v>
      </c>
      <c r="E74" s="575" t="str">
        <f>RoadCapCost!AC11</f>
        <v>E</v>
      </c>
      <c r="F74" s="195">
        <f>RoadCapCost!AF11</f>
        <v>402.63157894736844</v>
      </c>
      <c r="G74" s="575" t="str">
        <f>RoadCapCost!AT11</f>
        <v>E</v>
      </c>
      <c r="H74" s="195">
        <f>RoadCapCost!AV11</f>
        <v>402.63157894736844</v>
      </c>
    </row>
    <row r="75" spans="3:22" x14ac:dyDescent="0.25">
      <c r="F75" s="194"/>
      <c r="H75" s="194"/>
    </row>
    <row r="76" spans="3:22" x14ac:dyDescent="0.25">
      <c r="F76" s="194"/>
      <c r="H76" s="194"/>
    </row>
    <row r="77" spans="3:22" x14ac:dyDescent="0.25">
      <c r="F77" s="194"/>
      <c r="H77" s="194"/>
    </row>
    <row r="78" spans="3:22" x14ac:dyDescent="0.25">
      <c r="F78" s="194"/>
      <c r="H78" s="194"/>
    </row>
    <row r="79" spans="3:22" x14ac:dyDescent="0.25">
      <c r="F79" s="194"/>
      <c r="H79" s="194"/>
    </row>
    <row r="80" spans="3:22" x14ac:dyDescent="0.25">
      <c r="F80" s="194"/>
    </row>
    <row r="81" spans="6:6" x14ac:dyDescent="0.25">
      <c r="F81" s="194"/>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3137-68B8-1F4B-933D-35B5525EEC41}">
  <sheetPr>
    <tabColor theme="5" tint="-0.249977111117893"/>
  </sheetPr>
  <dimension ref="A1:AU81"/>
  <sheetViews>
    <sheetView topLeftCell="M1" workbookViewId="0">
      <selection activeCell="M13" sqref="A13:XFD13"/>
    </sheetView>
  </sheetViews>
  <sheetFormatPr defaultColWidth="9" defaultRowHeight="15.75" x14ac:dyDescent="0.25"/>
  <cols>
    <col min="4" max="4" width="22.85546875" customWidth="1"/>
    <col min="5" max="5" width="11.140625" customWidth="1"/>
    <col min="12" max="12" width="24.5703125" customWidth="1"/>
    <col min="14" max="15" width="13.5703125" customWidth="1"/>
    <col min="17" max="17" width="9.42578125" bestFit="1" customWidth="1"/>
    <col min="18" max="18" width="9.42578125" customWidth="1"/>
    <col min="20" max="20" width="21.140625" customWidth="1"/>
    <col min="28" max="28" width="20.140625" customWidth="1"/>
    <col min="36" max="36" width="22.140625" customWidth="1"/>
    <col min="39" max="39" width="10.5703125" bestFit="1" customWidth="1"/>
  </cols>
  <sheetData>
    <row r="1" spans="1:47" s="876" customFormat="1" ht="33" customHeight="1" x14ac:dyDescent="0.25">
      <c r="A1" s="876" t="s">
        <v>955</v>
      </c>
    </row>
    <row r="2" spans="1:47" x14ac:dyDescent="0.25">
      <c r="I2" s="578"/>
      <c r="J2" s="578"/>
      <c r="Q2" s="578"/>
      <c r="R2" s="578"/>
      <c r="Y2" s="578"/>
      <c r="Z2" s="578"/>
    </row>
    <row r="3" spans="1:47" x14ac:dyDescent="0.25">
      <c r="D3" s="648" t="s">
        <v>956</v>
      </c>
      <c r="E3" s="577"/>
      <c r="F3" s="577"/>
      <c r="G3" s="577"/>
      <c r="H3" s="577"/>
      <c r="I3" s="579"/>
      <c r="J3" s="579"/>
      <c r="L3" s="577" t="s">
        <v>957</v>
      </c>
      <c r="M3" s="577"/>
      <c r="N3" s="577"/>
      <c r="O3" s="577"/>
      <c r="P3" s="577"/>
      <c r="Q3" s="579"/>
      <c r="R3" s="579"/>
      <c r="T3" s="577" t="s">
        <v>958</v>
      </c>
      <c r="U3" s="577"/>
      <c r="V3" s="577"/>
      <c r="W3" s="577"/>
      <c r="X3" s="577"/>
      <c r="Y3" s="579"/>
      <c r="Z3" s="579"/>
      <c r="AB3" s="577" t="s">
        <v>959</v>
      </c>
      <c r="AC3" s="577"/>
      <c r="AD3" s="577" t="s">
        <v>965</v>
      </c>
      <c r="AE3" s="577"/>
      <c r="AF3" s="577"/>
      <c r="AG3" s="579"/>
      <c r="AH3" s="579"/>
      <c r="AI3" s="578"/>
      <c r="AJ3" s="577" t="s">
        <v>966</v>
      </c>
      <c r="AK3" s="577"/>
      <c r="AL3" s="577" t="s">
        <v>965</v>
      </c>
      <c r="AM3" s="577"/>
      <c r="AN3" s="577"/>
      <c r="AO3" s="579"/>
      <c r="AP3" s="579"/>
      <c r="AS3" t="s">
        <v>967</v>
      </c>
      <c r="AU3" s="2"/>
    </row>
    <row r="4" spans="1:47" x14ac:dyDescent="0.25">
      <c r="D4" s="577"/>
      <c r="E4" s="577" t="s">
        <v>968</v>
      </c>
      <c r="F4" s="577" t="s">
        <v>121</v>
      </c>
      <c r="G4" s="577" t="s">
        <v>63</v>
      </c>
      <c r="H4" s="577" t="s">
        <v>961</v>
      </c>
      <c r="I4" s="579" t="s">
        <v>962</v>
      </c>
      <c r="J4" s="579" t="s">
        <v>969</v>
      </c>
      <c r="L4" s="577"/>
      <c r="M4" s="577" t="str">
        <f>E4</f>
        <v>RIF</v>
      </c>
      <c r="N4" s="577" t="s">
        <v>121</v>
      </c>
      <c r="O4" s="577" t="s">
        <v>63</v>
      </c>
      <c r="P4" s="577" t="s">
        <v>961</v>
      </c>
      <c r="Q4" s="579" t="s">
        <v>962</v>
      </c>
      <c r="R4" s="579" t="s">
        <v>969</v>
      </c>
      <c r="T4" s="577"/>
      <c r="U4" s="577" t="str">
        <f>E4</f>
        <v>RIF</v>
      </c>
      <c r="V4" s="577" t="s">
        <v>121</v>
      </c>
      <c r="W4" s="577" t="s">
        <v>63</v>
      </c>
      <c r="X4" s="577" t="s">
        <v>961</v>
      </c>
      <c r="Y4" s="579" t="s">
        <v>962</v>
      </c>
      <c r="Z4" s="579" t="s">
        <v>969</v>
      </c>
      <c r="AB4" s="577"/>
      <c r="AC4" s="577" t="str">
        <f>E4</f>
        <v>RIF</v>
      </c>
      <c r="AD4" s="577" t="s">
        <v>121</v>
      </c>
      <c r="AE4" s="577" t="s">
        <v>63</v>
      </c>
      <c r="AF4" s="577" t="s">
        <v>961</v>
      </c>
      <c r="AG4" s="579" t="s">
        <v>962</v>
      </c>
      <c r="AH4" s="579" t="s">
        <v>969</v>
      </c>
      <c r="AI4" s="578"/>
      <c r="AJ4" s="577"/>
      <c r="AK4" s="577" t="str">
        <f>M4</f>
        <v>RIF</v>
      </c>
      <c r="AL4" s="577" t="s">
        <v>121</v>
      </c>
      <c r="AM4" s="577" t="s">
        <v>63</v>
      </c>
      <c r="AN4" s="577" t="s">
        <v>961</v>
      </c>
      <c r="AO4" s="579" t="s">
        <v>962</v>
      </c>
      <c r="AP4" s="579" t="s">
        <v>969</v>
      </c>
      <c r="AS4" t="s">
        <v>970</v>
      </c>
      <c r="AT4" s="422">
        <f>AVERAGE(M5,U5,AC5,E5)</f>
        <v>10093.6875</v>
      </c>
      <c r="AU4" s="2">
        <f>(AT5-AT4)/(AT4+AT5)</f>
        <v>3.6175759371584508E-2</v>
      </c>
    </row>
    <row r="5" spans="1:47" x14ac:dyDescent="0.25">
      <c r="C5" t="s">
        <v>971</v>
      </c>
      <c r="D5" s="577" t="s">
        <v>972</v>
      </c>
      <c r="E5" s="422">
        <f>+FEE_1_In!G22</f>
        <v>9543.67</v>
      </c>
      <c r="F5" s="422">
        <f>+FEE_ByContextArea_ByMode!I25</f>
        <v>7843.4177405852297</v>
      </c>
      <c r="H5" s="422">
        <f>+FEE_ByContextArea_ByMode!K25</f>
        <v>110.50661530115225</v>
      </c>
      <c r="I5" s="580">
        <f>SUM(F5:H5)</f>
        <v>7953.9243558863818</v>
      </c>
      <c r="J5" s="877">
        <f>+(I5-E5)/E5</f>
        <v>-0.16657592352979705</v>
      </c>
      <c r="L5" s="577" t="str">
        <f>D5</f>
        <v>Ring 1 In SMART Plan</v>
      </c>
      <c r="M5" s="422">
        <f>+FEE_ByContextArea!G28</f>
        <v>4188.18</v>
      </c>
      <c r="N5" s="422">
        <f>+FEE_ByContextArea_ByMode!I28</f>
        <v>3697.3738289835037</v>
      </c>
      <c r="P5" s="422">
        <f>+FEE_ByContextArea_ByMode!K26</f>
        <v>85.689451695385017</v>
      </c>
      <c r="Q5" s="580">
        <f>SUM(N5:P5)</f>
        <v>3783.0632806788885</v>
      </c>
      <c r="R5" s="877">
        <f>+(Q5-M5)/M5</f>
        <v>-9.6728583614150238E-2</v>
      </c>
      <c r="T5" s="577" t="str">
        <f>L5</f>
        <v>Ring 1 In SMART Plan</v>
      </c>
      <c r="U5" s="422">
        <f>+FEE_ByContextArea_ByMode!G72</f>
        <v>13259.2</v>
      </c>
      <c r="V5" s="422">
        <f>+FEE_ByContextArea_ByMode!I72</f>
        <v>8998.6743192378799</v>
      </c>
      <c r="X5" s="422">
        <f>+FEE_ByContextArea_ByMode!K72</f>
        <v>192.26570766961737</v>
      </c>
      <c r="Y5" s="580">
        <f>SUM(V5:X5)</f>
        <v>9190.9400269074977</v>
      </c>
      <c r="Z5" s="877">
        <f>+(Y5-U5)/U5</f>
        <v>-0.30682544746987017</v>
      </c>
      <c r="AA5" t="s">
        <v>973</v>
      </c>
      <c r="AB5" s="577" t="str">
        <f>T5</f>
        <v>Ring 1 In SMART Plan</v>
      </c>
      <c r="AC5" s="422">
        <f>+FEE_ByContextArea!G99</f>
        <v>13383.7</v>
      </c>
      <c r="AD5" s="422">
        <f>+FEE_ByContextArea_ByMode!I99</f>
        <v>9718.2062543462307</v>
      </c>
      <c r="AF5" s="422">
        <f>+FEE_ByContextArea_ByMode!K99</f>
        <v>207.6392295670309</v>
      </c>
      <c r="AG5" s="581">
        <f>SUM(AD5:AF5)</f>
        <v>9925.845483913261</v>
      </c>
      <c r="AH5" s="877">
        <f>+(AG5-AC5)/AC5</f>
        <v>-0.25836312201310097</v>
      </c>
      <c r="AI5" s="578"/>
      <c r="AJ5" s="577" t="str">
        <f>AB5</f>
        <v>Ring 1 In SMART Plan</v>
      </c>
      <c r="AK5" s="422">
        <f>+FEE_ByContextArea_ByMode!G20</f>
        <v>5002.3</v>
      </c>
      <c r="AL5" s="422">
        <f>+FEE_ByContextArea_ByMode!I20</f>
        <v>1179.3160191465954</v>
      </c>
      <c r="AN5" s="422">
        <f>+FEE_ByContextArea_ByMode!K20</f>
        <v>25.197270280422764</v>
      </c>
      <c r="AO5" s="581">
        <f>SUM(AL5:AN5)</f>
        <v>1204.5132894270182</v>
      </c>
      <c r="AP5" s="877">
        <f>+(AO5-AK5)/AK5</f>
        <v>-0.75920810638565894</v>
      </c>
      <c r="AS5" t="s">
        <v>974</v>
      </c>
      <c r="AT5" s="422">
        <f>AVERAGE(E9,M9,U9,AC9)</f>
        <v>10851.391643099563</v>
      </c>
      <c r="AU5" s="2"/>
    </row>
    <row r="6" spans="1:47" x14ac:dyDescent="0.25">
      <c r="B6" s="422"/>
      <c r="C6" t="s">
        <v>971</v>
      </c>
      <c r="D6" s="577" t="s">
        <v>975</v>
      </c>
      <c r="E6" s="422">
        <f t="shared" ref="E6" si="0">+E5</f>
        <v>9543.67</v>
      </c>
      <c r="F6" s="422">
        <f>+FEE_ByContextArea_ByMode!M25</f>
        <v>8623.2698278700536</v>
      </c>
      <c r="H6" s="422">
        <f>+FEE_ByContextArea_ByMode!O25</f>
        <v>73.462901705404533</v>
      </c>
      <c r="I6" s="580">
        <f>SUM(F6:H6)</f>
        <v>8696.7327295754585</v>
      </c>
      <c r="J6" s="877">
        <f>+(I6-E6)/E6</f>
        <v>-8.8743352444556611E-2</v>
      </c>
      <c r="L6" s="577" t="str">
        <f>D6</f>
        <v>Ring 2 In SMART Plan</v>
      </c>
      <c r="M6" s="422">
        <f t="shared" ref="M6" si="1">+M5</f>
        <v>4188.18</v>
      </c>
      <c r="N6" s="422">
        <f>+FEE_ByContextArea_ByMode!M28</f>
        <v>4064.9947811463717</v>
      </c>
      <c r="P6" s="422">
        <f>+FEE_ByContextArea_ByMode!O26</f>
        <v>56.964877169868785</v>
      </c>
      <c r="Q6" s="580">
        <f>SUM(N6:P6)</f>
        <v>4121.9596583162402</v>
      </c>
      <c r="R6" s="877">
        <f t="shared" ref="R6:R12" si="2">+(Q6-M6)/M6</f>
        <v>-1.5811245381946365E-2</v>
      </c>
      <c r="T6" s="577" t="str">
        <f t="shared" ref="T6" si="3">L6</f>
        <v>Ring 2 In SMART Plan</v>
      </c>
      <c r="U6" s="422">
        <f>+U5</f>
        <v>13259.2</v>
      </c>
      <c r="V6" s="422">
        <f>+FEE_ByContextArea_ByMode!M72</f>
        <v>12084.042617697605</v>
      </c>
      <c r="X6" s="422">
        <f>+FEE_ByContextArea_ByMode!O72</f>
        <v>103.03272532983547</v>
      </c>
      <c r="Y6" s="580">
        <f>SUM(V6:X6)</f>
        <v>12187.07534302744</v>
      </c>
      <c r="Z6" s="877">
        <f t="shared" ref="Z6:Z12" si="4">+(Y6-U6)/U6</f>
        <v>-8.0858924895360257E-2</v>
      </c>
      <c r="AA6" t="s">
        <v>973</v>
      </c>
      <c r="AB6" s="577" t="str">
        <f t="shared" ref="AB6" si="5">T6</f>
        <v>Ring 2 In SMART Plan</v>
      </c>
      <c r="AC6" s="422">
        <f>+AC5</f>
        <v>13383.7</v>
      </c>
      <c r="AD6" s="422">
        <f>+FEE_ByContextArea_ByMode!M99</f>
        <v>13050.279894454625</v>
      </c>
      <c r="AF6" s="422">
        <f>+FEE_ByContextArea_ByMode!O99</f>
        <v>111.27119842109661</v>
      </c>
      <c r="AG6" s="581">
        <f>SUM(AD6:AF6)</f>
        <v>13161.551092875721</v>
      </c>
      <c r="AH6" s="877">
        <f t="shared" ref="AH6:AH12" si="6">+(AG6-AC6)/AC6</f>
        <v>-1.6598467324004534E-2</v>
      </c>
      <c r="AI6" s="578"/>
      <c r="AJ6" s="577" t="str">
        <f t="shared" ref="AJ6" si="7">AB6</f>
        <v>Ring 2 In SMART Plan</v>
      </c>
      <c r="AK6" s="422">
        <f>+AK5</f>
        <v>5002.3</v>
      </c>
      <c r="AL6" s="422">
        <f>+FEE_ByContextArea_ByMode!M20</f>
        <v>1583.6671635770333</v>
      </c>
      <c r="AN6" s="422">
        <f>+FEE_ByContextArea_ByMode!O20</f>
        <v>13.502893778257883</v>
      </c>
      <c r="AO6" s="581">
        <f>SUM(AL6:AN6)</f>
        <v>1597.1700573552912</v>
      </c>
      <c r="AP6" s="877">
        <f t="shared" ref="AP6:AP12" si="8">+(AO6-AK6)/AK6</f>
        <v>-0.6807128606130598</v>
      </c>
    </row>
    <row r="7" spans="1:47" x14ac:dyDescent="0.25">
      <c r="C7" t="s">
        <v>971</v>
      </c>
      <c r="D7" s="577" t="s">
        <v>976</v>
      </c>
      <c r="E7" s="422">
        <f>+E6</f>
        <v>9543.67</v>
      </c>
      <c r="F7" s="422">
        <f>'RIFvMIF (Simple)'!F10</f>
        <v>8799.187086988959</v>
      </c>
      <c r="H7" s="422">
        <f>'RIFvMIF (Simple)'!H10</f>
        <v>70.17684694915144</v>
      </c>
      <c r="I7" s="580">
        <f>SUM(F7:H7)</f>
        <v>8869.3639339381098</v>
      </c>
      <c r="J7" s="877">
        <f>+(I7-E7)/E7</f>
        <v>-7.0654796955666982E-2</v>
      </c>
      <c r="L7" s="577" t="str">
        <f>D7</f>
        <v>Ring 2 Out SMART Plan</v>
      </c>
      <c r="M7" s="422">
        <f>+M6</f>
        <v>4188.18</v>
      </c>
      <c r="N7" s="422">
        <f>+FEE_ByContextArea_ByMode!AC28</f>
        <v>4147.9218789301776</v>
      </c>
      <c r="P7" s="422">
        <f>+FEE_ByContextArea_ByMode!AE26</f>
        <v>54.416792337689479</v>
      </c>
      <c r="Q7" s="580">
        <f>SUM(N7:P7)</f>
        <v>4202.3386712678675</v>
      </c>
      <c r="R7" s="877">
        <f>+(Q7-M7)/M7</f>
        <v>3.3806262548093081E-3</v>
      </c>
      <c r="T7" s="577" t="str">
        <f>L7</f>
        <v>Ring 2 Out SMART Plan</v>
      </c>
      <c r="U7" s="422">
        <f>+U6</f>
        <v>13259.2</v>
      </c>
      <c r="V7" s="422">
        <f>+FEE_ByContextArea_ByMode!AC72</f>
        <v>12349.330733972771</v>
      </c>
      <c r="X7" s="422">
        <f>+FEE_ByContextArea_ByMode!AE72</f>
        <v>99.068405621608051</v>
      </c>
      <c r="Y7" s="580">
        <f>SUM(V7:X7)</f>
        <v>12448.399139594379</v>
      </c>
      <c r="Z7" s="877">
        <f>+(Y7-U7)/U7</f>
        <v>-6.1150058857670241E-2</v>
      </c>
      <c r="AA7" t="s">
        <v>973</v>
      </c>
      <c r="AB7" s="577" t="str">
        <f>L7</f>
        <v>Ring 2 Out SMART Plan</v>
      </c>
      <c r="AC7" s="422">
        <f>+AC6</f>
        <v>13383.7</v>
      </c>
      <c r="AD7" s="422">
        <f>+FEE_ByContextArea_ByMode!AC99</f>
        <v>13336.780387674762</v>
      </c>
      <c r="AF7" s="422">
        <f>+FEE_ByContextArea_ByMode!AE89</f>
        <v>104.22915029640636</v>
      </c>
      <c r="AG7" s="581">
        <f>SUM(AD7:AF7)</f>
        <v>13441.009537971169</v>
      </c>
      <c r="AH7" s="877">
        <f>+(AG7-AC7)/AC7</f>
        <v>4.2820399419568975E-3</v>
      </c>
      <c r="AI7" s="578"/>
      <c r="AJ7" s="577" t="str">
        <f>T7</f>
        <v>Ring 2 Out SMART Plan</v>
      </c>
      <c r="AK7" s="422">
        <f>+AK6</f>
        <v>5002.3</v>
      </c>
      <c r="AL7" s="422">
        <f>+FEE_ByContextArea_ByMode!AC20</f>
        <v>1618.4343430652029</v>
      </c>
      <c r="AN7" s="422">
        <f>+FEE_ByContextArea_ByMode!AE20</f>
        <v>12.983352169008144</v>
      </c>
      <c r="AO7" s="581">
        <f>SUM(AL7:AN7)</f>
        <v>1631.4176952342111</v>
      </c>
      <c r="AP7" s="877">
        <f>+(AO7-AK7)/AK7</f>
        <v>-0.67386648237126701</v>
      </c>
    </row>
    <row r="9" spans="1:47" x14ac:dyDescent="0.25">
      <c r="C9" t="s">
        <v>977</v>
      </c>
      <c r="D9" s="577" t="s">
        <v>978</v>
      </c>
      <c r="E9" s="422">
        <v>10096</v>
      </c>
      <c r="F9" s="422">
        <f>+FEE_ByContextArea_ByMode!Q25</f>
        <v>9218.4896179009975</v>
      </c>
      <c r="H9" s="649">
        <f>+FEE_ByContextArea_ByMode!S25</f>
        <v>44.474496941823112</v>
      </c>
      <c r="I9" s="580">
        <f>SUM(F9:H9)</f>
        <v>9262.96411484282</v>
      </c>
      <c r="J9" s="877">
        <f>+(I9-E9)/E9</f>
        <v>-8.2511478323809437E-2</v>
      </c>
      <c r="L9" s="577" t="str">
        <f>D9</f>
        <v>Ring 3 In SMART Plan</v>
      </c>
      <c r="M9" s="422">
        <f>+M6*E9/E6</f>
        <v>4430.5665723982493</v>
      </c>
      <c r="N9" s="422">
        <f>+FEE_ByContextArea_ByMode!Q28</f>
        <v>4345.5803813198563</v>
      </c>
      <c r="P9" s="422">
        <f>+FEE_ByContextArea_ByMode!S26</f>
        <v>34.486580255735724</v>
      </c>
      <c r="Q9" s="580">
        <f>SUM(N9:P9)</f>
        <v>4380.0669615755924</v>
      </c>
      <c r="R9" s="877">
        <f>+(Q9-M9)/M9</f>
        <v>-1.1398002941037325E-2</v>
      </c>
      <c r="T9" s="577" t="str">
        <f>L9</f>
        <v>Ring 3 In SMART Plan</v>
      </c>
      <c r="U9" s="422">
        <v>14022</v>
      </c>
      <c r="V9" s="422">
        <f>+FEE_ByContextArea_ByMode!Q72</f>
        <v>13036.612294274757</v>
      </c>
      <c r="X9" s="422">
        <f>+FEE_ByContextArea_ByMode!S72</f>
        <v>62.648977103656335</v>
      </c>
      <c r="Y9" s="580">
        <f>SUM(V9:X9)</f>
        <v>13099.261271378413</v>
      </c>
      <c r="Z9" s="877">
        <f>+(Y9-U9)/U9</f>
        <v>-6.5806498974581878E-2</v>
      </c>
      <c r="AA9" t="s">
        <v>973</v>
      </c>
      <c r="AB9" s="577" t="str">
        <f>T9</f>
        <v>Ring 3 In SMART Plan</v>
      </c>
      <c r="AC9" s="422">
        <v>14857</v>
      </c>
      <c r="AD9" s="422">
        <f>+FEE_ByContextArea_ByMode!Q99</f>
        <v>14079.016823940106</v>
      </c>
      <c r="AF9" s="422">
        <f>+FEE_ByContextArea_ByMode!S99</f>
        <v>67.658374947023376</v>
      </c>
      <c r="AG9" s="581">
        <f>SUM(AD9:AF9)</f>
        <v>14146.675198887129</v>
      </c>
      <c r="AH9" s="877">
        <f>+(AG9-AC9)/AC9</f>
        <v>-4.7810782870893909E-2</v>
      </c>
      <c r="AI9" s="578"/>
      <c r="AJ9" s="577" t="str">
        <f>AB9</f>
        <v>Ring 3 In SMART Plan</v>
      </c>
      <c r="AK9" s="422">
        <f>+AK7*AC17</f>
        <v>5552.9615203568519</v>
      </c>
      <c r="AL9" s="422">
        <f>+FEE_ByContextArea_ByMode!U20</f>
        <v>1483.9120047287395</v>
      </c>
      <c r="AN9" s="422">
        <f>+FEE_ByContextArea_ByMode!W20</f>
        <v>7.8711766118785063</v>
      </c>
      <c r="AO9" s="581">
        <f>SUM(AL9:AN9)</f>
        <v>1491.7831813406181</v>
      </c>
      <c r="AP9" s="877">
        <f>+(AO9-AK9)/AK9</f>
        <v>-0.73135358927451177</v>
      </c>
    </row>
    <row r="10" spans="1:47" x14ac:dyDescent="0.25">
      <c r="C10" t="s">
        <v>977</v>
      </c>
      <c r="D10" s="577" t="s">
        <v>979</v>
      </c>
      <c r="E10" s="422">
        <f>+E9</f>
        <v>10096</v>
      </c>
      <c r="F10" s="422">
        <f>+FEE_ByContextArea_ByMode!U25</f>
        <v>7980.1108238479956</v>
      </c>
      <c r="H10" s="422">
        <f>+FEE_ByContextArea_ByMode!W25</f>
        <v>42.390266636781412</v>
      </c>
      <c r="I10" s="580">
        <f>SUM(F10:H10)</f>
        <v>8022.5010904847768</v>
      </c>
      <c r="J10" s="877">
        <f>+(I10-E10)/E10</f>
        <v>-0.20537825965879786</v>
      </c>
      <c r="L10" s="577" t="str">
        <f>D10</f>
        <v>Ring 4 In SMART Plan</v>
      </c>
      <c r="M10" s="422">
        <f>+M9</f>
        <v>4430.5665723982493</v>
      </c>
      <c r="N10" s="422">
        <f>+FEE_ByContextArea_ByMode!U28</f>
        <v>3761.8107167503804</v>
      </c>
      <c r="P10" s="422">
        <f>+FEE_ByContextArea_ByMode!W26</f>
        <v>32.870418620894064</v>
      </c>
      <c r="Q10" s="580">
        <f>SUM(N10:P10)</f>
        <v>3794.6811353712746</v>
      </c>
      <c r="R10" s="877">
        <f>+(Q10-M10)/M10</f>
        <v>-0.14352237499114526</v>
      </c>
      <c r="T10" s="577" t="str">
        <f>L10</f>
        <v>Ring 4 In SMART Plan</v>
      </c>
      <c r="U10" s="422">
        <v>14022</v>
      </c>
      <c r="V10" s="422">
        <f>+FEE_ByContextArea_ByMode!U72</f>
        <v>11322.869046266578</v>
      </c>
      <c r="X10" s="422">
        <f>+FEE_ByContextArea_ByMode!W72</f>
        <v>60.060368628548545</v>
      </c>
      <c r="Y10" s="580">
        <f>SUM(V10:X10)</f>
        <v>11382.929414895127</v>
      </c>
      <c r="Z10" s="877">
        <f>+(Y10-U10)/U10</f>
        <v>-0.18820928434637521</v>
      </c>
      <c r="AA10" t="s">
        <v>973</v>
      </c>
      <c r="AB10" s="577" t="str">
        <f>T10</f>
        <v>Ring 4 In SMART Plan</v>
      </c>
      <c r="AC10" s="422">
        <v>14857</v>
      </c>
      <c r="AD10" s="422">
        <f>+FEE_ByContextArea_ByMode!U99</f>
        <v>12228.243058794311</v>
      </c>
      <c r="AF10" s="422">
        <f>+FEE_ByContextArea_ByMode!W99</f>
        <v>64.862781931831705</v>
      </c>
      <c r="AG10" s="581">
        <f>SUM(AD10:AF10)</f>
        <v>12293.105840726143</v>
      </c>
      <c r="AH10" s="877">
        <f>+(AG10-AC10)/AC10</f>
        <v>-0.17257145852284159</v>
      </c>
      <c r="AI10" s="578"/>
      <c r="AJ10" s="577" t="str">
        <f>AB10</f>
        <v>Ring 4 In SMART Plan</v>
      </c>
      <c r="AK10" s="422">
        <f>+AK11</f>
        <v>5552.9615203568519</v>
      </c>
      <c r="AL10" s="422">
        <f>+FEE_ByContextArea_ByMode!U20</f>
        <v>1483.9120047287395</v>
      </c>
      <c r="AN10" s="422">
        <f>+FEE_ByContextArea_ByMode!W20</f>
        <v>7.8711766118785063</v>
      </c>
      <c r="AO10" s="581">
        <f>SUM(AL10:AN10)</f>
        <v>1491.7831813406181</v>
      </c>
      <c r="AP10" s="877">
        <f>+(AO10-AK10)/AK10</f>
        <v>-0.73135358927451177</v>
      </c>
    </row>
    <row r="11" spans="1:47" x14ac:dyDescent="0.25">
      <c r="C11" t="s">
        <v>977</v>
      </c>
      <c r="D11" s="577" t="s">
        <v>980</v>
      </c>
      <c r="E11" s="422">
        <v>10096</v>
      </c>
      <c r="F11" s="422">
        <f>+FEE_ByContextArea_ByMode!AG25</f>
        <v>9765.153041384101</v>
      </c>
      <c r="H11" s="422">
        <f>+FEE_ByContextArea_ByMode!AI25</f>
        <v>69.007235103160085</v>
      </c>
      <c r="I11" s="580">
        <f>SUM(F11:H11)</f>
        <v>9834.1602764872605</v>
      </c>
      <c r="J11" s="877">
        <f>+(I11-E11)/E11</f>
        <v>-2.5934996385968651E-2</v>
      </c>
      <c r="L11" s="577" t="str">
        <f>D11</f>
        <v>Ring 3 Out SMART Plan</v>
      </c>
      <c r="M11" s="422">
        <f>+M10</f>
        <v>4430.5665723982493</v>
      </c>
      <c r="N11" s="422">
        <f>+FEE_ByContextArea_ByMode!AG28</f>
        <v>4603.2765926016173</v>
      </c>
      <c r="P11" s="422">
        <f>+FEE_ByContextArea_ByMode!AI26</f>
        <v>53.509847558806342</v>
      </c>
      <c r="Q11" s="580">
        <f>SUM(N11:P11)</f>
        <v>4656.7864401604238</v>
      </c>
      <c r="R11" s="877">
        <f t="shared" si="2"/>
        <v>5.1058902753315941E-2</v>
      </c>
      <c r="T11" s="577" t="str">
        <f>L11</f>
        <v>Ring 3 Out SMART Plan</v>
      </c>
      <c r="U11" s="422">
        <v>14022</v>
      </c>
      <c r="V11" s="422">
        <f>+FEE_ByContextArea_ByMode!AG72</f>
        <v>13737.14197762925</v>
      </c>
      <c r="X11" s="422">
        <f>+FEE_ByContextArea_ByMode!AI72</f>
        <v>96.930976415558547</v>
      </c>
      <c r="Y11" s="580">
        <f>SUM(V11:X11)</f>
        <v>13834.072954044808</v>
      </c>
      <c r="Z11" s="877">
        <f t="shared" si="4"/>
        <v>-1.3402299668748518E-2</v>
      </c>
      <c r="AB11" s="577" t="str">
        <f>T11</f>
        <v>Ring 3 Out SMART Plan</v>
      </c>
      <c r="AC11" s="422">
        <v>14857</v>
      </c>
      <c r="AD11" s="422">
        <f>+FEE_ByContextArea_ByMode!AG99</f>
        <v>14835.560700139351</v>
      </c>
      <c r="AF11" s="422">
        <f>+FEE_ByContextArea_ByMode!AI99</f>
        <v>104.68155506280708</v>
      </c>
      <c r="AG11" s="581">
        <f>SUM(AD11:AF11)</f>
        <v>14940.242255202158</v>
      </c>
      <c r="AH11" s="877">
        <f t="shared" si="6"/>
        <v>5.6028979741642353E-3</v>
      </c>
      <c r="AI11" s="578"/>
      <c r="AJ11" s="577" t="str">
        <f>AB11</f>
        <v>Ring 3 Out SMART Plan</v>
      </c>
      <c r="AK11" s="422">
        <f>+AK9</f>
        <v>5552.9615203568519</v>
      </c>
      <c r="AL11" s="422">
        <f>+FEE_ByContextArea_ByMode!AG20</f>
        <v>1800.3131368889647</v>
      </c>
      <c r="AN11" s="422">
        <f>+FEE_ByContextArea_ByMode!AI20</f>
        <v>12.703232629944811</v>
      </c>
      <c r="AO11" s="581">
        <f>SUM(AL11:AN11)</f>
        <v>1813.0163695189094</v>
      </c>
      <c r="AP11" s="877">
        <f t="shared" si="8"/>
        <v>-0.67350460418778502</v>
      </c>
    </row>
    <row r="12" spans="1:47" x14ac:dyDescent="0.25">
      <c r="C12" t="s">
        <v>977</v>
      </c>
      <c r="D12" s="577" t="s">
        <v>981</v>
      </c>
      <c r="E12" s="422">
        <v>10096</v>
      </c>
      <c r="F12" s="422">
        <f>+FEE_ByContextArea_ByMode!AK25</f>
        <v>10073.363921374925</v>
      </c>
      <c r="H12" s="422">
        <f>+FEE_ByContextArea_ByMode!AM25</f>
        <v>38.850955490641837</v>
      </c>
      <c r="I12" s="580">
        <f>SUM(F12:H12)</f>
        <v>10112.214876865566</v>
      </c>
      <c r="J12" s="877">
        <f>+(I12-E12)/E12</f>
        <v>1.6060694201234262E-3</v>
      </c>
      <c r="L12" s="577" t="str">
        <f>D12</f>
        <v>Ring 4 Out SMART Plan</v>
      </c>
      <c r="M12" s="422">
        <f>+M10</f>
        <v>4430.5665723982493</v>
      </c>
      <c r="N12" s="422">
        <f>+FEE_ByContextArea_ByMode!AK28</f>
        <v>4748.5666790379682</v>
      </c>
      <c r="P12" s="422">
        <f>+FEE_ByContextArea_ByMode!AM26</f>
        <v>30.125952774523125</v>
      </c>
      <c r="Q12" s="580">
        <f>SUM(N12:P12)</f>
        <v>4778.6926318124915</v>
      </c>
      <c r="R12" s="877">
        <f t="shared" si="2"/>
        <v>7.857371144878271E-2</v>
      </c>
      <c r="T12" s="577" t="str">
        <f>L12</f>
        <v>Ring 4 Out SMART Plan</v>
      </c>
      <c r="U12" s="422">
        <v>14022</v>
      </c>
      <c r="V12" s="422">
        <f>+FEE_ByContextArea_ByMode!AK72</f>
        <v>14148.735260870493</v>
      </c>
      <c r="X12" s="422">
        <f>+FEE_ByContextArea_ByMode!AM72</f>
        <v>54.490762223143399</v>
      </c>
      <c r="Y12" s="580">
        <f>SUM(V12:X12)</f>
        <v>14203.226023093637</v>
      </c>
      <c r="Z12" s="877">
        <f t="shared" si="4"/>
        <v>1.2924406154160404E-2</v>
      </c>
      <c r="AA12" t="s">
        <v>973</v>
      </c>
      <c r="AB12" s="577" t="str">
        <f>T12</f>
        <v>Ring 4 Out SMART Plan</v>
      </c>
      <c r="AC12" s="422">
        <v>14857</v>
      </c>
      <c r="AD12" s="422">
        <f>+FEE_ByContextArea_ByMode!AK99</f>
        <v>15280.064887927396</v>
      </c>
      <c r="AF12" s="422">
        <f>+FEE_ByContextArea_ByMode!AM99</f>
        <v>58.847831075399412</v>
      </c>
      <c r="AG12" s="581">
        <f>SUM(AD12:AF12)</f>
        <v>15338.912719002796</v>
      </c>
      <c r="AH12" s="877">
        <f t="shared" si="6"/>
        <v>3.2436744901581459E-2</v>
      </c>
      <c r="AI12" s="578"/>
      <c r="AJ12" s="577" t="str">
        <f>AB12</f>
        <v>Ring 4 Out SMART Plan</v>
      </c>
      <c r="AK12" s="422">
        <f>+AK10</f>
        <v>5552.9615203568519</v>
      </c>
      <c r="AL12" s="422">
        <f>+FEE_ByContextArea_ByMode!AK20</f>
        <v>1854.2542547780552</v>
      </c>
      <c r="AN12" s="422">
        <f>+FEE_ByContextArea_ByMode!AM20</f>
        <v>7.141255089972371</v>
      </c>
      <c r="AO12" s="581">
        <f>SUM(AL12:AN12)</f>
        <v>1861.3955098680276</v>
      </c>
      <c r="AP12" s="877">
        <f t="shared" si="8"/>
        <v>-0.66479229091643188</v>
      </c>
    </row>
    <row r="13" spans="1:47" x14ac:dyDescent="0.25">
      <c r="D13" s="577"/>
      <c r="E13" s="422"/>
      <c r="F13" s="422"/>
      <c r="H13" s="422"/>
      <c r="I13" s="580"/>
      <c r="J13" s="877"/>
      <c r="L13" s="577"/>
      <c r="M13" s="422"/>
      <c r="N13" s="422"/>
      <c r="P13" s="422"/>
      <c r="Q13" s="580"/>
      <c r="R13" s="877"/>
      <c r="T13" s="577"/>
      <c r="U13" s="422"/>
      <c r="V13" s="422"/>
      <c r="X13" s="422"/>
      <c r="Y13" s="580"/>
      <c r="Z13" s="877"/>
      <c r="AB13" s="577"/>
      <c r="AC13" s="422"/>
      <c r="AD13" s="422"/>
      <c r="AF13" s="422"/>
      <c r="AG13" s="581"/>
      <c r="AH13" s="877"/>
      <c r="AI13" s="578"/>
      <c r="AJ13" s="577"/>
      <c r="AK13" s="422"/>
      <c r="AL13" s="422"/>
      <c r="AN13" s="422"/>
      <c r="AO13" s="581"/>
      <c r="AP13" s="877"/>
    </row>
    <row r="14" spans="1:47" x14ac:dyDescent="0.25">
      <c r="D14" s="577" t="s">
        <v>982</v>
      </c>
      <c r="E14" s="2">
        <f>I14/(AVERAGE(G14:H14))</f>
        <v>-0.10854298669084581</v>
      </c>
      <c r="G14" s="422">
        <f>E5</f>
        <v>9543.67</v>
      </c>
      <c r="H14" s="422">
        <f>AVERAGE(I5:I10)</f>
        <v>8561.0972449455094</v>
      </c>
      <c r="I14" s="422">
        <f>H14-G14</f>
        <v>-982.5727550544907</v>
      </c>
      <c r="J14" s="422"/>
      <c r="L14" s="577" t="s">
        <v>982</v>
      </c>
      <c r="M14" s="2">
        <f>Q14/(AVERAGE(O14:P14))</f>
        <v>-3.196226076015582E-2</v>
      </c>
      <c r="O14" s="422">
        <f>M5</f>
        <v>4188.18</v>
      </c>
      <c r="P14" s="422">
        <f>AVERAGE(Q5:Q10)</f>
        <v>4056.4219414419726</v>
      </c>
      <c r="Q14" s="422">
        <f>P14-O14</f>
        <v>-131.75805855802764</v>
      </c>
      <c r="R14" s="422"/>
      <c r="T14" s="577" t="s">
        <v>982</v>
      </c>
      <c r="U14" s="2">
        <f>Y14/(AVERAGE(W14:X14))</f>
        <v>0.12820384594366807</v>
      </c>
      <c r="W14" s="422">
        <f>AVERAGE(Y5:Y10)</f>
        <v>11661.721039160571</v>
      </c>
      <c r="X14" s="422">
        <f>U5</f>
        <v>13259.2</v>
      </c>
      <c r="Y14" s="422">
        <f>X14-W14</f>
        <v>1597.4789608394294</v>
      </c>
      <c r="Z14" s="422"/>
      <c r="AB14" s="577" t="s">
        <v>982</v>
      </c>
      <c r="AC14" s="2">
        <f>AG14/(AVERAGE(AE14:AF14))</f>
        <v>6.0827062914177422E-2</v>
      </c>
      <c r="AE14" s="422">
        <f>AVERAGE(AG5:AG10)</f>
        <v>12593.637430874685</v>
      </c>
      <c r="AF14" s="422">
        <f>AC5</f>
        <v>13383.7</v>
      </c>
      <c r="AG14" s="422">
        <f>AF14-AE14</f>
        <v>790.06256912531535</v>
      </c>
      <c r="AH14" s="422"/>
      <c r="AJ14" s="577" t="s">
        <v>982</v>
      </c>
      <c r="AK14" s="2">
        <f>AO14/(AVERAGE(AM14:AN14))</f>
        <v>1.0851573803552856</v>
      </c>
      <c r="AM14" s="422">
        <f>AVERAGE(AO5:AO10)</f>
        <v>1483.3334809395515</v>
      </c>
      <c r="AN14" s="422">
        <f>AK5</f>
        <v>5002.3</v>
      </c>
      <c r="AO14" s="422">
        <f>AN14-AM14</f>
        <v>3518.9665190604487</v>
      </c>
    </row>
    <row r="15" spans="1:47" x14ac:dyDescent="0.25">
      <c r="D15" s="577" t="s">
        <v>983</v>
      </c>
      <c r="E15" s="2">
        <f>I15/(AVERAGE(G15:H15))</f>
        <v>-8.1224647617103088E-2</v>
      </c>
      <c r="G15" s="422">
        <f>E9</f>
        <v>10096</v>
      </c>
      <c r="H15" s="422">
        <f>AVERAGE(I9:I12)</f>
        <v>9307.9600896701068</v>
      </c>
      <c r="I15" s="422">
        <f>H15-G15</f>
        <v>-788.03991032989325</v>
      </c>
      <c r="J15" s="422"/>
      <c r="L15" s="577" t="s">
        <v>983</v>
      </c>
      <c r="M15" s="2">
        <f>Q15/(AVERAGE(O15:P15))</f>
        <v>-6.341987768554872E-3</v>
      </c>
      <c r="O15" s="422">
        <f>M9</f>
        <v>4430.5665723982493</v>
      </c>
      <c r="P15" s="422">
        <f>AVERAGE(Q9:Q12)</f>
        <v>4402.5567922299451</v>
      </c>
      <c r="Q15" s="422">
        <f>P15-O15</f>
        <v>-28.009780168304133</v>
      </c>
      <c r="R15" s="422"/>
      <c r="T15" s="577" t="s">
        <v>983</v>
      </c>
      <c r="U15" s="2">
        <f>Y15/(AVERAGE(W15:X15))</f>
        <v>7.6135498452936767E-2</v>
      </c>
      <c r="W15" s="422">
        <f>AVERAGE(Y7:Y12)</f>
        <v>12993.577760601274</v>
      </c>
      <c r="X15" s="422">
        <f>U9</f>
        <v>14022</v>
      </c>
      <c r="Y15" s="422">
        <f>X15-W15</f>
        <v>1028.4222393987257</v>
      </c>
      <c r="Z15" s="422"/>
      <c r="AB15" s="577" t="s">
        <v>983</v>
      </c>
      <c r="AC15" s="2">
        <f>AG15/(AVERAGE(AE15:AF15))</f>
        <v>5.7115940366796757E-2</v>
      </c>
      <c r="AE15" s="422">
        <f>AVERAGE(AG7:AG12)</f>
        <v>14031.989110357879</v>
      </c>
      <c r="AF15" s="422">
        <f>AC9</f>
        <v>14857</v>
      </c>
      <c r="AG15" s="422">
        <f>AF15-AE15</f>
        <v>825.01088964212067</v>
      </c>
      <c r="AH15" s="422"/>
      <c r="AJ15" s="577" t="s">
        <v>983</v>
      </c>
      <c r="AK15" s="2">
        <f>AO15/(AVERAGE(AM15:AN15))</f>
        <v>1.0803406955512651</v>
      </c>
      <c r="AM15" s="422">
        <f>AVERAGE(AO7:AO12)</f>
        <v>1657.8791874604769</v>
      </c>
      <c r="AN15" s="422">
        <f>AK9</f>
        <v>5552.9615203568519</v>
      </c>
      <c r="AO15" s="422">
        <f>AN15-AM15</f>
        <v>3895.0823328963752</v>
      </c>
    </row>
    <row r="17" spans="29:31" x14ac:dyDescent="0.25">
      <c r="AC17" s="797">
        <f>+AC9/AC7</f>
        <v>1.1100816665047781</v>
      </c>
      <c r="AE17" t="s">
        <v>984</v>
      </c>
    </row>
    <row r="35" spans="7:39" s="878" customFormat="1" x14ac:dyDescent="0.25"/>
    <row r="36" spans="7:39" x14ac:dyDescent="0.25">
      <c r="G36" s="422">
        <f>+FEE_ByContextArea_ByMode!J25</f>
        <v>1697.7333630332978</v>
      </c>
      <c r="O36" s="422">
        <f>+FEE_ByContextArea_ByMode!J28</f>
        <v>800.30862981972211</v>
      </c>
      <c r="W36" s="422">
        <f>+FEE_ByContextArea_ByMode!J72</f>
        <v>3060.2242652058217</v>
      </c>
      <c r="AE36" s="422">
        <f>+FEE_ByContextArea_ByMode!J99</f>
        <v>3304.919095721209</v>
      </c>
      <c r="AM36" s="422">
        <f>+FEE_ByContextArea_ByMode!J20</f>
        <v>401.0559078044285</v>
      </c>
    </row>
    <row r="37" spans="7:39" x14ac:dyDescent="0.25">
      <c r="G37" s="422">
        <f>+FEE_ByContextArea_ByMode!N25</f>
        <v>1706.5044396130345</v>
      </c>
      <c r="O37" s="422">
        <f>+FEE_ByContextArea_ByMode!N28</f>
        <v>804.44330045317849</v>
      </c>
      <c r="W37" s="422">
        <f>+FEE_ByContextArea_ByMode!N72</f>
        <v>2384.528982685566</v>
      </c>
      <c r="AE37" s="422">
        <f>+FEE_ByContextArea_ByMode!N99</f>
        <v>2575.1953733522087</v>
      </c>
      <c r="AM37" s="422">
        <f>+FEE_ByContextArea_ByMode!N20</f>
        <v>312.50305629891795</v>
      </c>
    </row>
    <row r="38" spans="7:39" x14ac:dyDescent="0.25">
      <c r="G38" s="422">
        <f>'RIFvMIF (Simple)'!G10</f>
        <v>433.83739163209788</v>
      </c>
      <c r="O38" s="422">
        <f>+FEE_ByContextArea_ByMode!AD28</f>
        <v>204.51021109775806</v>
      </c>
      <c r="W38" s="422">
        <f>+FEE_ByContextArea_ByMode!AD72</f>
        <v>608.56441435979843</v>
      </c>
      <c r="AE38" s="422">
        <f>+FEE_ByContextArea_ByMode!AD99</f>
        <v>657.22508538400234</v>
      </c>
      <c r="AM38" s="422">
        <f>+FEE_ByContextArea_ByMode!AD20</f>
        <v>79.755054697641228</v>
      </c>
    </row>
    <row r="40" spans="7:39" x14ac:dyDescent="0.25">
      <c r="G40" s="649">
        <f>+FEE_ByContextArea_ByMode!R25</f>
        <v>975.91493004221707</v>
      </c>
      <c r="O40" s="422">
        <f>+FEE_ByContextArea_ByMode!R28</f>
        <v>460.04464392879942</v>
      </c>
      <c r="W40" s="422">
        <f>+FEE_ByContextArea_ByMode!R72</f>
        <v>1395.4357626390006</v>
      </c>
      <c r="AE40" s="422">
        <f>+FEE_ByContextArea_ByMode!R99</f>
        <v>1507.0144862365978</v>
      </c>
      <c r="AM40" s="422">
        <f>+FEE_ByContextArea_ByMode!V20</f>
        <v>291.3686857783452</v>
      </c>
    </row>
    <row r="41" spans="7:39" x14ac:dyDescent="0.25">
      <c r="G41" s="422">
        <f>+FEE_ByContextArea_ByMode!V25</f>
        <v>1527.5477625441074</v>
      </c>
      <c r="O41" s="422">
        <f>+FEE_ByContextArea_ByMode!V28</f>
        <v>720.08342619928817</v>
      </c>
      <c r="W41" s="422">
        <f>+FEE_ByContextArea_ByMode!V72</f>
        <v>2223.2648989547606</v>
      </c>
      <c r="AE41" s="422">
        <f>+FEE_ByContextArea_ByMode!V99</f>
        <v>2401.036650465252</v>
      </c>
      <c r="AM41" s="422">
        <f>+FEE_ByContextArea_ByMode!V20</f>
        <v>291.3686857783452</v>
      </c>
    </row>
    <row r="42" spans="7:39" x14ac:dyDescent="0.25">
      <c r="G42" s="422">
        <f>+FEE_ByContextArea_ByMode!AH25</f>
        <v>157.63010553404891</v>
      </c>
      <c r="O42" s="422">
        <f>+FEE_ByContextArea_ByMode!AH28</f>
        <v>74.306564579080273</v>
      </c>
      <c r="W42" s="422">
        <f>+FEE_ByContextArea_ByMode!AH72</f>
        <v>222.51204435410722</v>
      </c>
      <c r="AE42" s="422">
        <f>+FEE_ByContextArea_ByMode!AH99</f>
        <v>240.30405639711955</v>
      </c>
      <c r="AM42" s="422">
        <f>+FEE_ByContextArea_ByMode!AH20</f>
        <v>29.161186309283028</v>
      </c>
    </row>
    <row r="43" spans="7:39" x14ac:dyDescent="0.25">
      <c r="G43" s="422">
        <f>+FEE_ByContextArea_ByMode!AL25</f>
        <v>607.34970997571668</v>
      </c>
      <c r="O43" s="422">
        <f>+FEE_ByContextArea_ByMode!AL28</f>
        <v>286.30362387626479</v>
      </c>
      <c r="W43" s="422">
        <f>+FEE_ByContextArea_ByMode!AL72</f>
        <v>878.97526107863359</v>
      </c>
      <c r="AE43" s="422">
        <f>+FEE_ByContextArea_ByMode!AL99</f>
        <v>949.25792139940881</v>
      </c>
      <c r="AM43" s="422">
        <f>+FEE_ByContextArea_ByMode!AL20</f>
        <v>115.19359063895814</v>
      </c>
    </row>
    <row r="69" spans="3:22" x14ac:dyDescent="0.25">
      <c r="C69" s="574"/>
      <c r="D69" s="574"/>
      <c r="E69" s="574" t="s">
        <v>963</v>
      </c>
      <c r="F69" s="574"/>
      <c r="G69" s="574" t="s">
        <v>964</v>
      </c>
      <c r="H69" s="574"/>
    </row>
    <row r="70" spans="3:22" x14ac:dyDescent="0.25">
      <c r="C70" s="574" t="str">
        <f>RoadCapCost!A11</f>
        <v xml:space="preserve">  Class II arterial add 2 lanes</v>
      </c>
      <c r="D70" s="574"/>
      <c r="E70" s="574" t="s">
        <v>677</v>
      </c>
      <c r="F70" s="574" t="s">
        <v>676</v>
      </c>
      <c r="G70" s="574" t="s">
        <v>677</v>
      </c>
      <c r="H70" s="574" t="s">
        <v>674</v>
      </c>
    </row>
    <row r="71" spans="3:22" x14ac:dyDescent="0.25">
      <c r="C71" s="574"/>
      <c r="D71" s="575" t="s">
        <v>104</v>
      </c>
      <c r="E71" s="575" t="str">
        <f>RoadCapCost!Q11</f>
        <v>E</v>
      </c>
      <c r="F71" s="195">
        <f>RoadCapCost!T11</f>
        <v>402.63157894736844</v>
      </c>
      <c r="G71" s="575" t="str">
        <f>RoadCapCost!AH11</f>
        <v>E</v>
      </c>
      <c r="H71" s="195">
        <f>RoadCapCost!AJ11</f>
        <v>402.63157894736844</v>
      </c>
      <c r="I71" s="576"/>
      <c r="J71" s="576"/>
      <c r="K71" s="576"/>
      <c r="L71" s="576"/>
      <c r="M71" s="576"/>
      <c r="N71" s="576"/>
      <c r="O71" s="576"/>
      <c r="P71" s="576"/>
      <c r="S71" s="576"/>
      <c r="T71" s="576"/>
      <c r="U71" s="576"/>
      <c r="V71" s="576"/>
    </row>
    <row r="72" spans="3:22" x14ac:dyDescent="0.25">
      <c r="C72" s="574"/>
      <c r="D72" s="575" t="s">
        <v>105</v>
      </c>
      <c r="E72" s="575" t="str">
        <f>RoadCapCost!U11</f>
        <v>E</v>
      </c>
      <c r="F72" s="195">
        <f>RoadCapCost!X11</f>
        <v>402.63157894736844</v>
      </c>
      <c r="G72" s="575" t="str">
        <f>RoadCapCost!AL11</f>
        <v>E</v>
      </c>
      <c r="H72" s="195">
        <f>RoadCapCost!AN11</f>
        <v>402.63157894736844</v>
      </c>
    </row>
    <row r="73" spans="3:22" x14ac:dyDescent="0.25">
      <c r="C73" s="574"/>
      <c r="D73" s="575" t="s">
        <v>106</v>
      </c>
      <c r="E73" s="575" t="str">
        <f>RoadCapCost!Y11</f>
        <v>E</v>
      </c>
      <c r="F73" s="195">
        <f>RoadCapCost!AB11</f>
        <v>402.63157894736844</v>
      </c>
      <c r="G73" s="575" t="str">
        <f>RoadCapCost!AP11</f>
        <v>E</v>
      </c>
      <c r="H73" s="195">
        <f>RoadCapCost!AR11</f>
        <v>402.63157894736844</v>
      </c>
    </row>
    <row r="74" spans="3:22" x14ac:dyDescent="0.25">
      <c r="C74" s="574"/>
      <c r="D74" s="575" t="s">
        <v>107</v>
      </c>
      <c r="E74" s="575" t="str">
        <f>RoadCapCost!AC11</f>
        <v>E</v>
      </c>
      <c r="F74" s="195">
        <f>RoadCapCost!AF11</f>
        <v>402.63157894736844</v>
      </c>
      <c r="G74" s="575" t="str">
        <f>RoadCapCost!AT11</f>
        <v>E</v>
      </c>
      <c r="H74" s="195">
        <f>RoadCapCost!AV11</f>
        <v>402.63157894736844</v>
      </c>
    </row>
    <row r="75" spans="3:22" x14ac:dyDescent="0.25">
      <c r="F75" s="194"/>
      <c r="H75" s="194"/>
    </row>
    <row r="76" spans="3:22" x14ac:dyDescent="0.25">
      <c r="F76" s="194"/>
      <c r="H76" s="194"/>
    </row>
    <row r="77" spans="3:22" x14ac:dyDescent="0.25">
      <c r="F77" s="194"/>
      <c r="H77" s="194"/>
    </row>
    <row r="78" spans="3:22" x14ac:dyDescent="0.25">
      <c r="F78" s="194"/>
      <c r="H78" s="194"/>
    </row>
    <row r="79" spans="3:22" x14ac:dyDescent="0.25">
      <c r="F79" s="194"/>
      <c r="H79" s="194"/>
    </row>
    <row r="80" spans="3:22" x14ac:dyDescent="0.25">
      <c r="F80" s="194"/>
    </row>
    <row r="81" spans="6:6" x14ac:dyDescent="0.25">
      <c r="F81" s="194"/>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heetViews>
  <sheetFormatPr defaultColWidth="9" defaultRowHeight="15.75" x14ac:dyDescent="0.25"/>
  <cols>
    <col min="4" max="4" width="3.5703125" customWidth="1"/>
    <col min="5" max="5" width="22.5703125" customWidth="1"/>
    <col min="9" max="9" width="29.140625" customWidth="1"/>
  </cols>
  <sheetData>
    <row r="6" spans="4:9" x14ac:dyDescent="0.25">
      <c r="F6" s="1036" t="s">
        <v>986</v>
      </c>
      <c r="G6" s="1036"/>
      <c r="H6" s="1036"/>
    </row>
    <row r="7" spans="4:9" ht="30" x14ac:dyDescent="0.25">
      <c r="D7" s="163" t="s">
        <v>987</v>
      </c>
      <c r="E7" s="168"/>
      <c r="F7" s="172" t="s">
        <v>890</v>
      </c>
      <c r="G7" s="173" t="s">
        <v>756</v>
      </c>
      <c r="H7" s="174" t="s">
        <v>757</v>
      </c>
      <c r="I7" s="185" t="s">
        <v>988</v>
      </c>
    </row>
    <row r="8" spans="4:9" x14ac:dyDescent="0.25">
      <c r="D8" s="164" t="s">
        <v>989</v>
      </c>
      <c r="E8" s="169"/>
      <c r="F8" s="175"/>
      <c r="G8" s="176"/>
      <c r="H8" s="177"/>
      <c r="I8" s="186"/>
    </row>
    <row r="9" spans="4:9" x14ac:dyDescent="0.25">
      <c r="D9" s="165"/>
      <c r="E9" s="3" t="s">
        <v>990</v>
      </c>
      <c r="F9" s="178">
        <v>0.35</v>
      </c>
      <c r="G9" s="1">
        <f>+RoadCapCost!K7</f>
        <v>0.35</v>
      </c>
      <c r="H9" s="4">
        <f>+RoadCapCost!O7</f>
        <v>0.35</v>
      </c>
      <c r="I9" s="1045" t="s">
        <v>991</v>
      </c>
    </row>
    <row r="10" spans="4:9" x14ac:dyDescent="0.25">
      <c r="D10" s="165"/>
      <c r="E10" s="3" t="s">
        <v>689</v>
      </c>
      <c r="F10" s="178">
        <v>0.65</v>
      </c>
      <c r="G10" s="1">
        <f>+RoadCapCost!K11</f>
        <v>0.65</v>
      </c>
      <c r="H10" s="4">
        <f>+RoadCapCost!O11</f>
        <v>0.65</v>
      </c>
      <c r="I10" s="1045"/>
    </row>
    <row r="11" spans="4:9" x14ac:dyDescent="0.25">
      <c r="D11" s="189"/>
      <c r="E11" s="190" t="s">
        <v>100</v>
      </c>
      <c r="F11" s="191">
        <f>+F9+F10</f>
        <v>1</v>
      </c>
      <c r="G11" s="192">
        <f>+G9+G10</f>
        <v>1</v>
      </c>
      <c r="H11" s="193">
        <f>+H9+H10</f>
        <v>1</v>
      </c>
      <c r="I11" s="1045"/>
    </row>
    <row r="12" spans="4:9" x14ac:dyDescent="0.25">
      <c r="D12" s="166" t="s">
        <v>63</v>
      </c>
      <c r="E12" s="170"/>
      <c r="F12" s="179"/>
      <c r="G12" s="180"/>
      <c r="H12" s="181"/>
      <c r="I12" s="187"/>
    </row>
    <row r="13" spans="4:9" x14ac:dyDescent="0.25">
      <c r="D13" s="165"/>
      <c r="E13" s="3" t="s">
        <v>992</v>
      </c>
      <c r="F13" s="178">
        <v>0</v>
      </c>
      <c r="G13" s="1">
        <f>+TransitCapCost!AA9</f>
        <v>0.69</v>
      </c>
      <c r="H13" s="4">
        <f>+TransitCapCost!AC9</f>
        <v>0.15</v>
      </c>
      <c r="I13" s="1045" t="s">
        <v>993</v>
      </c>
    </row>
    <row r="14" spans="4:9" x14ac:dyDescent="0.25">
      <c r="D14" s="165"/>
      <c r="E14" s="3" t="s">
        <v>741</v>
      </c>
      <c r="F14" s="178">
        <v>0</v>
      </c>
      <c r="G14" s="1">
        <f>+TransitCapCost!AA10</f>
        <v>0.04</v>
      </c>
      <c r="H14" s="4">
        <f>+TransitCapCost!AC10</f>
        <v>0.21</v>
      </c>
      <c r="I14" s="1045"/>
    </row>
    <row r="15" spans="4:9" x14ac:dyDescent="0.25">
      <c r="D15" s="165"/>
      <c r="E15" s="3" t="s">
        <v>742</v>
      </c>
      <c r="F15" s="178">
        <v>0</v>
      </c>
      <c r="G15" s="1">
        <f>+TransitCapCost!AA11</f>
        <v>0.27</v>
      </c>
      <c r="H15" s="4">
        <f>+TransitCapCost!AC11</f>
        <v>0.64</v>
      </c>
      <c r="I15" s="1045"/>
    </row>
    <row r="16" spans="4:9" x14ac:dyDescent="0.25">
      <c r="D16" s="189"/>
      <c r="E16" s="190" t="s">
        <v>100</v>
      </c>
      <c r="F16" s="191">
        <f>SUM(F13:F15)</f>
        <v>0</v>
      </c>
      <c r="G16" s="192">
        <f>SUM(G13:G15)</f>
        <v>1</v>
      </c>
      <c r="H16" s="193">
        <f>SUM(H13:H15)</f>
        <v>1</v>
      </c>
      <c r="I16" s="1045"/>
    </row>
    <row r="17" spans="4:9" x14ac:dyDescent="0.25">
      <c r="D17" s="167" t="s">
        <v>994</v>
      </c>
      <c r="E17" s="171"/>
      <c r="F17" s="182"/>
      <c r="G17" s="183"/>
      <c r="H17" s="184"/>
      <c r="I17" s="188"/>
    </row>
    <row r="18" spans="4:9" ht="14.85" customHeight="1" x14ac:dyDescent="0.25">
      <c r="D18" s="165"/>
      <c r="E18" s="3" t="s">
        <v>995</v>
      </c>
      <c r="F18" s="178">
        <f>+G18</f>
        <v>0.15</v>
      </c>
      <c r="G18" s="1">
        <f>+WalkBikeCapCost!U3</f>
        <v>0.15</v>
      </c>
      <c r="H18" s="4">
        <f>+WalkBikeCapCost!Y3</f>
        <v>0.15</v>
      </c>
      <c r="I18" s="1045" t="s">
        <v>996</v>
      </c>
    </row>
    <row r="19" spans="4:9" ht="14.85" customHeight="1" x14ac:dyDescent="0.25">
      <c r="D19" s="165"/>
      <c r="E19" s="3" t="s">
        <v>997</v>
      </c>
      <c r="F19" s="178">
        <f>+G19</f>
        <v>0.35</v>
      </c>
      <c r="G19" s="1">
        <f>+WalkBikeCapCost!U4</f>
        <v>0.35</v>
      </c>
      <c r="H19" s="4">
        <f>+WalkBikeCapCost!Y4</f>
        <v>0.35</v>
      </c>
      <c r="I19" s="1045"/>
    </row>
    <row r="20" spans="4:9" ht="14.85" customHeight="1" x14ac:dyDescent="0.25">
      <c r="D20" s="165"/>
      <c r="E20" s="3" t="s">
        <v>998</v>
      </c>
      <c r="F20" s="178">
        <f>+G20</f>
        <v>7.0000000000000007E-2</v>
      </c>
      <c r="G20" s="1">
        <f>+WalkBikeCapCost!U5</f>
        <v>7.0000000000000007E-2</v>
      </c>
      <c r="H20" s="4">
        <f>+WalkBikeCapCost!Y5</f>
        <v>7.0000000000000007E-2</v>
      </c>
      <c r="I20" s="1045"/>
    </row>
    <row r="21" spans="4:9" ht="14.85" customHeight="1" x14ac:dyDescent="0.25">
      <c r="D21" s="165"/>
      <c r="E21" s="3" t="s">
        <v>999</v>
      </c>
      <c r="F21" s="178">
        <f>+G21</f>
        <v>0.43</v>
      </c>
      <c r="G21" s="1">
        <f>+WalkBikeCapCost!U6</f>
        <v>0.43</v>
      </c>
      <c r="H21" s="4">
        <f>+WalkBikeCapCost!Y6</f>
        <v>0.43</v>
      </c>
      <c r="I21" s="1045"/>
    </row>
    <row r="22" spans="4:9" x14ac:dyDescent="0.25">
      <c r="D22" s="189"/>
      <c r="E22" s="190" t="s">
        <v>100</v>
      </c>
      <c r="F22" s="191">
        <f>SUM(F18:F21)</f>
        <v>1</v>
      </c>
      <c r="G22" s="192">
        <f>SUM(G18:G21)</f>
        <v>1</v>
      </c>
      <c r="H22" s="193">
        <f>SUM(H18:H21)</f>
        <v>1</v>
      </c>
      <c r="I22" s="1046"/>
    </row>
  </sheetData>
  <mergeCells count="4">
    <mergeCell ref="F6:H6"/>
    <mergeCell ref="I9:I11"/>
    <mergeCell ref="I13:I16"/>
    <mergeCell ref="I18:I22"/>
  </mergeCells>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CA6C6-E11D-BF4A-81CD-04A35AD0DDF7}">
  <sheetPr>
    <tabColor theme="9" tint="-0.249977111117893"/>
  </sheetPr>
  <dimension ref="A1:AX162"/>
  <sheetViews>
    <sheetView workbookViewId="0"/>
  </sheetViews>
  <sheetFormatPr defaultColWidth="4.42578125" defaultRowHeight="15.75" x14ac:dyDescent="0.25"/>
  <cols>
    <col min="1" max="1" width="4.42578125" style="11"/>
    <col min="2" max="2" width="13.42578125" style="10" customWidth="1"/>
    <col min="3" max="3" width="31.5703125" style="11" customWidth="1"/>
    <col min="4" max="4" width="12.140625" style="30" customWidth="1"/>
    <col min="5" max="5" width="12.85546875" style="30" hidden="1" customWidth="1"/>
    <col min="6" max="6" width="12.85546875" style="60" hidden="1" customWidth="1"/>
    <col min="7" max="8" width="12.85546875" style="13" customWidth="1"/>
    <col min="9" max="9" width="13.5703125" style="13" customWidth="1"/>
    <col min="10" max="15" width="12.85546875" style="13" customWidth="1"/>
    <col min="16" max="23" width="12.85546875" style="11" customWidth="1"/>
    <col min="24" max="16384" width="4.42578125" style="11"/>
  </cols>
  <sheetData>
    <row r="1" spans="1:23" x14ac:dyDescent="0.25">
      <c r="A1" s="10" t="s">
        <v>54</v>
      </c>
      <c r="D1" s="60"/>
      <c r="E1" s="60"/>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101</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0"/>
      <c r="E9" s="60"/>
    </row>
    <row r="10" spans="1:23" x14ac:dyDescent="0.25">
      <c r="B10" s="25"/>
      <c r="C10" s="26"/>
      <c r="D10" s="27"/>
      <c r="E10" s="27"/>
      <c r="F10" s="27"/>
      <c r="G10" s="28"/>
      <c r="H10" s="923" t="s">
        <v>102</v>
      </c>
      <c r="I10" s="932"/>
      <c r="J10" s="932"/>
      <c r="K10" s="932"/>
      <c r="L10" s="932"/>
      <c r="M10" s="932"/>
      <c r="N10" s="932"/>
      <c r="O10" s="924"/>
      <c r="P10" s="923" t="s">
        <v>103</v>
      </c>
      <c r="Q10" s="932"/>
      <c r="R10" s="932"/>
      <c r="S10" s="932"/>
      <c r="T10" s="932"/>
      <c r="U10" s="932"/>
      <c r="V10" s="932"/>
      <c r="W10" s="924"/>
    </row>
    <row r="11" spans="1:23" x14ac:dyDescent="0.25">
      <c r="B11" s="116"/>
      <c r="C11" s="117"/>
      <c r="D11" s="118"/>
      <c r="E11" s="118"/>
      <c r="F11" s="118"/>
      <c r="G11" s="119"/>
      <c r="H11" s="930" t="s">
        <v>104</v>
      </c>
      <c r="I11" s="931"/>
      <c r="J11" s="930" t="s">
        <v>105</v>
      </c>
      <c r="K11" s="933"/>
      <c r="L11" s="930" t="s">
        <v>106</v>
      </c>
      <c r="M11" s="933"/>
      <c r="N11" s="930" t="s">
        <v>107</v>
      </c>
      <c r="O11" s="931"/>
      <c r="P11" s="930" t="s">
        <v>104</v>
      </c>
      <c r="Q11" s="931"/>
      <c r="R11" s="930" t="s">
        <v>105</v>
      </c>
      <c r="S11" s="931"/>
      <c r="T11" s="930" t="s">
        <v>106</v>
      </c>
      <c r="U11" s="931"/>
      <c r="V11" s="930" t="s">
        <v>107</v>
      </c>
      <c r="W11" s="931"/>
    </row>
    <row r="12" spans="1:23" s="9" customFormat="1" ht="55.5" customHeight="1" x14ac:dyDescent="0.25">
      <c r="B12" s="114" t="s">
        <v>78</v>
      </c>
      <c r="C12" s="115" t="s">
        <v>79</v>
      </c>
      <c r="D12" s="7" t="s">
        <v>80</v>
      </c>
      <c r="E12" s="7" t="s">
        <v>82</v>
      </c>
      <c r="F12" s="7" t="s">
        <v>83</v>
      </c>
      <c r="G12" s="8" t="s">
        <v>84</v>
      </c>
      <c r="H12" s="7" t="s">
        <v>1000</v>
      </c>
      <c r="I12" s="7" t="s">
        <v>1001</v>
      </c>
      <c r="J12" s="7" t="s">
        <v>108</v>
      </c>
      <c r="K12" s="7" t="s">
        <v>109</v>
      </c>
      <c r="L12" s="7" t="s">
        <v>108</v>
      </c>
      <c r="M12" s="7" t="s">
        <v>109</v>
      </c>
      <c r="N12" s="7" t="s">
        <v>108</v>
      </c>
      <c r="O12" s="7" t="s">
        <v>109</v>
      </c>
      <c r="P12" s="7" t="s">
        <v>109</v>
      </c>
      <c r="Q12" s="7" t="s">
        <v>108</v>
      </c>
      <c r="R12" s="7" t="s">
        <v>109</v>
      </c>
      <c r="S12" s="7" t="s">
        <v>108</v>
      </c>
      <c r="T12" s="7" t="s">
        <v>109</v>
      </c>
      <c r="U12" s="7" t="s">
        <v>108</v>
      </c>
      <c r="V12" s="7" t="s">
        <v>109</v>
      </c>
      <c r="W12" s="7" t="s">
        <v>108</v>
      </c>
    </row>
    <row r="13" spans="1:23" x14ac:dyDescent="0.25">
      <c r="B13" s="92" t="str">
        <f>ITE_LUC_Rates!A2</f>
        <v>Port and Terminal</v>
      </c>
      <c r="C13" s="93"/>
      <c r="D13" s="94"/>
      <c r="E13" s="93"/>
      <c r="F13" s="95"/>
      <c r="G13" s="96"/>
      <c r="H13" s="99"/>
      <c r="I13" s="99"/>
      <c r="J13" s="99"/>
      <c r="K13" s="99"/>
      <c r="L13" s="99"/>
      <c r="M13" s="99"/>
      <c r="N13" s="97"/>
      <c r="O13" s="99"/>
      <c r="P13" s="99"/>
      <c r="Q13" s="99"/>
      <c r="R13" s="99"/>
      <c r="S13" s="99"/>
      <c r="T13" s="99"/>
      <c r="U13" s="99"/>
      <c r="V13" s="99"/>
      <c r="W13" s="97"/>
    </row>
    <row r="14" spans="1:23" x14ac:dyDescent="0.25">
      <c r="B14" s="51">
        <v>30</v>
      </c>
      <c r="C14" s="11" t="str">
        <f>+CurrentFee_RIF!C5</f>
        <v>Truck Terminal</v>
      </c>
      <c r="D14" s="11" t="s">
        <v>112</v>
      </c>
      <c r="E14" s="123"/>
      <c r="F14" s="53" t="s">
        <v>73</v>
      </c>
      <c r="G14" s="91">
        <f>ITE_LUC_Rates!Q3</f>
        <v>10080.200000000001</v>
      </c>
      <c r="H14" s="55">
        <f>+FEE_1_In!H12</f>
        <v>9088.9980417987063</v>
      </c>
      <c r="I14" s="55">
        <f>+FEE_1_Out!H12</f>
        <v>8839.9730032134648</v>
      </c>
      <c r="J14" s="55">
        <f>FEE_2_In!$H12</f>
        <v>10810.505844536758</v>
      </c>
      <c r="K14" s="55">
        <f>FEE_2_Out!$H12</f>
        <v>9686.8112567981298</v>
      </c>
      <c r="L14" s="55">
        <f>FEE_3_In!$H12</f>
        <v>10753.449208371063</v>
      </c>
      <c r="M14" s="55">
        <f>FEE_3_Out!$H12</f>
        <v>10428.418922360745</v>
      </c>
      <c r="N14" s="55">
        <f>FEE_4_In!$H12</f>
        <v>10094.279247771145</v>
      </c>
      <c r="O14" s="55">
        <f>FEE_4_Out!$H12</f>
        <v>11189.31186206541</v>
      </c>
      <c r="P14" s="120">
        <f>IFERROR(H14/$G14-1,0)</f>
        <v>-9.833157657599001E-2</v>
      </c>
      <c r="Q14" s="120">
        <f>IFERROR(I14/$G14-1,0)</f>
        <v>-0.12303595134883594</v>
      </c>
      <c r="R14" s="120">
        <f>IFERROR(K14/$G14-1,0)</f>
        <v>-3.9025886708782709E-2</v>
      </c>
      <c r="S14" s="120">
        <f>IFERROR(J14/$G14-1,0)</f>
        <v>7.2449539149695097E-2</v>
      </c>
      <c r="T14" s="120">
        <f>IFERROR(M14/$G14-1,0)</f>
        <v>3.4544842598434933E-2</v>
      </c>
      <c r="U14" s="120">
        <f>IFERROR(L14/$G14-1,0)</f>
        <v>6.6789270884611618E-2</v>
      </c>
      <c r="V14" s="120">
        <f>IFERROR(O14/$G14-1,0)</f>
        <v>0.11002875558673519</v>
      </c>
      <c r="W14" s="120">
        <f>IFERROR(N14/$G14-1,0)</f>
        <v>1.396723058187721E-3</v>
      </c>
    </row>
    <row r="15" spans="1:23" x14ac:dyDescent="0.25">
      <c r="B15" s="92" t="str">
        <f>ITE_LUC_Rates!A4</f>
        <v>Industrial</v>
      </c>
      <c r="C15" s="93"/>
      <c r="D15" s="94"/>
      <c r="E15" s="113"/>
      <c r="F15" s="95"/>
      <c r="G15" s="96"/>
      <c r="H15" s="99"/>
      <c r="I15" s="99"/>
      <c r="J15" s="99"/>
      <c r="K15" s="99"/>
      <c r="L15" s="99"/>
      <c r="M15" s="99"/>
      <c r="N15" s="99"/>
      <c r="O15" s="99"/>
      <c r="P15" s="99"/>
      <c r="Q15" s="99"/>
      <c r="R15" s="99"/>
      <c r="S15" s="99"/>
      <c r="T15" s="99"/>
      <c r="U15" s="99"/>
      <c r="V15" s="99"/>
      <c r="W15" s="99"/>
    </row>
    <row r="16" spans="1:23" x14ac:dyDescent="0.25">
      <c r="B16" s="51">
        <f>ITE_LUC_Rates!A5</f>
        <v>110</v>
      </c>
      <c r="C16" s="11" t="str">
        <f>ITE_LUC_Rates!B5</f>
        <v>General Light Industrial</v>
      </c>
      <c r="D16" s="52" t="str">
        <f>ITE_LUC_Rates!C5</f>
        <v>1000 GSF</v>
      </c>
      <c r="E16" s="112">
        <f>ITE_LUC_Rates!G5</f>
        <v>4.96</v>
      </c>
      <c r="F16" s="53" t="s">
        <v>73</v>
      </c>
      <c r="G16" s="91">
        <f>ITE_LUC_Rates!Q5</f>
        <v>0</v>
      </c>
      <c r="H16" s="55">
        <f>+FEE_1_In!H14</f>
        <v>4576.7949530275728</v>
      </c>
      <c r="I16" s="55">
        <f>FEE_1_Out!$H14</f>
        <v>4451.3975731917562</v>
      </c>
      <c r="J16" s="55">
        <f>FEE_2_In!$H14</f>
        <v>5443.6658871982054</v>
      </c>
      <c r="K16" s="55">
        <f>FEE_2_Out!$H14</f>
        <v>4877.8257699206824</v>
      </c>
      <c r="L16" s="55">
        <f>FEE_3_In!$H14</f>
        <v>5414.9348297990318</v>
      </c>
      <c r="M16" s="55">
        <f>FEE_3_Out!$H14</f>
        <v>5251.2647568435841</v>
      </c>
      <c r="N16" s="55">
        <f>FEE_4_In!$H14</f>
        <v>5083.0076212126769</v>
      </c>
      <c r="O16" s="55">
        <f>FEE_4_Out!$H14</f>
        <v>5634.4149071923275</v>
      </c>
      <c r="P16" s="120">
        <f t="shared" ref="P16:Q22" si="0">IFERROR(H16/$G16-1,0)</f>
        <v>0</v>
      </c>
      <c r="Q16" s="120">
        <f t="shared" si="0"/>
        <v>0</v>
      </c>
      <c r="R16" s="120">
        <f t="shared" ref="R16:R22" si="1">IFERROR(K16/$G16-1,0)</f>
        <v>0</v>
      </c>
      <c r="S16" s="120">
        <f t="shared" ref="S16:S22" si="2">IFERROR(J16/$G16-1,0)</f>
        <v>0</v>
      </c>
      <c r="T16" s="120">
        <f t="shared" ref="T16:T22" si="3">IFERROR(M16/$G16-1,0)</f>
        <v>0</v>
      </c>
      <c r="U16" s="120">
        <f t="shared" ref="U16:U22" si="4">IFERROR(L16/$G16-1,0)</f>
        <v>0</v>
      </c>
      <c r="V16" s="120">
        <f t="shared" ref="V16:V22" si="5">IFERROR(O16/$G16-1,0)</f>
        <v>0</v>
      </c>
      <c r="W16" s="120">
        <f t="shared" ref="W16:W22" si="6">IFERROR(N16/$G16-1,0)</f>
        <v>0</v>
      </c>
    </row>
    <row r="17" spans="2:23" x14ac:dyDescent="0.25">
      <c r="B17" s="51">
        <f>ITE_LUC_Rates!A6</f>
        <v>130</v>
      </c>
      <c r="C17" s="11" t="str">
        <f>ITE_LUC_Rates!B6</f>
        <v>Industrial Park</v>
      </c>
      <c r="D17" s="52" t="str">
        <f>ITE_LUC_Rates!C6</f>
        <v>1000 GSF</v>
      </c>
      <c r="E17" s="112">
        <f>ITE_LUC_Rates!G6</f>
        <v>3.37</v>
      </c>
      <c r="F17" s="53" t="s">
        <v>73</v>
      </c>
      <c r="G17" s="91">
        <f>ITE_LUC_Rates!Q6</f>
        <v>7020.7</v>
      </c>
      <c r="H17" s="55">
        <f>+FEE_1_In!H15</f>
        <v>3109.6368934884913</v>
      </c>
      <c r="I17" s="55">
        <f>FEE_1_Out!$H15</f>
        <v>3024.4374640435917</v>
      </c>
      <c r="J17" s="55">
        <f>FEE_2_In!$H15</f>
        <v>3698.6197661003939</v>
      </c>
      <c r="K17" s="55">
        <f>FEE_2_Out!$H15</f>
        <v>3314.1679122243349</v>
      </c>
      <c r="L17" s="55">
        <f>FEE_3_In!$H15</f>
        <v>3679.0988662142618</v>
      </c>
      <c r="M17" s="55">
        <f>FEE_3_Out!$H15</f>
        <v>3567.8956110005797</v>
      </c>
      <c r="N17" s="55">
        <f>FEE_4_In!$H15</f>
        <v>3453.5757426384525</v>
      </c>
      <c r="O17" s="55">
        <f>FEE_4_Out!$H15</f>
        <v>3828.221418798013</v>
      </c>
      <c r="P17" s="120">
        <f t="shared" si="0"/>
        <v>-0.55707594777038028</v>
      </c>
      <c r="Q17" s="120">
        <f t="shared" si="0"/>
        <v>-0.56921140854279606</v>
      </c>
      <c r="R17" s="120">
        <f t="shared" si="1"/>
        <v>-0.52794337997288943</v>
      </c>
      <c r="S17" s="120">
        <f t="shared" si="2"/>
        <v>-0.4731836189980495</v>
      </c>
      <c r="T17" s="120">
        <f t="shared" si="3"/>
        <v>-0.49180343683670003</v>
      </c>
      <c r="U17" s="120">
        <f t="shared" si="4"/>
        <v>-0.47596409671197148</v>
      </c>
      <c r="V17" s="120">
        <f t="shared" si="5"/>
        <v>-0.45472368584357503</v>
      </c>
      <c r="W17" s="120">
        <f t="shared" si="6"/>
        <v>-0.50808669468308676</v>
      </c>
    </row>
    <row r="18" spans="2:23" x14ac:dyDescent="0.25">
      <c r="B18" s="51">
        <f>ITE_LUC_Rates!A7</f>
        <v>140</v>
      </c>
      <c r="C18" s="11" t="str">
        <f>ITE_LUC_Rates!B7</f>
        <v>Manufacturing</v>
      </c>
      <c r="D18" s="52" t="str">
        <f>ITE_LUC_Rates!C7</f>
        <v>1000 GSF</v>
      </c>
      <c r="E18" s="112">
        <f>ITE_LUC_Rates!G7</f>
        <v>3.93</v>
      </c>
      <c r="F18" s="53" t="s">
        <v>73</v>
      </c>
      <c r="G18" s="91">
        <f>ITE_LUC_Rates!Q7</f>
        <v>3853.5</v>
      </c>
      <c r="H18" s="55">
        <f>+FEE_1_In!H16</f>
        <v>3626.371807539992</v>
      </c>
      <c r="I18" s="55">
        <f>FEE_1_Out!$H16</f>
        <v>3527.0146094039519</v>
      </c>
      <c r="J18" s="55">
        <f>FEE_2_In!$H16</f>
        <v>4313.2272049776102</v>
      </c>
      <c r="K18" s="55">
        <f>FEE_2_Out!$H16</f>
        <v>3864.890176570218</v>
      </c>
      <c r="L18" s="55">
        <f>FEE_3_In!$H16</f>
        <v>4290.4624760302813</v>
      </c>
      <c r="M18" s="55">
        <f>FEE_3_Out!$H16</f>
        <v>4160.7803416119523</v>
      </c>
      <c r="N18" s="55">
        <f>FEE_4_In!$H16</f>
        <v>4027.4636998721417</v>
      </c>
      <c r="O18" s="55">
        <f>FEE_4_Out!$H16</f>
        <v>4464.3650373519858</v>
      </c>
      <c r="P18" s="120">
        <f t="shared" si="0"/>
        <v>-5.8940753200988238E-2</v>
      </c>
      <c r="Q18" s="120">
        <f t="shared" si="0"/>
        <v>-8.4724377993005917E-2</v>
      </c>
      <c r="R18" s="120">
        <f t="shared" si="1"/>
        <v>2.9558003296270563E-3</v>
      </c>
      <c r="S18" s="120">
        <f t="shared" si="2"/>
        <v>0.11930120798692356</v>
      </c>
      <c r="T18" s="120">
        <f t="shared" si="3"/>
        <v>7.9740584303088724E-2</v>
      </c>
      <c r="U18" s="120">
        <f t="shared" si="4"/>
        <v>0.11339366187369437</v>
      </c>
      <c r="V18" s="120">
        <f t="shared" si="5"/>
        <v>0.15852213243855862</v>
      </c>
      <c r="W18" s="120">
        <f t="shared" si="6"/>
        <v>4.5144336284453468E-2</v>
      </c>
    </row>
    <row r="19" spans="2:23" x14ac:dyDescent="0.25">
      <c r="B19" s="51">
        <f>ITE_LUC_Rates!A8</f>
        <v>150</v>
      </c>
      <c r="C19" s="11" t="str">
        <f>ITE_LUC_Rates!B8</f>
        <v>Warehousing</v>
      </c>
      <c r="D19" s="52" t="str">
        <f>ITE_LUC_Rates!C8</f>
        <v>1000 GSF</v>
      </c>
      <c r="E19" s="112">
        <f>ITE_LUC_Rates!G8</f>
        <v>1.74</v>
      </c>
      <c r="F19" s="53" t="s">
        <v>73</v>
      </c>
      <c r="G19" s="91">
        <f>ITE_LUC_Rates!Q8</f>
        <v>5002.3</v>
      </c>
      <c r="H19" s="55">
        <f>+FEE_1_In!H17</f>
        <v>1605.5691972314467</v>
      </c>
      <c r="I19" s="55">
        <f>FEE_1_Out!$H17</f>
        <v>1561.5789873696881</v>
      </c>
      <c r="J19" s="55">
        <f>FEE_2_In!$H17</f>
        <v>1909.6731136542091</v>
      </c>
      <c r="K19" s="55">
        <f>FEE_2_Out!$H17</f>
        <v>1711.1727499318524</v>
      </c>
      <c r="L19" s="55">
        <f>FEE_3_In!$H17</f>
        <v>1899.5940733569182</v>
      </c>
      <c r="M19" s="55">
        <f>FEE_3_Out!$H17</f>
        <v>1842.1775558281925</v>
      </c>
      <c r="N19" s="55">
        <f>FEE_4_In!$H17</f>
        <v>1783.1518671189633</v>
      </c>
      <c r="O19" s="55">
        <f>FEE_4_Out!$H17</f>
        <v>1976.5891005069857</v>
      </c>
      <c r="P19" s="120">
        <f t="shared" si="0"/>
        <v>-0.67903380500340904</v>
      </c>
      <c r="Q19" s="120">
        <f t="shared" si="0"/>
        <v>-0.68782780173726321</v>
      </c>
      <c r="R19" s="120">
        <f t="shared" si="1"/>
        <v>-0.6579228055230889</v>
      </c>
      <c r="S19" s="120">
        <f t="shared" si="2"/>
        <v>-0.61824098641540703</v>
      </c>
      <c r="T19" s="120">
        <f t="shared" si="3"/>
        <v>-0.63173389124438906</v>
      </c>
      <c r="U19" s="120">
        <f t="shared" si="4"/>
        <v>-0.6202558676295068</v>
      </c>
      <c r="V19" s="120">
        <f t="shared" si="5"/>
        <v>-0.6048639424850597</v>
      </c>
      <c r="W19" s="120">
        <f t="shared" si="6"/>
        <v>-0.64353360111969227</v>
      </c>
    </row>
    <row r="20" spans="2:23" x14ac:dyDescent="0.25">
      <c r="B20" s="51">
        <f>ITE_LUC_Rates!A9</f>
        <v>151</v>
      </c>
      <c r="C20" s="11" t="str">
        <f>ITE_LUC_Rates!B9</f>
        <v>Mini-Warehousing</v>
      </c>
      <c r="D20" s="52" t="str">
        <f>ITE_LUC_Rates!C9</f>
        <v>1000 GSF</v>
      </c>
      <c r="E20" s="112">
        <f>ITE_LUC_Rates!G9</f>
        <v>1.51</v>
      </c>
      <c r="F20" s="53" t="s">
        <v>73</v>
      </c>
      <c r="G20" s="91">
        <f>ITE_LUC_Rates!Q9</f>
        <v>2415.4</v>
      </c>
      <c r="H20" s="55">
        <f>+FEE_1_In!H18</f>
        <v>1393.3387861031524</v>
      </c>
      <c r="I20" s="55">
        <f>FEE_1_Out!$H18</f>
        <v>1355.1633740966836</v>
      </c>
      <c r="J20" s="55">
        <f>FEE_2_In!$H18</f>
        <v>1657.2450584010669</v>
      </c>
      <c r="K20" s="55">
        <f>FEE_2_Out!$H18</f>
        <v>1484.9832485040788</v>
      </c>
      <c r="L20" s="55">
        <f>FEE_3_In!$H18</f>
        <v>1648.4983050396245</v>
      </c>
      <c r="M20" s="55">
        <f>FEE_3_Out!$H18</f>
        <v>1598.6713271842364</v>
      </c>
      <c r="N20" s="55">
        <f>FEE_4_In!$H18</f>
        <v>1547.447884683698</v>
      </c>
      <c r="O20" s="55">
        <f>FEE_4_Out!$H18</f>
        <v>1715.3158286008902</v>
      </c>
      <c r="P20" s="120">
        <f t="shared" si="0"/>
        <v>-0.42314366725877606</v>
      </c>
      <c r="Q20" s="120">
        <f t="shared" si="0"/>
        <v>-0.43894867347160571</v>
      </c>
      <c r="R20" s="120">
        <f t="shared" si="1"/>
        <v>-0.38520193404650216</v>
      </c>
      <c r="S20" s="120">
        <f t="shared" si="2"/>
        <v>-0.31388380458679022</v>
      </c>
      <c r="T20" s="120">
        <f t="shared" si="3"/>
        <v>-0.3381339210133989</v>
      </c>
      <c r="U20" s="120">
        <f t="shared" si="4"/>
        <v>-0.3175050488367871</v>
      </c>
      <c r="V20" s="120">
        <f t="shared" si="5"/>
        <v>-0.28984191910205759</v>
      </c>
      <c r="W20" s="120">
        <f t="shared" si="6"/>
        <v>-0.35934094365997438</v>
      </c>
    </row>
    <row r="21" spans="2:23" x14ac:dyDescent="0.25">
      <c r="B21" s="51">
        <f>ITE_LUC_Rates!A10</f>
        <v>160</v>
      </c>
      <c r="C21" s="11" t="str">
        <f>ITE_LUC_Rates!B10</f>
        <v>Data Center</v>
      </c>
      <c r="D21" s="52" t="str">
        <f>ITE_LUC_Rates!C10</f>
        <v>1000 GSF</v>
      </c>
      <c r="E21" s="112">
        <f>ITE_LUC_Rates!G10</f>
        <v>0.99</v>
      </c>
      <c r="F21" s="53" t="s">
        <v>73</v>
      </c>
      <c r="G21" s="91">
        <f>ITE_LUC_Rates!Q10</f>
        <v>0</v>
      </c>
      <c r="H21" s="55">
        <f>+FEE_1_In!H19</f>
        <v>913.51350876961624</v>
      </c>
      <c r="I21" s="55">
        <f>FEE_1_Out!$H19</f>
        <v>888.48459626206397</v>
      </c>
      <c r="J21" s="55">
        <f>FEE_2_In!$H19</f>
        <v>1086.5381508722226</v>
      </c>
      <c r="K21" s="55">
        <f>FEE_2_Out!$H19</f>
        <v>973.59828875432981</v>
      </c>
      <c r="L21" s="55">
        <f>FEE_3_In!$H19</f>
        <v>1080.8035244961777</v>
      </c>
      <c r="M21" s="55">
        <f>FEE_3_Out!$H19</f>
        <v>1048.1355059022474</v>
      </c>
      <c r="N21" s="55">
        <f>FEE_4_In!$H19</f>
        <v>1014.5519243952723</v>
      </c>
      <c r="O21" s="55">
        <f>FEE_4_Out!$H19</f>
        <v>1124.6110399436297</v>
      </c>
      <c r="P21" s="120">
        <f t="shared" si="0"/>
        <v>0</v>
      </c>
      <c r="Q21" s="120">
        <f t="shared" si="0"/>
        <v>0</v>
      </c>
      <c r="R21" s="120">
        <f t="shared" si="1"/>
        <v>0</v>
      </c>
      <c r="S21" s="120">
        <f t="shared" si="2"/>
        <v>0</v>
      </c>
      <c r="T21" s="120">
        <f t="shared" si="3"/>
        <v>0</v>
      </c>
      <c r="U21" s="120">
        <f t="shared" si="4"/>
        <v>0</v>
      </c>
      <c r="V21" s="120">
        <f t="shared" si="5"/>
        <v>0</v>
      </c>
      <c r="W21" s="120">
        <f t="shared" si="6"/>
        <v>0</v>
      </c>
    </row>
    <row r="22" spans="2:23" x14ac:dyDescent="0.25">
      <c r="B22" s="51">
        <f>ITE_LUC_Rates!A11</f>
        <v>170</v>
      </c>
      <c r="C22" s="11" t="str">
        <f>ITE_LUC_Rates!B11</f>
        <v>Utility</v>
      </c>
      <c r="D22" s="52" t="str">
        <f>ITE_LUC_Rates!C11</f>
        <v>1000 GSF</v>
      </c>
      <c r="E22" s="112">
        <f>ITE_LUC_Rates!G11</f>
        <v>13.24</v>
      </c>
      <c r="F22" s="53" t="s">
        <v>73</v>
      </c>
      <c r="G22" s="91">
        <f>ITE_LUC_Rates!Q11</f>
        <v>0</v>
      </c>
      <c r="H22" s="55">
        <f>+FEE_1_In!H20</f>
        <v>12217.089753646182</v>
      </c>
      <c r="I22" s="55">
        <f>FEE_1_Out!$H20</f>
        <v>11882.359651019931</v>
      </c>
      <c r="J22" s="55">
        <f>FEE_2_In!$H20</f>
        <v>14531.075876311341</v>
      </c>
      <c r="K22" s="55">
        <f>FEE_2_Out!$H20</f>
        <v>13020.647821320532</v>
      </c>
      <c r="L22" s="55">
        <f>FEE_3_In!$H20</f>
        <v>14454.382489221607</v>
      </c>
      <c r="M22" s="55">
        <f>FEE_3_Out!$H20</f>
        <v>14017.488988026018</v>
      </c>
      <c r="N22" s="55">
        <f>FEE_4_In!$H20</f>
        <v>13568.35098888223</v>
      </c>
      <c r="O22" s="55">
        <f>FEE_4_Out!$H20</f>
        <v>15040.252695811776</v>
      </c>
      <c r="P22" s="120">
        <f t="shared" si="0"/>
        <v>0</v>
      </c>
      <c r="Q22" s="120">
        <f t="shared" si="0"/>
        <v>0</v>
      </c>
      <c r="R22" s="120">
        <f t="shared" si="1"/>
        <v>0</v>
      </c>
      <c r="S22" s="120">
        <f t="shared" si="2"/>
        <v>0</v>
      </c>
      <c r="T22" s="120">
        <f t="shared" si="3"/>
        <v>0</v>
      </c>
      <c r="U22" s="120">
        <f t="shared" si="4"/>
        <v>0</v>
      </c>
      <c r="V22" s="120">
        <f t="shared" si="5"/>
        <v>0</v>
      </c>
      <c r="W22" s="120">
        <f t="shared" si="6"/>
        <v>0</v>
      </c>
    </row>
    <row r="23" spans="2:23" x14ac:dyDescent="0.25">
      <c r="B23" s="92" t="str">
        <f>ITE_LUC_Rates!A12</f>
        <v>Residential</v>
      </c>
      <c r="C23" s="93"/>
      <c r="D23" s="94"/>
      <c r="E23" s="113"/>
      <c r="F23" s="95"/>
      <c r="G23" s="96"/>
      <c r="H23" s="99"/>
      <c r="I23" s="99"/>
      <c r="J23" s="99"/>
      <c r="K23" s="99"/>
      <c r="L23" s="99"/>
      <c r="M23" s="99"/>
      <c r="N23" s="99"/>
      <c r="O23" s="99"/>
      <c r="P23" s="99"/>
      <c r="Q23" s="99"/>
      <c r="R23" s="99"/>
      <c r="S23" s="99"/>
      <c r="T23" s="99"/>
      <c r="U23" s="99"/>
      <c r="V23" s="99"/>
      <c r="W23" s="99"/>
    </row>
    <row r="24" spans="2:23" x14ac:dyDescent="0.25">
      <c r="B24" s="51">
        <f>ITE_LUC_Rates!A13</f>
        <v>210</v>
      </c>
      <c r="C24" s="11" t="str">
        <f>ITE_LUC_Rates!B13</f>
        <v>Single Family Detached</v>
      </c>
      <c r="D24" s="52" t="str">
        <f>ITE_LUC_Rates!C13</f>
        <v>Dwelling unit</v>
      </c>
      <c r="E24" s="112">
        <f>ITE_LUC_Rates!G13</f>
        <v>9.44</v>
      </c>
      <c r="F24" s="53" t="s">
        <v>70</v>
      </c>
      <c r="G24" s="91">
        <f>ITE_LUC_Rates!Q13</f>
        <v>9543.67</v>
      </c>
      <c r="H24" s="55">
        <f>+FEE_1_In!H22</f>
        <v>9651.6577189196796</v>
      </c>
      <c r="I24" s="55">
        <f>FEE_1_Out!$H22</f>
        <v>7376.1219959648506</v>
      </c>
      <c r="J24" s="55">
        <f>FEE_2_In!$H22</f>
        <v>10403.237169188493</v>
      </c>
      <c r="K24" s="55">
        <f>FEE_2_Out!$H22</f>
        <v>9303.2013255702077</v>
      </c>
      <c r="L24" s="55">
        <f>FEE_3_In!$H22</f>
        <v>10238.879044885038</v>
      </c>
      <c r="M24" s="55">
        <f>FEE_3_Out!$H22</f>
        <v>9991.7903820213087</v>
      </c>
      <c r="N24" s="55">
        <f>FEE_4_In!$H22</f>
        <v>9550.048853028884</v>
      </c>
      <c r="O24" s="55">
        <f>FEE_4_Out!$H22</f>
        <v>10719.564586841283</v>
      </c>
      <c r="P24" s="120">
        <f t="shared" ref="P24:Q37" si="7">IFERROR(H24/$G24-1,0)</f>
        <v>1.1315114512517654E-2</v>
      </c>
      <c r="Q24" s="120">
        <f t="shared" si="7"/>
        <v>-0.22711891798806427</v>
      </c>
      <c r="R24" s="120">
        <f t="shared" ref="R24:R37" si="8">IFERROR(K24/$G24-1,0)</f>
        <v>-2.5196666945712987E-2</v>
      </c>
      <c r="S24" s="120">
        <f t="shared" ref="S24:S37" si="9">IFERROR(J24/$G24-1,0)</f>
        <v>9.0066732104996605E-2</v>
      </c>
      <c r="T24" s="120">
        <f t="shared" ref="T24:T37" si="10">IFERROR(M24/$G24-1,0)</f>
        <v>4.6954723080461669E-2</v>
      </c>
      <c r="U24" s="120">
        <f t="shared" ref="U24:U37" si="11">IFERROR(L24/$G24-1,0)</f>
        <v>7.2845042303960383E-2</v>
      </c>
      <c r="V24" s="120">
        <f t="shared" ref="V24:V37" si="12">IFERROR(O24/$G24-1,0)</f>
        <v>0.12321199149187723</v>
      </c>
      <c r="W24" s="120">
        <f t="shared" ref="W24:W37" si="13">IFERROR(N24/$G24-1,0)</f>
        <v>6.6838574980954135E-4</v>
      </c>
    </row>
    <row r="25" spans="2:23" x14ac:dyDescent="0.25">
      <c r="B25" s="51">
        <f>ITE_LUC_Rates!A14</f>
        <v>220</v>
      </c>
      <c r="C25" s="11" t="str">
        <f>ITE_LUC_Rates!B14</f>
        <v>Multi-family Housing (Low-Rise)</v>
      </c>
      <c r="D25" s="52" t="str">
        <f>ITE_LUC_Rates!C14</f>
        <v>Dwelling unit</v>
      </c>
      <c r="E25" s="112">
        <f>ITE_LUC_Rates!G14</f>
        <v>7.32</v>
      </c>
      <c r="F25" s="53" t="s">
        <v>70</v>
      </c>
      <c r="G25" s="91">
        <f>ITE_LUC_Rates!Q14</f>
        <v>6701.09</v>
      </c>
      <c r="H25" s="55">
        <f>+FEE_1_In!H23</f>
        <v>7484.1244176368718</v>
      </c>
      <c r="I25" s="55">
        <f>FEE_1_Out!$H23</f>
        <v>5719.6200222947791</v>
      </c>
      <c r="J25" s="55">
        <f>FEE_2_In!$H23</f>
        <v>8066.91695746396</v>
      </c>
      <c r="K25" s="55">
        <f>FEE_2_Out!$H23</f>
        <v>7213.9230617769008</v>
      </c>
      <c r="L25" s="55">
        <f>FEE_3_In!$H23</f>
        <v>7939.4697678557714</v>
      </c>
      <c r="M25" s="55">
        <f>FEE_3_Out!$H23</f>
        <v>7747.8713555504237</v>
      </c>
      <c r="N25" s="55">
        <f>FEE_4_In!$H23</f>
        <v>7405.3344919673145</v>
      </c>
      <c r="O25" s="55">
        <f>FEE_4_Out!$H23</f>
        <v>8312.2047431862502</v>
      </c>
      <c r="P25" s="120">
        <f t="shared" si="7"/>
        <v>0.11685179838457205</v>
      </c>
      <c r="Q25" s="120">
        <f t="shared" si="7"/>
        <v>-0.14646422861134845</v>
      </c>
      <c r="R25" s="120">
        <f t="shared" si="8"/>
        <v>7.6529797656336607E-2</v>
      </c>
      <c r="S25" s="120">
        <f t="shared" si="9"/>
        <v>0.20382161073257632</v>
      </c>
      <c r="T25" s="120">
        <f t="shared" si="10"/>
        <v>0.15621060984861024</v>
      </c>
      <c r="U25" s="120">
        <f t="shared" si="11"/>
        <v>0.1848027362497402</v>
      </c>
      <c r="V25" s="120">
        <f t="shared" si="12"/>
        <v>0.24042577299905687</v>
      </c>
      <c r="W25" s="120">
        <f t="shared" si="13"/>
        <v>0.10509402081860042</v>
      </c>
    </row>
    <row r="26" spans="2:23" x14ac:dyDescent="0.25">
      <c r="B26" s="116">
        <f>ITE_LUC_Rates!A15</f>
        <v>221</v>
      </c>
      <c r="C26" s="117" t="str">
        <f>ITE_LUC_Rates!B15</f>
        <v>Multi-family Housing (Mid-Rise)</v>
      </c>
      <c r="D26" s="203" t="str">
        <f>ITE_LUC_Rates!C15</f>
        <v>Dwelling unit</v>
      </c>
      <c r="E26" s="204">
        <f>ITE_LUC_Rates!G15</f>
        <v>5.44</v>
      </c>
      <c r="F26" s="118" t="s">
        <v>70</v>
      </c>
      <c r="G26" s="119">
        <f>ITE_LUC_Rates!Q15</f>
        <v>0</v>
      </c>
      <c r="H26" s="55">
        <f>+FEE_1_In!H24</f>
        <v>5561.9722448011717</v>
      </c>
      <c r="I26" s="55">
        <f>FEE_1_Out!$H24</f>
        <v>4250.6465739458472</v>
      </c>
      <c r="J26" s="55">
        <f>FEE_2_In!$H24</f>
        <v>5995.0858263120135</v>
      </c>
      <c r="K26" s="55">
        <f>FEE_2_Out!$H24</f>
        <v>5361.1668655828316</v>
      </c>
      <c r="L26" s="55">
        <f>FEE_3_In!$H24</f>
        <v>5900.3709750184962</v>
      </c>
      <c r="M26" s="55">
        <f>FEE_3_Out!$H24</f>
        <v>5757.9808981139749</v>
      </c>
      <c r="N26" s="55">
        <f>FEE_4_In!$H24</f>
        <v>5503.4179831013917</v>
      </c>
      <c r="O26" s="55">
        <f>FEE_4_Out!$H24</f>
        <v>6177.3762025865035</v>
      </c>
      <c r="P26" s="120">
        <f t="shared" si="7"/>
        <v>0</v>
      </c>
      <c r="Q26" s="120">
        <f t="shared" si="7"/>
        <v>0</v>
      </c>
      <c r="R26" s="120">
        <f t="shared" si="8"/>
        <v>0</v>
      </c>
      <c r="S26" s="120">
        <f t="shared" si="9"/>
        <v>0</v>
      </c>
      <c r="T26" s="120">
        <f t="shared" si="10"/>
        <v>0</v>
      </c>
      <c r="U26" s="120">
        <f t="shared" si="11"/>
        <v>0</v>
      </c>
      <c r="V26" s="120">
        <f t="shared" si="12"/>
        <v>0</v>
      </c>
      <c r="W26" s="120">
        <f t="shared" si="13"/>
        <v>0</v>
      </c>
    </row>
    <row r="27" spans="2:23" x14ac:dyDescent="0.25">
      <c r="B27" s="51">
        <f>ITE_LUC_Rates!A16</f>
        <v>222</v>
      </c>
      <c r="C27" s="11" t="str">
        <f>ITE_LUC_Rates!B16</f>
        <v>Multi-family Housing (High-Rise)</v>
      </c>
      <c r="D27" s="52" t="str">
        <f>ITE_LUC_Rates!C16</f>
        <v>Dwelling unit</v>
      </c>
      <c r="E27" s="112">
        <f>ITE_LUC_Rates!G16</f>
        <v>4.45</v>
      </c>
      <c r="F27" s="53" t="s">
        <v>70</v>
      </c>
      <c r="G27" s="91">
        <f>ITE_LUC_Rates!Q16</f>
        <v>4188.18</v>
      </c>
      <c r="H27" s="55">
        <f>+FEE_1_In!H25</f>
        <v>4549.7750899568409</v>
      </c>
      <c r="I27" s="55">
        <f>FEE_1_Out!$H25</f>
        <v>3477.0914069961432</v>
      </c>
      <c r="J27" s="55">
        <f>FEE_2_In!$H25</f>
        <v>4904.0683689500847</v>
      </c>
      <c r="K27" s="55">
        <f>FEE_2_Out!$H25</f>
        <v>4385.5133367359567</v>
      </c>
      <c r="L27" s="55">
        <f>FEE_3_In!$H25</f>
        <v>4826.5902277265286</v>
      </c>
      <c r="M27" s="55">
        <f>FEE_3_Out!$H25</f>
        <v>4710.1130508469114</v>
      </c>
      <c r="N27" s="55">
        <f>FEE_4_In!$H25</f>
        <v>4501.8768427943369</v>
      </c>
      <c r="O27" s="55">
        <f>FEE_4_Out!$H25</f>
        <v>5053.1845774834446</v>
      </c>
      <c r="P27" s="120">
        <f t="shared" si="7"/>
        <v>8.6337046152944907E-2</v>
      </c>
      <c r="Q27" s="120">
        <f t="shared" si="7"/>
        <v>-0.16978463031766955</v>
      </c>
      <c r="R27" s="120">
        <f t="shared" si="8"/>
        <v>4.7116727728024221E-2</v>
      </c>
      <c r="S27" s="120">
        <f t="shared" si="9"/>
        <v>0.17093065936757368</v>
      </c>
      <c r="T27" s="120">
        <f t="shared" si="10"/>
        <v>0.12462049168061329</v>
      </c>
      <c r="U27" s="120">
        <f t="shared" si="11"/>
        <v>0.1524314207427877</v>
      </c>
      <c r="V27" s="120">
        <f t="shared" si="12"/>
        <v>0.20653471853727501</v>
      </c>
      <c r="W27" s="120">
        <f t="shared" si="13"/>
        <v>7.4900515926807465E-2</v>
      </c>
    </row>
    <row r="28" spans="2:23" x14ac:dyDescent="0.25">
      <c r="B28" s="51">
        <f>ITE_LUC_Rates!A17</f>
        <v>230</v>
      </c>
      <c r="C28" s="11" t="str">
        <f>ITE_LUC_Rates!B17</f>
        <v>Low Rise Residential w/ 1st Commercial (up to 25ksf)</v>
      </c>
      <c r="D28" s="52" t="str">
        <f>ITE_LUC_Rates!C17</f>
        <v>Dwelling unit</v>
      </c>
      <c r="E28" s="112">
        <f>ITE_LUC_Rates!G17</f>
        <v>5.86</v>
      </c>
      <c r="F28" s="53" t="s">
        <v>70</v>
      </c>
      <c r="G28" s="91">
        <f>ITE_LUC_Rates!Q17</f>
        <v>5843.27</v>
      </c>
      <c r="H28" s="55">
        <f>+FEE_1_In!H26</f>
        <v>5991.3892195836161</v>
      </c>
      <c r="I28" s="55">
        <f>FEE_1_Out!$H26</f>
        <v>4578.8214932578421</v>
      </c>
      <c r="J28" s="55">
        <f>FEE_2_In!$H26</f>
        <v>6457.9417173140455</v>
      </c>
      <c r="K28" s="55">
        <f>FEE_2_Out!$H26</f>
        <v>5775.0804838815075</v>
      </c>
      <c r="L28" s="55">
        <f>FEE_3_In!$H26</f>
        <v>6355.9143223544843</v>
      </c>
      <c r="M28" s="55">
        <f>FEE_3_Out!$H26</f>
        <v>6202.5308939242459</v>
      </c>
      <c r="N28" s="55">
        <f>FEE_4_In!$H26</f>
        <v>5928.3142244437795</v>
      </c>
      <c r="O28" s="55">
        <f>FEE_4_Out!$H26</f>
        <v>6654.3059829332542</v>
      </c>
      <c r="P28" s="120">
        <f>IFERROR(H28/$G28-1,0)</f>
        <v>2.5348686537437937E-2</v>
      </c>
      <c r="Q28" s="120">
        <f>IFERROR(I28/$G28-1,0)</f>
        <v>-0.21639398945148147</v>
      </c>
      <c r="R28" s="120">
        <f t="shared" si="8"/>
        <v>-1.1669752744352557E-2</v>
      </c>
      <c r="S28" s="120">
        <f t="shared" si="9"/>
        <v>0.10519310545534344</v>
      </c>
      <c r="T28" s="120">
        <f>IFERROR(M28/$G28-1,0)</f>
        <v>6.1482850171949099E-2</v>
      </c>
      <c r="U28" s="120">
        <f t="shared" si="11"/>
        <v>8.7732437890852832E-2</v>
      </c>
      <c r="V28" s="120">
        <f>IFERROR(O28/$G28-1,0)</f>
        <v>0.13879830692972495</v>
      </c>
      <c r="W28" s="120">
        <f t="shared" si="13"/>
        <v>1.4554217834154448E-2</v>
      </c>
    </row>
    <row r="29" spans="2:23" x14ac:dyDescent="0.25">
      <c r="B29" s="116">
        <f>ITE_LUC_Rates!A18</f>
        <v>231</v>
      </c>
      <c r="C29" s="117" t="str">
        <f>ITE_LUC_Rates!B18</f>
        <v>Mid Rise Residential w/ 1st Commercial</v>
      </c>
      <c r="D29" s="203" t="str">
        <f>ITE_LUC_Rates!C18</f>
        <v>Dwelling unit</v>
      </c>
      <c r="E29" s="204">
        <f>ITE_LUC_Rates!G18</f>
        <v>3.44</v>
      </c>
      <c r="F29" s="118" t="s">
        <v>70</v>
      </c>
      <c r="G29" s="119">
        <f>ITE_LUC_Rates!Q18</f>
        <v>0</v>
      </c>
      <c r="H29" s="55">
        <f>+FEE_1_In!H27</f>
        <v>3517.1295077419172</v>
      </c>
      <c r="I29" s="55">
        <f>FEE_1_Out!$H27</f>
        <v>2687.9088629363441</v>
      </c>
      <c r="J29" s="55">
        <f>FEE_2_In!$H27</f>
        <v>3791.0101548737725</v>
      </c>
      <c r="K29" s="55">
        <f>FEE_2_Out!$H27</f>
        <v>3390.1496355891445</v>
      </c>
      <c r="L29" s="55">
        <f>FEE_3_In!$H27</f>
        <v>3731.1169400852264</v>
      </c>
      <c r="M29" s="55">
        <f>FEE_3_Out!$H27</f>
        <v>3641.076156160309</v>
      </c>
      <c r="N29" s="55">
        <f>FEE_4_In!$H27</f>
        <v>3480.1025481376446</v>
      </c>
      <c r="O29" s="55">
        <f>FEE_4_Out!$H27</f>
        <v>3906.2820104591119</v>
      </c>
      <c r="P29" s="120">
        <f t="shared" si="7"/>
        <v>0</v>
      </c>
      <c r="Q29" s="120">
        <f t="shared" si="7"/>
        <v>0</v>
      </c>
      <c r="R29" s="120">
        <f t="shared" si="8"/>
        <v>0</v>
      </c>
      <c r="S29" s="120">
        <f t="shared" si="9"/>
        <v>0</v>
      </c>
      <c r="T29" s="120">
        <f t="shared" si="10"/>
        <v>0</v>
      </c>
      <c r="U29" s="120">
        <f t="shared" si="11"/>
        <v>0</v>
      </c>
      <c r="V29" s="120">
        <f t="shared" si="12"/>
        <v>0</v>
      </c>
      <c r="W29" s="120">
        <f t="shared" si="13"/>
        <v>0</v>
      </c>
    </row>
    <row r="30" spans="2:23" x14ac:dyDescent="0.25">
      <c r="B30" s="51">
        <f>ITE_LUC_Rates!A19</f>
        <v>240</v>
      </c>
      <c r="C30" s="11" t="str">
        <f>ITE_LUC_Rates!B19</f>
        <v>Mobile Home Park</v>
      </c>
      <c r="D30" s="52" t="str">
        <f>ITE_LUC_Rates!C19</f>
        <v>Dwelling unit</v>
      </c>
      <c r="E30" s="112">
        <f>ITE_LUC_Rates!G19</f>
        <v>5</v>
      </c>
      <c r="F30" s="53" t="s">
        <v>70</v>
      </c>
      <c r="G30" s="91">
        <f>ITE_LUC_Rates!Q19</f>
        <v>4975.3599999999997</v>
      </c>
      <c r="H30" s="55">
        <f>+FEE_1_In!H28</f>
        <v>5112.1068426481361</v>
      </c>
      <c r="I30" s="55">
        <f>FEE_1_Out!$H28</f>
        <v>3906.8442775237563</v>
      </c>
      <c r="J30" s="55">
        <f>FEE_2_In!$H28</f>
        <v>5510.1891785956004</v>
      </c>
      <c r="K30" s="55">
        <f>FEE_2_Out!$H28</f>
        <v>4927.5430749842217</v>
      </c>
      <c r="L30" s="55">
        <f>FEE_3_In!$H28</f>
        <v>5423.1350873331785</v>
      </c>
      <c r="M30" s="55">
        <f>FEE_3_Out!$H28</f>
        <v>5292.2618548841701</v>
      </c>
      <c r="N30" s="55">
        <f>FEE_4_In!$H28</f>
        <v>5058.2885874093681</v>
      </c>
      <c r="O30" s="55">
        <f>FEE_4_Out!$H28</f>
        <v>5677.7354803184762</v>
      </c>
      <c r="P30" s="120">
        <f t="shared" si="7"/>
        <v>2.7484813691498911E-2</v>
      </c>
      <c r="Q30" s="120">
        <f t="shared" si="7"/>
        <v>-0.21476148911360049</v>
      </c>
      <c r="R30" s="120">
        <f t="shared" si="8"/>
        <v>-9.610746763204725E-3</v>
      </c>
      <c r="S30" s="120">
        <f t="shared" si="9"/>
        <v>0.10749557390733555</v>
      </c>
      <c r="T30" s="120">
        <f>IFERROR(M30/$G30-1,0)</f>
        <v>6.3694256271741301E-2</v>
      </c>
      <c r="U30" s="120">
        <f t="shared" si="11"/>
        <v>8.9998530223577511E-2</v>
      </c>
      <c r="V30" s="120">
        <f>IFERROR(O30/$G30-1,0)</f>
        <v>0.14117078569560326</v>
      </c>
      <c r="W30" s="120">
        <f t="shared" si="13"/>
        <v>1.6667856679590809E-2</v>
      </c>
    </row>
    <row r="31" spans="2:23" x14ac:dyDescent="0.25">
      <c r="B31" s="51">
        <f>ITE_LUC_Rates!A20</f>
        <v>251</v>
      </c>
      <c r="C31" s="11" t="str">
        <f>ITE_LUC_Rates!B20</f>
        <v>Senior Adult Housing - Single-Family</v>
      </c>
      <c r="D31" s="52" t="str">
        <f>ITE_LUC_Rates!C20</f>
        <v>Dwelling unit</v>
      </c>
      <c r="E31" s="112">
        <f>ITE_LUC_Rates!G20</f>
        <v>4.2699999999999996</v>
      </c>
      <c r="F31" s="53" t="s">
        <v>70</v>
      </c>
      <c r="G31" s="91">
        <f>ITE_LUC_Rates!Q20</f>
        <v>3670.12</v>
      </c>
      <c r="H31" s="55">
        <f>+FEE_1_In!H29</f>
        <v>4365.7392436215077</v>
      </c>
      <c r="I31" s="55">
        <f>FEE_1_Out!$H29</f>
        <v>3336.4450130052874</v>
      </c>
      <c r="J31" s="55">
        <f>FEE_2_In!$H29</f>
        <v>4705.7015585206427</v>
      </c>
      <c r="K31" s="55">
        <f>FEE_2_Out!$H29</f>
        <v>4208.121786036525</v>
      </c>
      <c r="L31" s="55">
        <f>FEE_3_In!$H29</f>
        <v>4631.3573645825327</v>
      </c>
      <c r="M31" s="55">
        <f>FEE_3_Out!$H29</f>
        <v>4519.5916240710794</v>
      </c>
      <c r="N31" s="55">
        <f>FEE_4_In!$H29</f>
        <v>4319.7784536475992</v>
      </c>
      <c r="O31" s="55">
        <f>FEE_4_Out!$H29</f>
        <v>4848.7861001919791</v>
      </c>
      <c r="P31" s="120">
        <f t="shared" si="7"/>
        <v>0.1895358308778754</v>
      </c>
      <c r="Q31" s="120">
        <f t="shared" si="7"/>
        <v>-9.0916642233690559E-2</v>
      </c>
      <c r="R31" s="120">
        <f t="shared" si="8"/>
        <v>0.14658969898437246</v>
      </c>
      <c r="S31" s="120">
        <f t="shared" si="9"/>
        <v>0.28216558546332071</v>
      </c>
      <c r="T31" s="120">
        <f>IFERROR(M31/$G31-1,0)</f>
        <v>0.23145608973850429</v>
      </c>
      <c r="U31" s="120">
        <f t="shared" si="11"/>
        <v>0.26190897425221316</v>
      </c>
      <c r="V31" s="120">
        <f>IFERROR(O31/$G31-1,0)</f>
        <v>0.32115192424007377</v>
      </c>
      <c r="W31" s="120">
        <f t="shared" si="13"/>
        <v>0.17701286433348207</v>
      </c>
    </row>
    <row r="32" spans="2:23" x14ac:dyDescent="0.25">
      <c r="B32" s="51">
        <f>ITE_LUC_Rates!A21</f>
        <v>252</v>
      </c>
      <c r="C32" s="11" t="str">
        <f>ITE_LUC_Rates!B21</f>
        <v>Senior Adult Housing - Multifamily</v>
      </c>
      <c r="D32" s="52" t="str">
        <f>ITE_LUC_Rates!C21</f>
        <v>Dwelling unit</v>
      </c>
      <c r="E32" s="112">
        <f>ITE_LUC_Rates!G21</f>
        <v>3.7</v>
      </c>
      <c r="F32" s="53" t="s">
        <v>70</v>
      </c>
      <c r="G32" s="91">
        <f>ITE_LUC_Rates!Q21</f>
        <v>3429.6</v>
      </c>
      <c r="H32" s="55">
        <f>+FEE_1_In!H30</f>
        <v>3782.9590635596205</v>
      </c>
      <c r="I32" s="55">
        <f>FEE_1_Out!$H30</f>
        <v>2891.0647653675796</v>
      </c>
      <c r="J32" s="55">
        <f>FEE_2_In!$H30</f>
        <v>4077.5399921607445</v>
      </c>
      <c r="K32" s="55">
        <f>FEE_2_Out!$H30</f>
        <v>3646.3818754883237</v>
      </c>
      <c r="L32" s="55">
        <f>FEE_3_In!$H30</f>
        <v>4013.1199646265518</v>
      </c>
      <c r="M32" s="55">
        <f>FEE_3_Out!$H30</f>
        <v>3916.2737726142859</v>
      </c>
      <c r="N32" s="55">
        <f>FEE_4_In!$H30</f>
        <v>3743.1335546829323</v>
      </c>
      <c r="O32" s="55">
        <f>FEE_4_Out!$H30</f>
        <v>4201.5242554356728</v>
      </c>
      <c r="P32" s="120">
        <f t="shared" si="7"/>
        <v>0.10303215055972137</v>
      </c>
      <c r="Q32" s="120">
        <f t="shared" si="7"/>
        <v>-0.15702566906706916</v>
      </c>
      <c r="R32" s="120">
        <f t="shared" si="8"/>
        <v>6.3209084292140227E-2</v>
      </c>
      <c r="S32" s="120">
        <f t="shared" si="9"/>
        <v>0.1889258199675603</v>
      </c>
      <c r="T32" s="120">
        <f>IFERROR(M32/$G32-1,0)</f>
        <v>0.14190394582875143</v>
      </c>
      <c r="U32" s="120">
        <f t="shared" si="11"/>
        <v>0.17014228033197809</v>
      </c>
      <c r="V32" s="120">
        <f>IFERROR(O32/$G32-1,0)</f>
        <v>0.22507705138665535</v>
      </c>
      <c r="W32" s="120">
        <f t="shared" si="13"/>
        <v>9.1419860824274668E-2</v>
      </c>
    </row>
    <row r="33" spans="2:23" x14ac:dyDescent="0.25">
      <c r="B33" s="51">
        <f>ITE_LUC_Rates!A22</f>
        <v>253</v>
      </c>
      <c r="C33" s="11" t="str">
        <f>ITE_LUC_Rates!B22</f>
        <v>Congregate Care Facility</v>
      </c>
      <c r="D33" s="52" t="str">
        <f>ITE_LUC_Rates!C22</f>
        <v>Dwelling unit</v>
      </c>
      <c r="E33" s="112">
        <f>ITE_LUC_Rates!G22</f>
        <v>2.02</v>
      </c>
      <c r="F33" s="53" t="s">
        <v>70</v>
      </c>
      <c r="G33" s="91">
        <f>ITE_LUC_Rates!Q22</f>
        <v>2050.3000000000002</v>
      </c>
      <c r="H33" s="55">
        <f>+FEE_1_In!H31</f>
        <v>687.99777931931317</v>
      </c>
      <c r="I33" s="55">
        <f>FEE_1_Out!$H31</f>
        <v>525.79108180187097</v>
      </c>
      <c r="J33" s="55">
        <f>FEE_2_In!$H31</f>
        <v>741.57251309311414</v>
      </c>
      <c r="K33" s="55">
        <f>FEE_2_Out!$H31</f>
        <v>663.15881053324551</v>
      </c>
      <c r="L33" s="55">
        <f>FEE_3_In!$H31</f>
        <v>729.8565957007886</v>
      </c>
      <c r="M33" s="55">
        <f>FEE_3_Out!$H31</f>
        <v>712.2434087959125</v>
      </c>
      <c r="N33" s="55">
        <f>FEE_4_In!$H31</f>
        <v>680.75480861646827</v>
      </c>
      <c r="O33" s="55">
        <f>FEE_4_Out!$H31</f>
        <v>764.12123655813286</v>
      </c>
      <c r="P33" s="120">
        <f t="shared" si="7"/>
        <v>-0.66444043343934389</v>
      </c>
      <c r="Q33" s="120">
        <f t="shared" si="7"/>
        <v>-0.74355407413457986</v>
      </c>
      <c r="R33" s="120">
        <f t="shared" si="8"/>
        <v>-0.67655523068173173</v>
      </c>
      <c r="S33" s="120">
        <f t="shared" si="9"/>
        <v>-0.63831024089493527</v>
      </c>
      <c r="T33" s="120">
        <f t="shared" si="10"/>
        <v>-0.65261502765648327</v>
      </c>
      <c r="U33" s="120">
        <f t="shared" si="11"/>
        <v>-0.64402448631869058</v>
      </c>
      <c r="V33" s="120">
        <f t="shared" si="12"/>
        <v>-0.62731247302437065</v>
      </c>
      <c r="W33" s="120">
        <f t="shared" si="13"/>
        <v>-0.66797307290812657</v>
      </c>
    </row>
    <row r="34" spans="2:23" x14ac:dyDescent="0.25">
      <c r="B34" s="51">
        <f>ITE_LUC_Rates!A23</f>
        <v>254</v>
      </c>
      <c r="C34" s="11" t="str">
        <f>ITE_LUC_Rates!B23</f>
        <v>Assisted Living Facility</v>
      </c>
      <c r="D34" s="52" t="str">
        <f>ITE_LUC_Rates!C23</f>
        <v>Bed</v>
      </c>
      <c r="E34" s="112">
        <f>ITE_LUC_Rates!G23</f>
        <v>2.6</v>
      </c>
      <c r="F34" s="53" t="s">
        <v>70</v>
      </c>
      <c r="G34" s="91">
        <f>ITE_LUC_Rates!Q23</f>
        <v>2701.29</v>
      </c>
      <c r="H34" s="55">
        <f>+FEE_1_In!H32</f>
        <v>885.54169615357137</v>
      </c>
      <c r="I34" s="55">
        <f>FEE_1_Out!$H32</f>
        <v>676.760798358844</v>
      </c>
      <c r="J34" s="55">
        <f>FEE_2_In!$H32</f>
        <v>954.49927427826583</v>
      </c>
      <c r="K34" s="55">
        <f>FEE_2_Out!$H32</f>
        <v>853.57074623091023</v>
      </c>
      <c r="L34" s="55">
        <f>FEE_3_In!$H32</f>
        <v>939.41938060497523</v>
      </c>
      <c r="M34" s="55">
        <f>FEE_3_Out!$H32</f>
        <v>916.74894201454072</v>
      </c>
      <c r="N34" s="55">
        <f>FEE_4_In!$H32</f>
        <v>876.21906059545427</v>
      </c>
      <c r="O34" s="55">
        <f>FEE_4_Out!$H32</f>
        <v>983.52238368868564</v>
      </c>
      <c r="P34" s="121">
        <f t="shared" si="7"/>
        <v>-0.67217821997876148</v>
      </c>
      <c r="Q34" s="121">
        <f t="shared" si="7"/>
        <v>-0.74946755129629028</v>
      </c>
      <c r="R34" s="121">
        <f t="shared" si="8"/>
        <v>-0.68401365783351276</v>
      </c>
      <c r="S34" s="121">
        <f t="shared" si="9"/>
        <v>-0.64665057277142934</v>
      </c>
      <c r="T34" s="121">
        <f t="shared" si="10"/>
        <v>-0.66062550040368095</v>
      </c>
      <c r="U34" s="121">
        <f t="shared" si="11"/>
        <v>-0.65223305139212184</v>
      </c>
      <c r="V34" s="121">
        <f t="shared" si="12"/>
        <v>-0.63590640631376649</v>
      </c>
      <c r="W34" s="121">
        <f t="shared" si="13"/>
        <v>-0.67562939906657404</v>
      </c>
    </row>
    <row r="35" spans="2:23" x14ac:dyDescent="0.25">
      <c r="B35" s="51">
        <f>ITE_LUC_Rates!A24</f>
        <v>255</v>
      </c>
      <c r="C35" s="11" t="str">
        <f>ITE_LUC_Rates!B24</f>
        <v>Continuing Care Retirement Community</v>
      </c>
      <c r="D35" s="52" t="str">
        <f>ITE_LUC_Rates!C24</f>
        <v>Dwelling unit</v>
      </c>
      <c r="E35" s="112">
        <f>ITE_LUC_Rates!G24</f>
        <v>2.4</v>
      </c>
      <c r="F35" s="53" t="s">
        <v>70</v>
      </c>
      <c r="G35" s="91">
        <f>ITE_LUC_Rates!Q24</f>
        <v>2437.2199999999998</v>
      </c>
      <c r="H35" s="55">
        <f>+FEE_1_In!H33</f>
        <v>817.4231041417579</v>
      </c>
      <c r="I35" s="55">
        <f>FEE_1_Out!$H33</f>
        <v>624.70227540816347</v>
      </c>
      <c r="J35" s="55">
        <f>FEE_2_In!$H33</f>
        <v>881.07625317993757</v>
      </c>
      <c r="K35" s="55">
        <f>FEE_2_Out!$H33</f>
        <v>787.91145805930159</v>
      </c>
      <c r="L35" s="55">
        <f>FEE_3_In!$H33</f>
        <v>867.15635132766931</v>
      </c>
      <c r="M35" s="55">
        <f>FEE_3_Out!$H33</f>
        <v>846.22979262880665</v>
      </c>
      <c r="N35" s="55">
        <f>FEE_4_In!$H33</f>
        <v>808.81759439580378</v>
      </c>
      <c r="O35" s="55">
        <f>FEE_4_Out!$H33</f>
        <v>907.86681571263284</v>
      </c>
      <c r="P35" s="120">
        <f t="shared" si="7"/>
        <v>-0.66460840459960202</v>
      </c>
      <c r="Q35" s="120">
        <f t="shared" si="7"/>
        <v>-0.74368244335424638</v>
      </c>
      <c r="R35" s="120">
        <f t="shared" si="8"/>
        <v>-0.67671713753403395</v>
      </c>
      <c r="S35" s="120">
        <f t="shared" si="9"/>
        <v>-0.63849129205408717</v>
      </c>
      <c r="T35" s="120">
        <f t="shared" si="10"/>
        <v>-0.65278891826392083</v>
      </c>
      <c r="U35" s="120">
        <f t="shared" si="11"/>
        <v>-0.64420267709617129</v>
      </c>
      <c r="V35" s="120">
        <f t="shared" si="12"/>
        <v>-0.62749902933972601</v>
      </c>
      <c r="W35" s="120">
        <f t="shared" si="13"/>
        <v>-0.66813927573390841</v>
      </c>
    </row>
    <row r="36" spans="2:23" x14ac:dyDescent="0.25">
      <c r="B36" s="116">
        <f>ITE_LUC_Rates!A25</f>
        <v>265</v>
      </c>
      <c r="C36" s="117" t="str">
        <f>ITE_LUC_Rates!B25</f>
        <v xml:space="preserve">Timeshare </v>
      </c>
      <c r="D36" s="203" t="str">
        <f>ITE_LUC_Rates!C25</f>
        <v>Dwelling unit</v>
      </c>
      <c r="E36" s="204">
        <f>ITE_LUC_Rates!G25</f>
        <v>8.6300000000000008</v>
      </c>
      <c r="F36" s="118" t="s">
        <v>70</v>
      </c>
      <c r="G36" s="119">
        <f>ITE_LUC_Rates!Q25</f>
        <v>0</v>
      </c>
      <c r="H36" s="55">
        <f>+FEE_1_In!H34</f>
        <v>8823.4964104106839</v>
      </c>
      <c r="I36" s="55">
        <f>FEE_1_Out!$H34</f>
        <v>6743.2132230060033</v>
      </c>
      <c r="J36" s="55">
        <f>FEE_2_In!$H34</f>
        <v>9510.5865222560078</v>
      </c>
      <c r="K36" s="55">
        <f>FEE_2_Out!$H34</f>
        <v>8504.9393474227654</v>
      </c>
      <c r="L36" s="55">
        <f>FEE_3_In!$H34</f>
        <v>9360.3311607370651</v>
      </c>
      <c r="M36" s="55">
        <f>FEE_3_Out!$H34</f>
        <v>9134.4439615300762</v>
      </c>
      <c r="N36" s="55">
        <f>FEE_4_In!$H34</f>
        <v>8730.6061018685705</v>
      </c>
      <c r="O36" s="55">
        <f>FEE_4_Out!$H34</f>
        <v>9799.7714390296896</v>
      </c>
      <c r="P36" s="120">
        <f t="shared" si="7"/>
        <v>0</v>
      </c>
      <c r="Q36" s="120">
        <f t="shared" si="7"/>
        <v>0</v>
      </c>
      <c r="R36" s="120">
        <f t="shared" si="8"/>
        <v>0</v>
      </c>
      <c r="S36" s="120">
        <f t="shared" si="9"/>
        <v>0</v>
      </c>
      <c r="T36" s="120">
        <f t="shared" si="10"/>
        <v>0</v>
      </c>
      <c r="U36" s="120">
        <f t="shared" si="11"/>
        <v>0</v>
      </c>
      <c r="V36" s="120">
        <f t="shared" si="12"/>
        <v>0</v>
      </c>
      <c r="W36" s="120">
        <f t="shared" si="13"/>
        <v>0</v>
      </c>
    </row>
    <row r="37" spans="2:23" x14ac:dyDescent="0.25">
      <c r="B37" s="116">
        <f>ITE_LUC_Rates!A26</f>
        <v>270</v>
      </c>
      <c r="C37" s="117" t="str">
        <f>ITE_LUC_Rates!B26</f>
        <v>Residential PUD</v>
      </c>
      <c r="D37" s="203" t="str">
        <f>ITE_LUC_Rates!C26</f>
        <v>Dwelling unit</v>
      </c>
      <c r="E37" s="204">
        <f>ITE_LUC_Rates!G26</f>
        <v>7.83</v>
      </c>
      <c r="F37" s="118" t="s">
        <v>70</v>
      </c>
      <c r="G37" s="119">
        <f>ITE_LUC_Rates!Q26</f>
        <v>0</v>
      </c>
      <c r="H37" s="55">
        <f>+FEE_1_In!H35</f>
        <v>8005.559315586981</v>
      </c>
      <c r="I37" s="55">
        <f>FEE_1_Out!$H35</f>
        <v>6118.1181386022017</v>
      </c>
      <c r="J37" s="55">
        <f>FEE_2_In!$H35</f>
        <v>8628.9562536807098</v>
      </c>
      <c r="K37" s="55">
        <f>FEE_2_Out!$H35</f>
        <v>7716.5324554252911</v>
      </c>
      <c r="L37" s="55">
        <f>FEE_3_In!$H35</f>
        <v>8492.6295467637574</v>
      </c>
      <c r="M37" s="55">
        <f>FEE_3_Out!$H35</f>
        <v>8287.6820647486074</v>
      </c>
      <c r="N37" s="55">
        <f>FEE_4_In!$H35</f>
        <v>7921.2799278830698</v>
      </c>
      <c r="O37" s="55">
        <f>FEE_4_Out!$H35</f>
        <v>8891.3337621787341</v>
      </c>
      <c r="P37" s="120">
        <f t="shared" si="7"/>
        <v>0</v>
      </c>
      <c r="Q37" s="120">
        <f t="shared" si="7"/>
        <v>0</v>
      </c>
      <c r="R37" s="120">
        <f t="shared" si="8"/>
        <v>0</v>
      </c>
      <c r="S37" s="120">
        <f t="shared" si="9"/>
        <v>0</v>
      </c>
      <c r="T37" s="120">
        <f t="shared" si="10"/>
        <v>0</v>
      </c>
      <c r="U37" s="120">
        <f t="shared" si="11"/>
        <v>0</v>
      </c>
      <c r="V37" s="120">
        <f t="shared" si="12"/>
        <v>0</v>
      </c>
      <c r="W37" s="120">
        <f t="shared" si="13"/>
        <v>0</v>
      </c>
    </row>
    <row r="38" spans="2:23" x14ac:dyDescent="0.25">
      <c r="B38" s="92" t="str">
        <f>ITE_LUC_Rates!A27</f>
        <v>Lodging</v>
      </c>
      <c r="C38" s="93"/>
      <c r="D38" s="94"/>
      <c r="E38" s="113"/>
      <c r="F38" s="95"/>
      <c r="G38" s="96"/>
      <c r="H38" s="99"/>
      <c r="I38" s="99"/>
      <c r="J38" s="99"/>
      <c r="K38" s="99"/>
      <c r="L38" s="99"/>
      <c r="M38" s="99"/>
      <c r="N38" s="99"/>
      <c r="O38" s="99"/>
      <c r="P38" s="99"/>
      <c r="Q38" s="99"/>
      <c r="R38" s="99"/>
      <c r="S38" s="99"/>
      <c r="T38" s="99"/>
      <c r="U38" s="99"/>
      <c r="V38" s="99"/>
      <c r="W38" s="99"/>
    </row>
    <row r="39" spans="2:23" x14ac:dyDescent="0.25">
      <c r="B39" s="51">
        <f>ITE_LUC_Rates!A28</f>
        <v>310</v>
      </c>
      <c r="C39" s="11" t="str">
        <f>ITE_LUC_Rates!B28</f>
        <v>Hotel</v>
      </c>
      <c r="D39" s="52" t="str">
        <f>ITE_LUC_Rates!C28</f>
        <v>Hotel room</v>
      </c>
      <c r="E39" s="112">
        <f>ITE_LUC_Rates!G28</f>
        <v>8.36</v>
      </c>
      <c r="F39" s="53" t="s">
        <v>70</v>
      </c>
      <c r="G39" s="91">
        <f>ITE_LUC_Rates!Q28</f>
        <v>8894.4159999999993</v>
      </c>
      <c r="H39" s="55">
        <f>+FEE_1_In!H37</f>
        <v>5350.2213660515417</v>
      </c>
      <c r="I39" s="55">
        <f>FEE_1_Out!$H37</f>
        <v>4088.8194184564527</v>
      </c>
      <c r="J39" s="55">
        <f>FEE_2_In!$H37</f>
        <v>5766.8457999279199</v>
      </c>
      <c r="K39" s="55">
        <f>FEE_2_Out!$H37</f>
        <v>5157.0608857351863</v>
      </c>
      <c r="L39" s="55">
        <f>FEE_3_In!$H37</f>
        <v>5675.7368553360748</v>
      </c>
      <c r="M39" s="55">
        <f>FEE_3_Out!$H37</f>
        <v>5538.7677375055482</v>
      </c>
      <c r="N39" s="55">
        <f>FEE_4_In!$H37</f>
        <v>5293.8963345283528</v>
      </c>
      <c r="O39" s="55">
        <f>FEE_4_Out!$H37</f>
        <v>5942.1961654176002</v>
      </c>
      <c r="P39" s="120">
        <f t="shared" ref="P39:Q42" si="14">IFERROR(H39/$G39-1,0)</f>
        <v>-0.39847412510820923</v>
      </c>
      <c r="Q39" s="120">
        <f t="shared" si="14"/>
        <v>-0.54029366082534791</v>
      </c>
      <c r="R39" s="120">
        <f>IFERROR(K39/$G39-1,0)</f>
        <v>-0.4201911754818769</v>
      </c>
      <c r="S39" s="120">
        <f>IFERROR(J39/$G39-1,0)</f>
        <v>-0.35163300210739856</v>
      </c>
      <c r="T39" s="120">
        <f>IFERROR(M39/$G39-1,0)</f>
        <v>-0.37727583941367837</v>
      </c>
      <c r="U39" s="120">
        <f>IFERROR(L39/$G39-1,0)</f>
        <v>-0.36187638903598895</v>
      </c>
      <c r="V39" s="120">
        <f>IFERROR(O39/$G39-1,0)</f>
        <v>-0.33191834456387015</v>
      </c>
      <c r="W39" s="120">
        <f>IFERROR(N39/$G39-1,0)</f>
        <v>-0.40480675352621764</v>
      </c>
    </row>
    <row r="40" spans="2:23" x14ac:dyDescent="0.25">
      <c r="B40" s="51">
        <f>ITE_LUC_Rates!A29</f>
        <v>311</v>
      </c>
      <c r="C40" s="11" t="str">
        <f>ITE_LUC_Rates!B29</f>
        <v>All Suites Hotel</v>
      </c>
      <c r="D40" s="52" t="str">
        <f>ITE_LUC_Rates!C29</f>
        <v>Hotel room</v>
      </c>
      <c r="E40" s="112">
        <f>ITE_LUC_Rates!G29</f>
        <v>4.46</v>
      </c>
      <c r="F40" s="53" t="s">
        <v>70</v>
      </c>
      <c r="G40" s="91">
        <f>ITE_LUC_Rates!Q29</f>
        <v>6221.7179999999998</v>
      </c>
      <c r="H40" s="55">
        <f>+FEE_1_In!H38</f>
        <v>2854.3047000705601</v>
      </c>
      <c r="I40" s="55">
        <f>FEE_1_Out!$H38</f>
        <v>2181.355814152605</v>
      </c>
      <c r="J40" s="55">
        <f>FEE_2_In!$H38</f>
        <v>3076.5708454160913</v>
      </c>
      <c r="K40" s="55">
        <f>FEE_2_Out!$H38</f>
        <v>2751.2549701410203</v>
      </c>
      <c r="L40" s="55">
        <f>FEE_3_In!$H38</f>
        <v>3027.9648773682889</v>
      </c>
      <c r="M40" s="55">
        <f>FEE_3_Out!$H38</f>
        <v>2954.892836037649</v>
      </c>
      <c r="N40" s="55">
        <f>FEE_4_In!$H38</f>
        <v>2824.255699999575</v>
      </c>
      <c r="O40" s="55">
        <f>FEE_4_Out!$H38</f>
        <v>3170.1190069093896</v>
      </c>
      <c r="P40" s="120">
        <f t="shared" si="14"/>
        <v>-0.541235282590667</v>
      </c>
      <c r="Q40" s="120">
        <f t="shared" si="14"/>
        <v>-0.64939654703851812</v>
      </c>
      <c r="R40" s="120">
        <f>IFERROR(K40/$G40-1,0)</f>
        <v>-0.5577981885162554</v>
      </c>
      <c r="S40" s="120">
        <f>IFERROR(J40/$G40-1,0)</f>
        <v>-0.50551104286370885</v>
      </c>
      <c r="T40" s="120">
        <f>IFERROR(M40/$G40-1,0)</f>
        <v>-0.5250680220418783</v>
      </c>
      <c r="U40" s="120">
        <f>IFERROR(L40/$G40-1,0)</f>
        <v>-0.51332334937580115</v>
      </c>
      <c r="V40" s="120">
        <f>IFERROR(O40/$G40-1,0)</f>
        <v>-0.49047529847714255</v>
      </c>
      <c r="W40" s="120">
        <f>IFERROR(N40/$G40-1,0)</f>
        <v>-0.54606497755128491</v>
      </c>
    </row>
    <row r="41" spans="2:23" x14ac:dyDescent="0.25">
      <c r="B41" s="51">
        <f>ITE_LUC_Rates!A30</f>
        <v>320</v>
      </c>
      <c r="C41" s="11" t="str">
        <f>ITE_LUC_Rates!B30</f>
        <v>Motel</v>
      </c>
      <c r="D41" s="52" t="str">
        <f>ITE_LUC_Rates!C30</f>
        <v>Hotel room</v>
      </c>
      <c r="E41" s="112">
        <f>ITE_LUC_Rates!G30</f>
        <v>3.35</v>
      </c>
      <c r="F41" s="53" t="s">
        <v>70</v>
      </c>
      <c r="G41" s="91">
        <f>ITE_LUC_Rates!Q30</f>
        <v>9084.482</v>
      </c>
      <c r="H41" s="55">
        <f>+FEE_1_In!H39</f>
        <v>1720.026881604535</v>
      </c>
      <c r="I41" s="55">
        <f>FEE_1_Out!$H39</f>
        <v>1314.5024911300029</v>
      </c>
      <c r="J41" s="55">
        <f>FEE_2_In!$H39</f>
        <v>1853.9662416369392</v>
      </c>
      <c r="K41" s="55">
        <f>FEE_2_Out!$H39</f>
        <v>1657.9282886909918</v>
      </c>
      <c r="L41" s="55">
        <f>FEE_3_In!$H39</f>
        <v>1824.6758958492017</v>
      </c>
      <c r="M41" s="55">
        <f>FEE_3_Out!$H39</f>
        <v>1780.6420982734526</v>
      </c>
      <c r="N41" s="55">
        <f>FEE_4_In!$H39</f>
        <v>1701.9191134022994</v>
      </c>
      <c r="O41" s="55">
        <f>FEE_4_Out!$H39</f>
        <v>1910.3391132820645</v>
      </c>
      <c r="P41" s="120">
        <f t="shared" si="14"/>
        <v>-0.81066318568251494</v>
      </c>
      <c r="Q41" s="120">
        <f t="shared" si="14"/>
        <v>-0.85530242768602516</v>
      </c>
      <c r="R41" s="120">
        <f>IFERROR(K41/$G41-1,0)</f>
        <v>-0.81749886359057222</v>
      </c>
      <c r="S41" s="120">
        <f>IFERROR(J41/$G41-1,0)</f>
        <v>-0.79591943254035402</v>
      </c>
      <c r="T41" s="120">
        <f>IFERROR(M41/$G41-1,0)</f>
        <v>-0.80399079460188783</v>
      </c>
      <c r="U41" s="120">
        <f>IFERROR(L41/$G41-1,0)</f>
        <v>-0.799143650034289</v>
      </c>
      <c r="V41" s="120">
        <f>IFERROR(O41/$G41-1,0)</f>
        <v>-0.78971402956359382</v>
      </c>
      <c r="W41" s="120">
        <f>IFERROR(N41/$G41-1,0)</f>
        <v>-0.81265644938233139</v>
      </c>
    </row>
    <row r="42" spans="2:23" x14ac:dyDescent="0.25">
      <c r="B42" s="116">
        <f>ITE_LUC_Rates!A31</f>
        <v>312</v>
      </c>
      <c r="C42" s="117" t="str">
        <f>ITE_LUC_Rates!B31</f>
        <v>Business Hotel</v>
      </c>
      <c r="D42" s="203" t="str">
        <f>ITE_LUC_Rates!C31</f>
        <v>Hotel room</v>
      </c>
      <c r="E42" s="204">
        <f>ITE_LUC_Rates!G31</f>
        <v>4.0199999999999996</v>
      </c>
      <c r="F42" s="118" t="s">
        <v>70</v>
      </c>
      <c r="G42" s="119">
        <f>ITE_LUC_Rates!Q31</f>
        <v>0</v>
      </c>
      <c r="H42" s="55">
        <f>+FEE_1_In!H40</f>
        <v>2572.7141018573202</v>
      </c>
      <c r="I42" s="55">
        <f>FEE_1_Out!$H40</f>
        <v>1966.154792128581</v>
      </c>
      <c r="J42" s="55">
        <f>FEE_2_In!$H40</f>
        <v>2773.0526454198844</v>
      </c>
      <c r="K42" s="55">
        <f>FEE_2_Out!$H40</f>
        <v>2479.8307129970626</v>
      </c>
      <c r="L42" s="55">
        <f>FEE_3_In!$H40</f>
        <v>2729.2418849821797</v>
      </c>
      <c r="M42" s="55">
        <f>FEE_3_Out!$H40</f>
        <v>2663.3787445899884</v>
      </c>
      <c r="N42" s="55">
        <f>FEE_4_In!$H40</f>
        <v>2545.6295771296618</v>
      </c>
      <c r="O42" s="55">
        <f>FEE_4_Out!$H40</f>
        <v>2857.3718403084636</v>
      </c>
      <c r="P42" s="120">
        <f t="shared" si="14"/>
        <v>0</v>
      </c>
      <c r="Q42" s="120">
        <f t="shared" si="14"/>
        <v>0</v>
      </c>
      <c r="R42" s="120">
        <f>IFERROR(K42/$G42-1,0)</f>
        <v>0</v>
      </c>
      <c r="S42" s="120">
        <f>IFERROR(J42/$G42-1,0)</f>
        <v>0</v>
      </c>
      <c r="T42" s="120">
        <f>IFERROR(M42/$G42-1,0)</f>
        <v>0</v>
      </c>
      <c r="U42" s="120">
        <f>IFERROR(L42/$G42-1,0)</f>
        <v>0</v>
      </c>
      <c r="V42" s="120">
        <f>IFERROR(O42/$G42-1,0)</f>
        <v>0</v>
      </c>
      <c r="W42" s="120">
        <f>IFERROR(N42/$G42-1,0)</f>
        <v>0</v>
      </c>
    </row>
    <row r="43" spans="2:23" x14ac:dyDescent="0.25">
      <c r="B43" s="92" t="str">
        <f>ITE_LUC_Rates!A32</f>
        <v>Recreational</v>
      </c>
      <c r="C43" s="93"/>
      <c r="D43" s="94"/>
      <c r="E43" s="113"/>
      <c r="F43" s="95"/>
      <c r="G43" s="96"/>
      <c r="H43" s="99"/>
      <c r="I43" s="99"/>
      <c r="J43" s="99"/>
      <c r="K43" s="99"/>
      <c r="L43" s="99"/>
      <c r="M43" s="99"/>
      <c r="N43" s="99"/>
      <c r="O43" s="99"/>
      <c r="P43" s="99"/>
      <c r="Q43" s="99"/>
      <c r="R43" s="99"/>
      <c r="S43" s="99"/>
      <c r="T43" s="99"/>
      <c r="U43" s="99"/>
      <c r="V43" s="99"/>
      <c r="W43" s="99"/>
    </row>
    <row r="44" spans="2:23" x14ac:dyDescent="0.25">
      <c r="B44" s="51">
        <f>ITE_LUC_Rates!A33</f>
        <v>420</v>
      </c>
      <c r="C44" s="11" t="str">
        <f>ITE_LUC_Rates!B33</f>
        <v>Marina</v>
      </c>
      <c r="D44" s="52" t="str">
        <f>ITE_LUC_Rates!C33</f>
        <v>Berth</v>
      </c>
      <c r="E44" s="112">
        <f>ITE_LUC_Rates!G33</f>
        <v>2.41</v>
      </c>
      <c r="F44" s="53" t="s">
        <v>73</v>
      </c>
      <c r="G44" s="91">
        <f>ITE_LUC_Rates!Q33</f>
        <v>3052.83</v>
      </c>
      <c r="H44" s="55">
        <f>+FEE_1_In!H42</f>
        <v>2099.5143620254426</v>
      </c>
      <c r="I44" s="55">
        <f>FEE_1_Out!$H42</f>
        <v>2041.9907887328486</v>
      </c>
      <c r="J44" s="55">
        <f>FEE_2_In!$H42</f>
        <v>2497.1742954488773</v>
      </c>
      <c r="K44" s="55">
        <f>FEE_2_Out!$H42</f>
        <v>2237.6063084564826</v>
      </c>
      <c r="L44" s="55">
        <f>FEE_3_In!$H42</f>
        <v>2483.994489872086</v>
      </c>
      <c r="M44" s="55">
        <f>FEE_3_Out!$H42</f>
        <v>2408.9140739193449</v>
      </c>
      <c r="N44" s="55">
        <f>FEE_4_In!$H42</f>
        <v>2331.7294334895469</v>
      </c>
      <c r="O44" s="55">
        <f>FEE_4_Out!$H42</f>
        <v>2584.6766439547941</v>
      </c>
      <c r="P44" s="120">
        <f t="shared" ref="P44:Q52" si="15">IFERROR(H44/$G44-1,0)</f>
        <v>-0.31227275609010574</v>
      </c>
      <c r="Q44" s="120">
        <f t="shared" si="15"/>
        <v>-0.33111546049637597</v>
      </c>
      <c r="R44" s="120">
        <f t="shared" ref="R44:R52" si="16">IFERROR(K44/$G44-1,0)</f>
        <v>-0.26703867937078629</v>
      </c>
      <c r="S44" s="120">
        <f t="shared" ref="S44:S52" si="17">IFERROR(J44/$G44-1,0)</f>
        <v>-0.18201331372894092</v>
      </c>
      <c r="T44" s="120">
        <f t="shared" ref="T44:T52" si="18">IFERROR(M44/$G44-1,0)</f>
        <v>-0.21092426570777112</v>
      </c>
      <c r="U44" s="120">
        <f t="shared" ref="U44:U52" si="19">IFERROR(L44/$G44-1,0)</f>
        <v>-0.18633055562475276</v>
      </c>
      <c r="V44" s="120">
        <f t="shared" ref="V44:V52" si="20">IFERROR(O44/$G44-1,0)</f>
        <v>-0.15335061436280628</v>
      </c>
      <c r="W44" s="120">
        <f t="shared" ref="W44:W52" si="21">IFERROR(N44/$G44-1,0)</f>
        <v>-0.23620724590313025</v>
      </c>
    </row>
    <row r="45" spans="2:23" x14ac:dyDescent="0.25">
      <c r="B45" s="51">
        <f>ITE_LUC_Rates!A34</f>
        <v>430</v>
      </c>
      <c r="C45" s="11" t="str">
        <f>ITE_LUC_Rates!B34</f>
        <v>Golf Course</v>
      </c>
      <c r="D45" s="52" t="str">
        <f>ITE_LUC_Rates!C34</f>
        <v>Hole</v>
      </c>
      <c r="E45" s="112">
        <f>ITE_LUC_Rates!G34</f>
        <v>30.38</v>
      </c>
      <c r="F45" s="53" t="s">
        <v>73</v>
      </c>
      <c r="G45" s="91">
        <f>ITE_LUC_Rates!Q34</f>
        <v>36869.440000000002</v>
      </c>
      <c r="H45" s="55">
        <f>+FEE_1_In!H43</f>
        <v>17893.255824381751</v>
      </c>
      <c r="I45" s="55">
        <f>FEE_1_Out!$H43</f>
        <v>17403.007207142477</v>
      </c>
      <c r="J45" s="55">
        <f>FEE_2_In!$H43</f>
        <v>21282.340009063264</v>
      </c>
      <c r="K45" s="55">
        <f>FEE_2_Out!$H43</f>
        <v>19070.153953525132</v>
      </c>
      <c r="L45" s="55">
        <f>FEE_3_In!$H43</f>
        <v>21170.014207836721</v>
      </c>
      <c r="M45" s="55">
        <f>FEE_3_Out!$H43</f>
        <v>20530.136189213717</v>
      </c>
      <c r="N45" s="55">
        <f>FEE_4_In!$H43</f>
        <v>19872.324772486401</v>
      </c>
      <c r="O45" s="55">
        <f>FEE_4_Out!$H43</f>
        <v>22028.084803845286</v>
      </c>
      <c r="P45" s="120">
        <f t="shared" si="15"/>
        <v>-0.51468598860243742</v>
      </c>
      <c r="Q45" s="120">
        <f t="shared" si="15"/>
        <v>-0.52798287125753807</v>
      </c>
      <c r="R45" s="120">
        <f t="shared" si="16"/>
        <v>-0.48276529414265223</v>
      </c>
      <c r="S45" s="120">
        <f t="shared" si="17"/>
        <v>-0.42276476103072724</v>
      </c>
      <c r="T45" s="120">
        <f t="shared" si="18"/>
        <v>-0.4431665848677464</v>
      </c>
      <c r="U45" s="120">
        <f t="shared" si="19"/>
        <v>-0.42581134381653962</v>
      </c>
      <c r="V45" s="120">
        <f t="shared" si="20"/>
        <v>-0.40253812361008778</v>
      </c>
      <c r="W45" s="120">
        <f t="shared" si="21"/>
        <v>-0.46100822869871638</v>
      </c>
    </row>
    <row r="46" spans="2:23" x14ac:dyDescent="0.25">
      <c r="B46" s="116">
        <f>ITE_LUC_Rates!A35</f>
        <v>444</v>
      </c>
      <c r="C46" s="117" t="str">
        <f>ITE_LUC_Rates!B35</f>
        <v>Movie Theater</v>
      </c>
      <c r="D46" s="203" t="str">
        <f>ITE_LUC_Rates!C35</f>
        <v>1000 GSF</v>
      </c>
      <c r="E46" s="204">
        <f>ITE_LUC_Rates!G35</f>
        <v>78.09</v>
      </c>
      <c r="F46" s="118" t="s">
        <v>73</v>
      </c>
      <c r="G46" s="119">
        <f>ITE_LUC_Rates!Q35</f>
        <v>0</v>
      </c>
      <c r="H46" s="55">
        <f>+FEE_1_In!H44</f>
        <v>21216.058445166451</v>
      </c>
      <c r="I46" s="91">
        <f>FEE_1_Out!$H44</f>
        <v>20634.769974354025</v>
      </c>
      <c r="J46" s="91">
        <f>FEE_2_In!$H44</f>
        <v>25234.50030077418</v>
      </c>
      <c r="K46" s="91">
        <f>FEE_2_Out!$H44</f>
        <v>22611.508202157547</v>
      </c>
      <c r="L46" s="91">
        <f>FEE_3_In!$H44</f>
        <v>25101.315441232004</v>
      </c>
      <c r="M46" s="91">
        <f>FEE_3_Out!$H44</f>
        <v>24342.611180021777</v>
      </c>
      <c r="N46" s="91">
        <f>FEE_4_In!$H44</f>
        <v>23562.643263608974</v>
      </c>
      <c r="O46" s="91">
        <f>FEE_4_Out!$H44</f>
        <v>26118.730946474494</v>
      </c>
      <c r="P46" s="120">
        <f t="shared" si="15"/>
        <v>0</v>
      </c>
      <c r="Q46" s="120">
        <f t="shared" si="15"/>
        <v>0</v>
      </c>
      <c r="R46" s="120">
        <f t="shared" si="16"/>
        <v>0</v>
      </c>
      <c r="S46" s="120">
        <f t="shared" si="17"/>
        <v>0</v>
      </c>
      <c r="T46" s="120">
        <f t="shared" si="18"/>
        <v>0</v>
      </c>
      <c r="U46" s="120">
        <f t="shared" si="19"/>
        <v>0</v>
      </c>
      <c r="V46" s="120">
        <f t="shared" si="20"/>
        <v>0</v>
      </c>
      <c r="W46" s="120">
        <f t="shared" si="21"/>
        <v>0</v>
      </c>
    </row>
    <row r="47" spans="2:23" x14ac:dyDescent="0.25">
      <c r="B47" s="116">
        <f>ITE_LUC_Rates!A36</f>
        <v>444</v>
      </c>
      <c r="C47" s="117" t="str">
        <f>ITE_LUC_Rates!B36</f>
        <v>Movie Theater</v>
      </c>
      <c r="D47" s="203" t="str">
        <f>ITE_LUC_Rates!C36</f>
        <v>Screens</v>
      </c>
      <c r="E47" s="204">
        <f>ITE_LUC_Rates!G36</f>
        <v>220</v>
      </c>
      <c r="F47" s="118" t="s">
        <v>73</v>
      </c>
      <c r="G47" s="119">
        <f>ITE_LUC_Rates!Q36</f>
        <v>0</v>
      </c>
      <c r="H47" s="55">
        <f>+FEE_1_In!H45</f>
        <v>59771.198078327812</v>
      </c>
      <c r="I47" s="202">
        <f>FEE_1_Out!$H45</f>
        <v>58133.556080905182</v>
      </c>
      <c r="J47" s="202">
        <f>FEE_2_In!$H45</f>
        <v>71092.202153544858</v>
      </c>
      <c r="K47" s="202">
        <f>FEE_2_Out!$H45</f>
        <v>63702.545837810998</v>
      </c>
      <c r="L47" s="202">
        <f>FEE_3_In!$H45</f>
        <v>70716.985492009742</v>
      </c>
      <c r="M47" s="202">
        <f>FEE_3_Out!$H45</f>
        <v>68579.516706425828</v>
      </c>
      <c r="N47" s="202">
        <f>FEE_4_In!$H45</f>
        <v>66382.142630221177</v>
      </c>
      <c r="O47" s="202">
        <f>FEE_4_Out!$H45</f>
        <v>73583.311668899827</v>
      </c>
      <c r="P47" s="120">
        <f t="shared" si="15"/>
        <v>0</v>
      </c>
      <c r="Q47" s="120">
        <f t="shared" si="15"/>
        <v>0</v>
      </c>
      <c r="R47" s="120">
        <f t="shared" si="16"/>
        <v>0</v>
      </c>
      <c r="S47" s="120">
        <f t="shared" si="17"/>
        <v>0</v>
      </c>
      <c r="T47" s="120">
        <f t="shared" si="18"/>
        <v>0</v>
      </c>
      <c r="U47" s="120">
        <f t="shared" si="19"/>
        <v>0</v>
      </c>
      <c r="V47" s="120">
        <f t="shared" si="20"/>
        <v>0</v>
      </c>
      <c r="W47" s="120">
        <f t="shared" si="21"/>
        <v>0</v>
      </c>
    </row>
    <row r="48" spans="2:23" x14ac:dyDescent="0.25">
      <c r="B48" s="51">
        <f>ITE_LUC_Rates!A37</f>
        <v>480</v>
      </c>
      <c r="C48" s="11" t="str">
        <f>ITE_LUC_Rates!B37</f>
        <v>Amusement Park</v>
      </c>
      <c r="D48" s="52" t="str">
        <f>ITE_LUC_Rates!C37</f>
        <v>Acre</v>
      </c>
      <c r="E48" s="112">
        <f>ITE_LUC_Rates!G37</f>
        <v>53.41</v>
      </c>
      <c r="F48" s="53" t="s">
        <v>73</v>
      </c>
      <c r="G48" s="91">
        <f>ITE_LUC_Rates!Q37</f>
        <v>78154.13</v>
      </c>
      <c r="H48" s="55">
        <f>+FEE_1_In!H46</f>
        <v>31457.498142864686</v>
      </c>
      <c r="I48" s="91">
        <f>FEE_1_Out!$H46</f>
        <v>30595.609444815003</v>
      </c>
      <c r="J48" s="91">
        <f>FEE_2_In!$H46</f>
        <v>37415.726790127352</v>
      </c>
      <c r="K48" s="91">
        <f>FEE_2_Out!$H46</f>
        <v>33526.560982810319</v>
      </c>
      <c r="L48" s="91">
        <f>FEE_3_In!$H46</f>
        <v>37218.250784745207</v>
      </c>
      <c r="M48" s="91">
        <f>FEE_3_Out!$H46</f>
        <v>36093.30394555314</v>
      </c>
      <c r="N48" s="91">
        <f>FEE_4_In!$H46</f>
        <v>34936.82903550029</v>
      </c>
      <c r="O48" s="91">
        <f>FEE_4_Out!$H46</f>
        <v>38726.794251921543</v>
      </c>
      <c r="P48" s="122">
        <f t="shared" si="15"/>
        <v>-0.59749410372983891</v>
      </c>
      <c r="Q48" s="120">
        <f t="shared" si="15"/>
        <v>-0.60852216709705553</v>
      </c>
      <c r="R48" s="120">
        <f t="shared" si="16"/>
        <v>-0.571019970629699</v>
      </c>
      <c r="S48" s="120">
        <f t="shared" si="17"/>
        <v>-0.5212572030406154</v>
      </c>
      <c r="T48" s="120">
        <f t="shared" si="18"/>
        <v>-0.53817790633005402</v>
      </c>
      <c r="U48" s="120">
        <f t="shared" si="19"/>
        <v>-0.52378395377512099</v>
      </c>
      <c r="V48" s="120">
        <f t="shared" si="20"/>
        <v>-0.50448179447558894</v>
      </c>
      <c r="W48" s="120">
        <f t="shared" si="21"/>
        <v>-0.55297526777535255</v>
      </c>
    </row>
    <row r="49" spans="2:23" x14ac:dyDescent="0.25">
      <c r="B49" s="51">
        <f>ITE_LUC_Rates!A38</f>
        <v>490</v>
      </c>
      <c r="C49" s="11" t="str">
        <f>ITE_LUC_Rates!B38</f>
        <v>Tennis Courts</v>
      </c>
      <c r="D49" s="52" t="str">
        <f>ITE_LUC_Rates!C38</f>
        <v>Court</v>
      </c>
      <c r="E49" s="112">
        <f>ITE_LUC_Rates!G38</f>
        <v>30.32</v>
      </c>
      <c r="F49" s="53" t="s">
        <v>73</v>
      </c>
      <c r="G49" s="91">
        <f>ITE_LUC_Rates!Q38</f>
        <v>32020.234</v>
      </c>
      <c r="H49" s="55">
        <f>+FEE_1_In!H47</f>
        <v>17857.91693861931</v>
      </c>
      <c r="I49" s="91">
        <f>FEE_1_Out!$H47</f>
        <v>17368.636554330478</v>
      </c>
      <c r="J49" s="91">
        <f>FEE_2_In!$H47</f>
        <v>21240.307737814292</v>
      </c>
      <c r="K49" s="91">
        <f>FEE_2_Out!$H47</f>
        <v>19032.490713327257</v>
      </c>
      <c r="L49" s="91">
        <f>FEE_3_In!$H47</f>
        <v>21128.203778196494</v>
      </c>
      <c r="M49" s="91">
        <f>FEE_3_Out!$H47</f>
        <v>20489.589508129025</v>
      </c>
      <c r="N49" s="91">
        <f>FEE_4_In!$H47</f>
        <v>19833.077258123358</v>
      </c>
      <c r="O49" s="91">
        <f>FEE_4_Out!$H47</f>
        <v>21984.57969890023</v>
      </c>
      <c r="P49" s="122">
        <f t="shared" si="15"/>
        <v>-0.4422927409393913</v>
      </c>
      <c r="Q49" s="120">
        <f t="shared" si="15"/>
        <v>-0.45757309099207466</v>
      </c>
      <c r="R49" s="120">
        <f t="shared" si="16"/>
        <v>-0.40561050511600705</v>
      </c>
      <c r="S49" s="120">
        <f t="shared" si="17"/>
        <v>-0.3366598214799339</v>
      </c>
      <c r="T49" s="120">
        <f t="shared" si="18"/>
        <v>-0.36010494151513617</v>
      </c>
      <c r="U49" s="120">
        <f t="shared" si="19"/>
        <v>-0.34016085646980299</v>
      </c>
      <c r="V49" s="120">
        <f t="shared" si="20"/>
        <v>-0.31341602004219493</v>
      </c>
      <c r="W49" s="120">
        <f t="shared" si="21"/>
        <v>-0.38060798499713155</v>
      </c>
    </row>
    <row r="50" spans="2:23" x14ac:dyDescent="0.25">
      <c r="B50" s="51">
        <f>ITE_LUC_Rates!A39</f>
        <v>491</v>
      </c>
      <c r="C50" s="11" t="str">
        <f>ITE_LUC_Rates!B39</f>
        <v>Racquet/Tennis Club</v>
      </c>
      <c r="D50" s="52" t="str">
        <f>ITE_LUC_Rates!C39</f>
        <v>Court</v>
      </c>
      <c r="E50" s="112"/>
      <c r="F50" s="53" t="s">
        <v>73</v>
      </c>
      <c r="G50" s="91">
        <f>ITE_LUC_Rates!Q39</f>
        <v>39922.269999999997</v>
      </c>
      <c r="H50" s="55">
        <f>+FEE_1_In!H48</f>
        <v>22793.581316773332</v>
      </c>
      <c r="I50" s="91">
        <f>FEE_1_Out!$H48</f>
        <v>22169.071063739764</v>
      </c>
      <c r="J50" s="91">
        <f>FEE_2_In!$H48</f>
        <v>27110.81495558751</v>
      </c>
      <c r="K50" s="91">
        <f>FEE_2_Out!$H48</f>
        <v>24292.789927630769</v>
      </c>
      <c r="L50" s="91">
        <f>FEE_3_In!$H48</f>
        <v>26967.727117948692</v>
      </c>
      <c r="M50" s="91">
        <f>FEE_3_Out!$H48</f>
        <v>26152.609299623797</v>
      </c>
      <c r="N50" s="91">
        <f>FEE_4_In!$H48</f>
        <v>25314.646764161414</v>
      </c>
      <c r="O50" s="91">
        <f>FEE_4_Out!$H48</f>
        <v>28060.792689559341</v>
      </c>
      <c r="P50" s="122">
        <f t="shared" si="15"/>
        <v>-0.42905097037885531</v>
      </c>
      <c r="Q50" s="120">
        <f t="shared" si="15"/>
        <v>-0.44469412526542784</v>
      </c>
      <c r="R50" s="120">
        <f t="shared" si="16"/>
        <v>-0.39149777986996304</v>
      </c>
      <c r="S50" s="120">
        <f t="shared" si="17"/>
        <v>-0.32090998443757046</v>
      </c>
      <c r="T50" s="120">
        <f t="shared" si="18"/>
        <v>-0.34491176730121309</v>
      </c>
      <c r="U50" s="120">
        <f t="shared" si="19"/>
        <v>-0.32449414529913523</v>
      </c>
      <c r="V50" s="120">
        <f t="shared" si="20"/>
        <v>-0.29711430012473383</v>
      </c>
      <c r="W50" s="120">
        <f t="shared" si="21"/>
        <v>-0.36590161921750897</v>
      </c>
    </row>
    <row r="51" spans="2:23" x14ac:dyDescent="0.25">
      <c r="B51" s="51">
        <f>ITE_LUC_Rates!A40</f>
        <v>492</v>
      </c>
      <c r="C51" s="11" t="str">
        <f>ITE_LUC_Rates!B40</f>
        <v>Health/Fitness</v>
      </c>
      <c r="D51" s="52" t="str">
        <f>ITE_LUC_Rates!C40</f>
        <v>1000 GSF</v>
      </c>
      <c r="E51" s="112"/>
      <c r="F51" s="53" t="s">
        <v>73</v>
      </c>
      <c r="G51" s="91">
        <f>ITE_LUC_Rates!Q40</f>
        <v>4147.8</v>
      </c>
      <c r="H51" s="55">
        <f>+FEE_1_In!H49</f>
        <v>2225.6430253184244</v>
      </c>
      <c r="I51" s="91">
        <f>FEE_1_Out!$H49</f>
        <v>2164.6637140997364</v>
      </c>
      <c r="J51" s="91">
        <f>FEE_2_In!$H49</f>
        <v>2647.1924432603109</v>
      </c>
      <c r="K51" s="91">
        <f>FEE_2_Out!$H49</f>
        <v>2372.0308676623026</v>
      </c>
      <c r="L51" s="91">
        <f>FEE_3_In!$H49</f>
        <v>2633.2208587417185</v>
      </c>
      <c r="M51" s="91">
        <f>FEE_3_Out!$H49</f>
        <v>2553.6299747136532</v>
      </c>
      <c r="N51" s="91">
        <f>FEE_4_In!$H49</f>
        <v>2471.808454584319</v>
      </c>
      <c r="O51" s="91">
        <f>FEE_4_Out!$H49</f>
        <v>2739.9515094394519</v>
      </c>
      <c r="P51" s="122">
        <f t="shared" si="15"/>
        <v>-0.46341602166969853</v>
      </c>
      <c r="Q51" s="120">
        <f t="shared" si="15"/>
        <v>-0.47811762522307333</v>
      </c>
      <c r="R51" s="120">
        <f t="shared" si="16"/>
        <v>-0.42812313330866902</v>
      </c>
      <c r="S51" s="120">
        <f t="shared" si="17"/>
        <v>-0.36178397144020669</v>
      </c>
      <c r="T51" s="120">
        <f t="shared" si="18"/>
        <v>-0.38434110258121101</v>
      </c>
      <c r="U51" s="120">
        <f t="shared" si="19"/>
        <v>-0.3651524039872418</v>
      </c>
      <c r="V51" s="120">
        <f t="shared" si="20"/>
        <v>-0.33942053391208549</v>
      </c>
      <c r="W51" s="120">
        <f t="shared" si="21"/>
        <v>-0.40406758894249506</v>
      </c>
    </row>
    <row r="52" spans="2:23" x14ac:dyDescent="0.25">
      <c r="B52" s="116">
        <f>ITE_LUC_Rates!A41</f>
        <v>495</v>
      </c>
      <c r="C52" s="117" t="str">
        <f>ITE_LUC_Rates!B41</f>
        <v>Recreational Community Center</v>
      </c>
      <c r="D52" s="203" t="str">
        <f>ITE_LUC_Rates!C41</f>
        <v>1000 GSF</v>
      </c>
      <c r="E52" s="204">
        <f>ITE_LUC_Rates!G41</f>
        <v>28.82</v>
      </c>
      <c r="F52" s="118" t="s">
        <v>73</v>
      </c>
      <c r="G52" s="119">
        <f>ITE_LUC_Rates!Q41</f>
        <v>0</v>
      </c>
      <c r="H52" s="55">
        <f>+FEE_1_In!H50</f>
        <v>16974.444794558323</v>
      </c>
      <c r="I52" s="91">
        <f>FEE_1_Out!$H50</f>
        <v>16509.370234030488</v>
      </c>
      <c r="J52" s="91">
        <f>FEE_2_In!$H50</f>
        <v>20189.500956589971</v>
      </c>
      <c r="K52" s="91">
        <f>FEE_2_Out!$H50</f>
        <v>18090.909708380328</v>
      </c>
      <c r="L52" s="91">
        <f>FEE_3_In!$H50</f>
        <v>20082.943037190729</v>
      </c>
      <c r="M52" s="91">
        <f>FEE_3_Out!$H50</f>
        <v>19475.922481011825</v>
      </c>
      <c r="N52" s="91">
        <f>FEE_4_In!$H50</f>
        <v>18851.889399047337</v>
      </c>
      <c r="O52" s="91">
        <f>FEE_4_Out!$H50</f>
        <v>20896.952075273897</v>
      </c>
      <c r="P52" s="122">
        <f t="shared" si="15"/>
        <v>0</v>
      </c>
      <c r="Q52" s="120">
        <f t="shared" si="15"/>
        <v>0</v>
      </c>
      <c r="R52" s="120">
        <f t="shared" si="16"/>
        <v>0</v>
      </c>
      <c r="S52" s="120">
        <f t="shared" si="17"/>
        <v>0</v>
      </c>
      <c r="T52" s="120">
        <f t="shared" si="18"/>
        <v>0</v>
      </c>
      <c r="U52" s="120">
        <f t="shared" si="19"/>
        <v>0</v>
      </c>
      <c r="V52" s="120">
        <f t="shared" si="20"/>
        <v>0</v>
      </c>
      <c r="W52" s="120">
        <f t="shared" si="21"/>
        <v>0</v>
      </c>
    </row>
    <row r="53" spans="2:23" x14ac:dyDescent="0.25">
      <c r="B53" s="92" t="str">
        <f>ITE_LUC_Rates!A42</f>
        <v>Institutional</v>
      </c>
      <c r="C53" s="93"/>
      <c r="D53" s="94"/>
      <c r="E53" s="113"/>
      <c r="F53" s="100"/>
      <c r="G53" s="96"/>
      <c r="H53" s="96"/>
      <c r="I53" s="98"/>
      <c r="J53" s="98"/>
      <c r="K53" s="98"/>
      <c r="L53" s="98"/>
      <c r="M53" s="98"/>
      <c r="N53" s="98"/>
      <c r="O53" s="98"/>
      <c r="P53" s="98"/>
      <c r="Q53" s="98"/>
      <c r="R53" s="98"/>
      <c r="S53" s="98"/>
      <c r="T53" s="98"/>
      <c r="U53" s="98"/>
      <c r="V53" s="98"/>
      <c r="W53" s="98"/>
    </row>
    <row r="54" spans="2:23" x14ac:dyDescent="0.25">
      <c r="B54" s="51">
        <f>ITE_LUC_Rates!A43</f>
        <v>520</v>
      </c>
      <c r="C54" s="11" t="str">
        <f>ITE_LUC_Rates!B43</f>
        <v>Elementary School (30 FT/St)</v>
      </c>
      <c r="D54" s="52" t="str">
        <f>ITE_LUC_Rates!C43</f>
        <v>Student</v>
      </c>
      <c r="E54" s="112">
        <f>ITE_LUC_Rates!G43</f>
        <v>1.89</v>
      </c>
      <c r="F54" s="53" t="s">
        <v>73</v>
      </c>
      <c r="G54" s="91">
        <f>ITE_LUC_Rates!Q43</f>
        <v>198.476</v>
      </c>
      <c r="H54" s="55">
        <f>+FEE_1_In!H52</f>
        <v>812.79525837607173</v>
      </c>
      <c r="I54" s="91">
        <f>FEE_1_Out!$H52</f>
        <v>790.52587624526154</v>
      </c>
      <c r="J54" s="91">
        <f>FEE_2_In!$H52</f>
        <v>966.7432923494614</v>
      </c>
      <c r="K54" s="91">
        <f>FEE_2_Out!$H52</f>
        <v>866.25546865574381</v>
      </c>
      <c r="L54" s="91">
        <f>FEE_3_In!$H52</f>
        <v>961.64092978748329</v>
      </c>
      <c r="M54" s="91">
        <f>FEE_3_Out!$H52</f>
        <v>932.57468133161706</v>
      </c>
      <c r="N54" s="91">
        <f>FEE_4_In!$H52</f>
        <v>902.69381416751685</v>
      </c>
      <c r="O54" s="91">
        <f>FEE_4_Out!$H52</f>
        <v>1000.6185042788369</v>
      </c>
      <c r="P54" s="122">
        <f>IFERROR(H54/$G54-1,0)</f>
        <v>3.0951815754855589</v>
      </c>
      <c r="Q54" s="120">
        <f t="shared" ref="Q54:Q62" si="22">IFERROR(I54/$G54-1,0)</f>
        <v>2.9829796864369573</v>
      </c>
      <c r="R54" s="120">
        <f t="shared" ref="R54:R62" si="23">IFERROR(K54/$G54-1,0)</f>
        <v>3.3645351007464068</v>
      </c>
      <c r="S54" s="120">
        <f t="shared" ref="S54:S62" si="24">IFERROR(J54/$G54-1,0)</f>
        <v>3.8708322031351976</v>
      </c>
      <c r="T54" s="120">
        <f t="shared" ref="T54:T62" si="25">IFERROR(M54/$G54-1,0)</f>
        <v>3.6986773278966583</v>
      </c>
      <c r="U54" s="120">
        <f t="shared" ref="U54:U62" si="26">IFERROR(L54/$G54-1,0)</f>
        <v>3.8451244976091985</v>
      </c>
      <c r="V54" s="120">
        <f t="shared" ref="V54:V62" si="27">IFERROR(O54/$G54-1,0)</f>
        <v>4.0415088185918542</v>
      </c>
      <c r="W54" s="120">
        <f t="shared" ref="W54:W62" si="28">IFERROR(N54/$G54-1,0)</f>
        <v>3.5481257893524498</v>
      </c>
    </row>
    <row r="55" spans="2:23" x14ac:dyDescent="0.25">
      <c r="B55" s="51">
        <f>ITE_LUC_Rates!A44</f>
        <v>530</v>
      </c>
      <c r="C55" s="11" t="str">
        <f>ITE_LUC_Rates!B44</f>
        <v>High School (25 SF/St)</v>
      </c>
      <c r="D55" s="52" t="str">
        <f>ITE_LUC_Rates!C44</f>
        <v>Student</v>
      </c>
      <c r="E55" s="112">
        <f>ITE_LUC_Rates!G44</f>
        <v>2.0299999999999998</v>
      </c>
      <c r="F55" s="53" t="s">
        <v>73</v>
      </c>
      <c r="G55" s="91">
        <f>ITE_LUC_Rates!Q44</f>
        <v>1120.212</v>
      </c>
      <c r="H55" s="55">
        <f>+FEE_1_In!H53</f>
        <v>873.00231455207722</v>
      </c>
      <c r="I55" s="91">
        <f>FEE_1_Out!$H53</f>
        <v>849.08334855972532</v>
      </c>
      <c r="J55" s="91">
        <f>FEE_2_In!$H53</f>
        <v>1038.3539065975697</v>
      </c>
      <c r="K55" s="91">
        <f>FEE_2_Out!$H53</f>
        <v>930.42254040802118</v>
      </c>
      <c r="L55" s="91">
        <f>FEE_3_In!$H53</f>
        <v>1032.8735912532225</v>
      </c>
      <c r="M55" s="91">
        <f>FEE_3_Out!$H53</f>
        <v>1001.6542873561809</v>
      </c>
      <c r="N55" s="91">
        <f>FEE_4_In!$H53</f>
        <v>969.56002262437005</v>
      </c>
      <c r="O55" s="91">
        <f>FEE_4_Out!$H53</f>
        <v>1074.7383934846766</v>
      </c>
      <c r="P55" s="122">
        <f t="shared" ref="P55:P62" si="29">IFERROR(H55/$G55-1,0)</f>
        <v>-0.22068116164433405</v>
      </c>
      <c r="Q55" s="120">
        <f t="shared" si="22"/>
        <v>-0.24203333961810325</v>
      </c>
      <c r="R55" s="120">
        <f t="shared" si="23"/>
        <v>-0.16942280531897425</v>
      </c>
      <c r="S55" s="120">
        <f t="shared" si="24"/>
        <v>-7.3073751577764079E-2</v>
      </c>
      <c r="T55" s="120">
        <f t="shared" si="25"/>
        <v>-0.10583506750848859</v>
      </c>
      <c r="U55" s="120">
        <f t="shared" si="26"/>
        <v>-7.796596425210367E-2</v>
      </c>
      <c r="V55" s="120">
        <f t="shared" si="27"/>
        <v>-4.0593750571609077E-2</v>
      </c>
      <c r="W55" s="120">
        <f t="shared" si="28"/>
        <v>-0.13448523795105738</v>
      </c>
    </row>
    <row r="56" spans="2:23" x14ac:dyDescent="0.25">
      <c r="B56" s="116">
        <f>ITE_LUC_Rates!A45</f>
        <v>534</v>
      </c>
      <c r="C56" s="117" t="str">
        <f>ITE_LUC_Rates!B45</f>
        <v>Private School (K-8)</v>
      </c>
      <c r="D56" s="203" t="str">
        <f>ITE_LUC_Rates!C45</f>
        <v>Student</v>
      </c>
      <c r="E56" s="204">
        <f>ITE_LUC_Rates!G45</f>
        <v>4.1100000000000003</v>
      </c>
      <c r="F56" s="118" t="s">
        <v>73</v>
      </c>
      <c r="G56" s="119">
        <f>ITE_LUC_Rates!Q45</f>
        <v>0</v>
      </c>
      <c r="H56" s="55">
        <f>+FEE_1_In!H54</f>
        <v>1556.4733224027323</v>
      </c>
      <c r="I56" s="91">
        <f>FEE_1_Out!$H54</f>
        <v>1513.8282665466595</v>
      </c>
      <c r="J56" s="91">
        <f>FEE_2_In!$H54</f>
        <v>1851.2782015486468</v>
      </c>
      <c r="K56" s="91">
        <f>FEE_2_Out!$H54</f>
        <v>1658.8476783710462</v>
      </c>
      <c r="L56" s="91">
        <f>FEE_3_In!$H54</f>
        <v>1841.5073630415266</v>
      </c>
      <c r="M56" s="91">
        <f>FEE_3_Out!$H54</f>
        <v>1785.8465556762442</v>
      </c>
      <c r="N56" s="91">
        <f>FEE_4_In!$H54</f>
        <v>1728.6257831484816</v>
      </c>
      <c r="O56" s="91">
        <f>FEE_4_Out!$H54</f>
        <v>1916.1479988505594</v>
      </c>
      <c r="P56" s="122">
        <f t="shared" si="29"/>
        <v>0</v>
      </c>
      <c r="Q56" s="120">
        <f t="shared" si="22"/>
        <v>0</v>
      </c>
      <c r="R56" s="120">
        <f t="shared" si="23"/>
        <v>0</v>
      </c>
      <c r="S56" s="120">
        <f t="shared" si="24"/>
        <v>0</v>
      </c>
      <c r="T56" s="120">
        <f t="shared" si="25"/>
        <v>0</v>
      </c>
      <c r="U56" s="120">
        <f t="shared" si="26"/>
        <v>0</v>
      </c>
      <c r="V56" s="120">
        <f t="shared" si="27"/>
        <v>0</v>
      </c>
      <c r="W56" s="120">
        <f t="shared" si="28"/>
        <v>0</v>
      </c>
    </row>
    <row r="57" spans="2:23" x14ac:dyDescent="0.25">
      <c r="B57" s="116">
        <f>ITE_LUC_Rates!A46</f>
        <v>536</v>
      </c>
      <c r="C57" s="117" t="str">
        <f>ITE_LUC_Rates!B46</f>
        <v>Private School (K-12)</v>
      </c>
      <c r="D57" s="203" t="str">
        <f>ITE_LUC_Rates!C46</f>
        <v>Student</v>
      </c>
      <c r="E57" s="204">
        <f>ITE_LUC_Rates!G46</f>
        <v>2.48</v>
      </c>
      <c r="F57" s="118" t="s">
        <v>73</v>
      </c>
      <c r="G57" s="119">
        <f>ITE_LUC_Rates!Q46</f>
        <v>0</v>
      </c>
      <c r="H57" s="55">
        <f>+FEE_1_In!H55</f>
        <v>939.18584904106456</v>
      </c>
      <c r="I57" s="91">
        <f>FEE_1_Out!$H55</f>
        <v>913.45355256343453</v>
      </c>
      <c r="J57" s="91">
        <f>FEE_2_In!$H55</f>
        <v>1117.0729780634169</v>
      </c>
      <c r="K57" s="91">
        <f>FEE_2_Out!$H55</f>
        <v>1000.9591830560083</v>
      </c>
      <c r="L57" s="91">
        <f>FEE_3_In!$H55</f>
        <v>1111.1771922975634</v>
      </c>
      <c r="M57" s="91">
        <f>FEE_3_Out!$H55</f>
        <v>1077.5911090211885</v>
      </c>
      <c r="N57" s="91">
        <f>FEE_4_In!$H55</f>
        <v>1043.0637328973803</v>
      </c>
      <c r="O57" s="91">
        <f>FEE_4_Out!$H55</f>
        <v>1156.2158241239383</v>
      </c>
      <c r="P57" s="122">
        <f t="shared" si="29"/>
        <v>0</v>
      </c>
      <c r="Q57" s="120">
        <f t="shared" si="22"/>
        <v>0</v>
      </c>
      <c r="R57" s="120">
        <f t="shared" si="23"/>
        <v>0</v>
      </c>
      <c r="S57" s="120">
        <f t="shared" si="24"/>
        <v>0</v>
      </c>
      <c r="T57" s="120">
        <f t="shared" si="25"/>
        <v>0</v>
      </c>
      <c r="U57" s="120">
        <f t="shared" si="26"/>
        <v>0</v>
      </c>
      <c r="V57" s="120">
        <f t="shared" si="27"/>
        <v>0</v>
      </c>
      <c r="W57" s="120">
        <f t="shared" si="28"/>
        <v>0</v>
      </c>
    </row>
    <row r="58" spans="2:23" x14ac:dyDescent="0.25">
      <c r="B58" s="116">
        <f>ITE_LUC_Rates!A47</f>
        <v>537</v>
      </c>
      <c r="C58" s="117" t="str">
        <f>ITE_LUC_Rates!B47</f>
        <v>Charter Elementary School</v>
      </c>
      <c r="D58" s="203" t="str">
        <f>ITE_LUC_Rates!C47</f>
        <v>Student</v>
      </c>
      <c r="E58" s="204">
        <f>ITE_LUC_Rates!G47</f>
        <v>1.85</v>
      </c>
      <c r="F58" s="118" t="s">
        <v>73</v>
      </c>
      <c r="G58" s="119">
        <f>ITE_LUC_Rates!Q47</f>
        <v>0</v>
      </c>
      <c r="H58" s="55">
        <f>+FEE_1_In!H56</f>
        <v>1707.0706982058487</v>
      </c>
      <c r="I58" s="91">
        <f>FEE_1_Out!$H56</f>
        <v>1660.2994980654732</v>
      </c>
      <c r="J58" s="91">
        <f>FEE_2_In!$H56</f>
        <v>2030.3995748622344</v>
      </c>
      <c r="K58" s="91">
        <f>FEE_2_Out!$H56</f>
        <v>1819.3503375712223</v>
      </c>
      <c r="L58" s="91">
        <f>FEE_3_In!$H56</f>
        <v>2019.683353856494</v>
      </c>
      <c r="M58" s="91">
        <f>FEE_3_Out!$H56</f>
        <v>1958.6370564839981</v>
      </c>
      <c r="N58" s="91">
        <f>FEE_4_In!$H56</f>
        <v>1895.8798587184385</v>
      </c>
      <c r="O58" s="91">
        <f>FEE_4_Out!$H56</f>
        <v>2101.5458827229445</v>
      </c>
      <c r="P58" s="122">
        <f t="shared" si="29"/>
        <v>0</v>
      </c>
      <c r="Q58" s="120">
        <f t="shared" si="22"/>
        <v>0</v>
      </c>
      <c r="R58" s="120">
        <f t="shared" si="23"/>
        <v>0</v>
      </c>
      <c r="S58" s="120">
        <f t="shared" si="24"/>
        <v>0</v>
      </c>
      <c r="T58" s="120">
        <f t="shared" si="25"/>
        <v>0</v>
      </c>
      <c r="U58" s="120">
        <f t="shared" si="26"/>
        <v>0</v>
      </c>
      <c r="V58" s="120">
        <f t="shared" si="27"/>
        <v>0</v>
      </c>
      <c r="W58" s="120">
        <f t="shared" si="28"/>
        <v>0</v>
      </c>
    </row>
    <row r="59" spans="2:23" x14ac:dyDescent="0.25">
      <c r="B59" s="51">
        <f>ITE_LUC_Rates!A48</f>
        <v>540</v>
      </c>
      <c r="C59" s="11" t="str">
        <f>ITE_LUC_Rates!B48</f>
        <v>Jr./Community Co</v>
      </c>
      <c r="D59" s="52" t="str">
        <f>ITE_LUC_Rates!C48</f>
        <v>Student</v>
      </c>
      <c r="E59" s="112">
        <f>ITE_LUC_Rates!G48</f>
        <v>1.1499999999999999</v>
      </c>
      <c r="F59" s="53" t="s">
        <v>73</v>
      </c>
      <c r="G59" s="91">
        <f>ITE_LUC_Rates!Q48</f>
        <v>1192.538</v>
      </c>
      <c r="H59" s="55">
        <f>+FEE_1_In!H57</f>
        <v>435.50956709565492</v>
      </c>
      <c r="I59" s="91">
        <f>FEE_1_Out!$H57</f>
        <v>423.57725219675388</v>
      </c>
      <c r="J59" s="91">
        <f>FEE_2_In!$H57</f>
        <v>517.99755031166501</v>
      </c>
      <c r="K59" s="91">
        <f>FEE_2_Out!$H57</f>
        <v>464.15445988484248</v>
      </c>
      <c r="L59" s="91">
        <f>FEE_3_In!$H57</f>
        <v>515.26361739604749</v>
      </c>
      <c r="M59" s="91">
        <f>FEE_3_Out!$H57</f>
        <v>499.6894255541801</v>
      </c>
      <c r="N59" s="91">
        <f>FEE_4_In!$H57</f>
        <v>483.67874710967226</v>
      </c>
      <c r="O59" s="91">
        <f>FEE_4_Out!$H57</f>
        <v>536.14846683166502</v>
      </c>
      <c r="P59" s="122">
        <f t="shared" si="29"/>
        <v>-0.63480445311121747</v>
      </c>
      <c r="Q59" s="120">
        <f t="shared" si="22"/>
        <v>-0.64481026835475785</v>
      </c>
      <c r="R59" s="120">
        <f t="shared" si="23"/>
        <v>-0.61078434407554094</v>
      </c>
      <c r="S59" s="120">
        <f t="shared" si="24"/>
        <v>-0.56563434430461335</v>
      </c>
      <c r="T59" s="120">
        <f t="shared" si="25"/>
        <v>-0.58098658025641103</v>
      </c>
      <c r="U59" s="120">
        <f t="shared" si="26"/>
        <v>-0.56792687746969284</v>
      </c>
      <c r="V59" s="120">
        <f t="shared" si="27"/>
        <v>-0.55041393495916691</v>
      </c>
      <c r="W59" s="120">
        <f t="shared" si="28"/>
        <v>-0.59441229788092942</v>
      </c>
    </row>
    <row r="60" spans="2:23" x14ac:dyDescent="0.25">
      <c r="B60" s="51">
        <f>ITE_LUC_Rates!A49</f>
        <v>550</v>
      </c>
      <c r="C60" s="11" t="str">
        <f>ITE_LUC_Rates!B49</f>
        <v>University (20SF/st)</v>
      </c>
      <c r="D60" s="52" t="str">
        <f>ITE_LUC_Rates!C49</f>
        <v>Student</v>
      </c>
      <c r="E60" s="112">
        <f>ITE_LUC_Rates!G49</f>
        <v>1.56</v>
      </c>
      <c r="F60" s="53" t="s">
        <v>73</v>
      </c>
      <c r="G60" s="91">
        <f>ITE_LUC_Rates!Q49</f>
        <v>2364.8919999999998</v>
      </c>
      <c r="H60" s="55">
        <f>+FEE_1_In!H58</f>
        <v>590.77819536454058</v>
      </c>
      <c r="I60" s="91">
        <f>FEE_1_Out!$H58</f>
        <v>574.59175080603143</v>
      </c>
      <c r="J60" s="91">
        <f>FEE_2_In!$H58</f>
        <v>702.67493781408473</v>
      </c>
      <c r="K60" s="91">
        <f>FEE_2_Out!$H58</f>
        <v>629.63561514813421</v>
      </c>
      <c r="L60" s="91">
        <f>FEE_3_In!$H58</f>
        <v>698.96629838072522</v>
      </c>
      <c r="M60" s="91">
        <f>FEE_3_Out!$H58</f>
        <v>677.83956857784426</v>
      </c>
      <c r="N60" s="91">
        <f>FEE_4_In!$H58</f>
        <v>656.12073520964236</v>
      </c>
      <c r="O60" s="91">
        <f>FEE_4_Out!$H58</f>
        <v>727.29705065860628</v>
      </c>
      <c r="P60" s="122">
        <f t="shared" si="29"/>
        <v>-0.75018808665911996</v>
      </c>
      <c r="Q60" s="120">
        <f t="shared" si="22"/>
        <v>-0.75703256182268297</v>
      </c>
      <c r="R60" s="120">
        <f t="shared" si="23"/>
        <v>-0.73375713768403195</v>
      </c>
      <c r="S60" s="120">
        <f t="shared" si="24"/>
        <v>-0.70287229276682206</v>
      </c>
      <c r="T60" s="120">
        <f t="shared" si="25"/>
        <v>-0.71337398554443743</v>
      </c>
      <c r="U60" s="120">
        <f t="shared" si="26"/>
        <v>-0.70444049944744824</v>
      </c>
      <c r="V60" s="120">
        <f t="shared" si="27"/>
        <v>-0.69246077594300015</v>
      </c>
      <c r="W60" s="120">
        <f t="shared" si="28"/>
        <v>-0.72255784399048983</v>
      </c>
    </row>
    <row r="61" spans="2:23" x14ac:dyDescent="0.25">
      <c r="B61" s="51">
        <f>ITE_LUC_Rates!A50</f>
        <v>560</v>
      </c>
      <c r="C61" s="11" t="str">
        <f>ITE_LUC_Rates!B50</f>
        <v>Church</v>
      </c>
      <c r="D61" s="52" t="str">
        <f>ITE_LUC_Rates!C50</f>
        <v>1000 GSF</v>
      </c>
      <c r="E61" s="112">
        <f>ITE_LUC_Rates!G50</f>
        <v>6.95</v>
      </c>
      <c r="F61" s="53" t="s">
        <v>73</v>
      </c>
      <c r="G61" s="91">
        <f>ITE_LUC_Rates!Q50</f>
        <v>5966.1</v>
      </c>
      <c r="H61" s="55">
        <f>+FEE_1_In!H59</f>
        <v>5778.181107874444</v>
      </c>
      <c r="I61" s="91">
        <f>FEE_1_Out!$H59</f>
        <v>5619.8675328551035</v>
      </c>
      <c r="J61" s="91">
        <f>FEE_2_In!$H59</f>
        <v>6872.6013967879298</v>
      </c>
      <c r="K61" s="91">
        <f>FEE_2_Out!$H59</f>
        <v>6158.2310329664888</v>
      </c>
      <c r="L61" s="91">
        <f>FEE_3_In!$H59</f>
        <v>6836.3285781939176</v>
      </c>
      <c r="M61" s="91">
        <f>FEE_3_Out!$H59</f>
        <v>6629.6959164335267</v>
      </c>
      <c r="N61" s="91">
        <f>FEE_4_In!$H59</f>
        <v>6417.2721106162198</v>
      </c>
      <c r="O61" s="91">
        <f>FEE_4_Out!$H59</f>
        <v>7113.4210959414841</v>
      </c>
      <c r="P61" s="122">
        <f t="shared" si="29"/>
        <v>-3.149777779882279E-2</v>
      </c>
      <c r="Q61" s="120">
        <f t="shared" si="22"/>
        <v>-5.8033299332042154E-2</v>
      </c>
      <c r="R61" s="120">
        <f t="shared" si="23"/>
        <v>3.2203790242618879E-2</v>
      </c>
      <c r="S61" s="120">
        <f t="shared" si="24"/>
        <v>0.15194203864969236</v>
      </c>
      <c r="T61" s="120">
        <f t="shared" si="25"/>
        <v>0.11122775622827752</v>
      </c>
      <c r="U61" s="120">
        <f t="shared" si="26"/>
        <v>0.14586221789676967</v>
      </c>
      <c r="V61" s="120">
        <f t="shared" si="27"/>
        <v>0.19230671560005419</v>
      </c>
      <c r="W61" s="120">
        <f t="shared" si="28"/>
        <v>7.5622619569940097E-2</v>
      </c>
    </row>
    <row r="62" spans="2:23" x14ac:dyDescent="0.25">
      <c r="B62" s="51">
        <f>ITE_LUC_Rates!A51</f>
        <v>565</v>
      </c>
      <c r="C62" s="11" t="str">
        <f>ITE_LUC_Rates!B51</f>
        <v>Day Care Center</v>
      </c>
      <c r="D62" s="52" t="str">
        <f>ITE_LUC_Rates!C51</f>
        <v>1000 GSF</v>
      </c>
      <c r="E62" s="112">
        <f>ITE_LUC_Rates!G51</f>
        <v>47.62</v>
      </c>
      <c r="F62" s="53" t="s">
        <v>73</v>
      </c>
      <c r="G62" s="91">
        <f>ITE_LUC_Rates!Q51</f>
        <v>8112.3</v>
      </c>
      <c r="H62" s="55">
        <f>+FEE_1_In!H60</f>
        <v>9863.2104557440944</v>
      </c>
      <c r="I62" s="91">
        <f>FEE_1_Out!$H60</f>
        <v>9592.973147624929</v>
      </c>
      <c r="J62" s="91">
        <f>FEE_2_In!$H60</f>
        <v>11731.358482790067</v>
      </c>
      <c r="K62" s="91">
        <f>FEE_2_Out!$H60</f>
        <v>10511.946160785283</v>
      </c>
      <c r="L62" s="91">
        <f>FEE_3_In!$H60</f>
        <v>11669.441689782625</v>
      </c>
      <c r="M62" s="91">
        <f>FEE_3_Out!$H60</f>
        <v>11316.724910587896</v>
      </c>
      <c r="N62" s="91">
        <f>FEE_4_In!$H60</f>
        <v>10954.122793508019</v>
      </c>
      <c r="O62" s="91">
        <f>FEE_4_Out!$H60</f>
        <v>12142.431678713869</v>
      </c>
      <c r="P62" s="122">
        <f t="shared" si="29"/>
        <v>0.21583403667814238</v>
      </c>
      <c r="Q62" s="120">
        <f t="shared" si="22"/>
        <v>0.18252199100439204</v>
      </c>
      <c r="R62" s="120">
        <f t="shared" si="23"/>
        <v>0.29580342945715543</v>
      </c>
      <c r="S62" s="120">
        <f t="shared" si="24"/>
        <v>0.44611990222132647</v>
      </c>
      <c r="T62" s="120">
        <f t="shared" si="25"/>
        <v>0.39500818640680158</v>
      </c>
      <c r="U62" s="120">
        <f t="shared" si="26"/>
        <v>0.43848744373144788</v>
      </c>
      <c r="V62" s="120">
        <f t="shared" si="27"/>
        <v>0.4967927318656693</v>
      </c>
      <c r="W62" s="120">
        <f t="shared" si="28"/>
        <v>0.35031036740603994</v>
      </c>
    </row>
    <row r="63" spans="2:23" x14ac:dyDescent="0.25">
      <c r="B63" s="92" t="str">
        <f>ITE_LUC_Rates!A52</f>
        <v>Medical</v>
      </c>
      <c r="C63" s="93"/>
      <c r="D63" s="94"/>
      <c r="E63" s="113"/>
      <c r="F63" s="100"/>
      <c r="G63" s="96"/>
      <c r="H63" s="98"/>
      <c r="I63" s="98"/>
      <c r="J63" s="98"/>
      <c r="K63" s="98"/>
      <c r="L63" s="98"/>
      <c r="M63" s="98"/>
      <c r="N63" s="98"/>
      <c r="O63" s="98"/>
      <c r="P63" s="98"/>
      <c r="Q63" s="98"/>
      <c r="R63" s="98"/>
      <c r="S63" s="98"/>
      <c r="T63" s="98"/>
      <c r="U63" s="98"/>
      <c r="V63" s="98"/>
      <c r="W63" s="98"/>
    </row>
    <row r="64" spans="2:23" x14ac:dyDescent="0.25">
      <c r="B64" s="51">
        <f>ITE_LUC_Rates!A53</f>
        <v>610</v>
      </c>
      <c r="C64" s="11" t="str">
        <f>ITE_LUC_Rates!B53</f>
        <v>Hospital</v>
      </c>
      <c r="D64" s="52" t="str">
        <f>ITE_LUC_Rates!C53</f>
        <v>1000 GSF</v>
      </c>
      <c r="E64" s="112">
        <f>ITE_LUC_Rates!G53</f>
        <v>10.72</v>
      </c>
      <c r="F64" s="53" t="s">
        <v>73</v>
      </c>
      <c r="G64" s="91">
        <f>ITE_LUC_Rates!Q53</f>
        <v>17837.599999999999</v>
      </c>
      <c r="H64" s="55">
        <f>+FEE_1_In!H62</f>
        <v>9891.7826404144307</v>
      </c>
      <c r="I64" s="91">
        <f>FEE_1_Out!$H62</f>
        <v>9620.7624968983091</v>
      </c>
      <c r="J64" s="91">
        <f>FEE_2_In!$H62</f>
        <v>11765.342401363861</v>
      </c>
      <c r="K64" s="91">
        <f>FEE_2_Out!$H62</f>
        <v>10542.397631764054</v>
      </c>
      <c r="L64" s="91">
        <f>FEE_3_In!$H62</f>
        <v>11703.246245049522</v>
      </c>
      <c r="M64" s="91">
        <f>FEE_3_Out!$H62</f>
        <v>11349.507700274838</v>
      </c>
      <c r="N64" s="91">
        <f>FEE_4_In!$H62</f>
        <v>10985.855181330626</v>
      </c>
      <c r="O64" s="91">
        <f>FEE_4_Out!$H62</f>
        <v>12177.606412318903</v>
      </c>
      <c r="P64" s="122">
        <f t="shared" ref="P64:Q68" si="30">IFERROR(H64/$G64-1,0)</f>
        <v>-0.4454532762022676</v>
      </c>
      <c r="Q64" s="120">
        <f t="shared" si="30"/>
        <v>-0.46064703228582826</v>
      </c>
      <c r="R64" s="120">
        <f>IFERROR(K64/$G64-1,0)</f>
        <v>-0.40897891915033102</v>
      </c>
      <c r="S64" s="120">
        <f>IFERROR(J64/$G64-1,0)</f>
        <v>-0.34041898005539628</v>
      </c>
      <c r="T64" s="120">
        <f>IFERROR(M64/$G64-1,0)</f>
        <v>-0.3637312362495605</v>
      </c>
      <c r="U64" s="120">
        <f>IFERROR(L64/$G64-1,0)</f>
        <v>-0.34390017462833999</v>
      </c>
      <c r="V64" s="120">
        <f>IFERROR(O64/$G64-1,0)</f>
        <v>-0.31730690158323405</v>
      </c>
      <c r="W64" s="120">
        <f>IFERROR(N64/$G64-1,0)</f>
        <v>-0.38411808868173825</v>
      </c>
    </row>
    <row r="65" spans="2:23" x14ac:dyDescent="0.25">
      <c r="B65" s="51">
        <f>ITE_LUC_Rates!A54</f>
        <v>620</v>
      </c>
      <c r="C65" s="11" t="str">
        <f>ITE_LUC_Rates!B54</f>
        <v>Nursing Home</v>
      </c>
      <c r="D65" s="52" t="str">
        <f>ITE_LUC_Rates!C54</f>
        <v>Bed</v>
      </c>
      <c r="E65" s="112">
        <f>ITE_LUC_Rates!G54</f>
        <v>3.06</v>
      </c>
      <c r="F65" s="53" t="s">
        <v>73</v>
      </c>
      <c r="G65" s="91">
        <f>ITE_LUC_Rates!Q54</f>
        <v>2405.2600000000002</v>
      </c>
      <c r="H65" s="55">
        <f>+FEE_1_In!H63</f>
        <v>983.17989052739142</v>
      </c>
      <c r="I65" s="91">
        <f>FEE_1_Out!$H63</f>
        <v>956.24222269548557</v>
      </c>
      <c r="J65" s="91">
        <f>FEE_2_In!$H63</f>
        <v>1169.3997406422554</v>
      </c>
      <c r="K65" s="91">
        <f>FEE_2_Out!$H63</f>
        <v>1047.8468569604311</v>
      </c>
      <c r="L65" s="91">
        <f>FEE_3_In!$H63</f>
        <v>1163.2277800981699</v>
      </c>
      <c r="M65" s="91">
        <f>FEE_3_Out!$H63</f>
        <v>1128.068432549838</v>
      </c>
      <c r="N65" s="91">
        <f>FEE_4_In!$H63</f>
        <v>1091.9236994150017</v>
      </c>
      <c r="O65" s="91">
        <f>FEE_4_Out!$H63</f>
        <v>1210.3761449865158</v>
      </c>
      <c r="P65" s="122">
        <f t="shared" si="30"/>
        <v>-0.59123758324364462</v>
      </c>
      <c r="Q65" s="120">
        <f t="shared" si="30"/>
        <v>-0.60243706597395486</v>
      </c>
      <c r="R65" s="120">
        <f>IFERROR(K65/$G65-1,0)</f>
        <v>-0.56435193826844876</v>
      </c>
      <c r="S65" s="120">
        <f>IFERROR(J65/$G65-1,0)</f>
        <v>-0.51381566207301699</v>
      </c>
      <c r="T65" s="120">
        <f>IFERROR(M65/$G65-1,0)</f>
        <v>-0.53099937946424181</v>
      </c>
      <c r="U65" s="120">
        <f>IFERROR(L65/$G65-1,0)</f>
        <v>-0.51638168842529719</v>
      </c>
      <c r="V65" s="120">
        <f>IFERROR(O65/$G65-1,0)</f>
        <v>-0.49677949785615039</v>
      </c>
      <c r="W65" s="120">
        <f>IFERROR(N65/$G65-1,0)</f>
        <v>-0.54602674995010869</v>
      </c>
    </row>
    <row r="66" spans="2:23" x14ac:dyDescent="0.25">
      <c r="B66" s="51">
        <f>ITE_LUC_Rates!A55</f>
        <v>630</v>
      </c>
      <c r="C66" s="11" t="str">
        <f>ITE_LUC_Rates!B55</f>
        <v>Clinic</v>
      </c>
      <c r="D66" s="52" t="str">
        <f>ITE_LUC_Rates!C55</f>
        <v>1000 GSF</v>
      </c>
      <c r="E66" s="112">
        <f>ITE_LUC_Rates!G55</f>
        <v>38.159999999999997</v>
      </c>
      <c r="F66" s="53" t="s">
        <v>73</v>
      </c>
      <c r="G66" s="91">
        <f>ITE_LUC_Rates!Q55</f>
        <v>31927.7</v>
      </c>
      <c r="H66" s="55">
        <f>+FEE_1_In!H64</f>
        <v>25228.026621367462</v>
      </c>
      <c r="I66" s="91">
        <f>FEE_1_Out!$H64</f>
        <v>24536.816184977906</v>
      </c>
      <c r="J66" s="91">
        <f>FEE_2_In!$H64</f>
        <v>30006.358014623274</v>
      </c>
      <c r="K66" s="91">
        <f>FEE_2_Out!$H64</f>
        <v>26887.356685391333</v>
      </c>
      <c r="L66" s="91">
        <f>FEE_3_In!$H64</f>
        <v>29847.987825797805</v>
      </c>
      <c r="M66" s="91">
        <f>FEE_3_Out!$H64</f>
        <v>28945.812176676845</v>
      </c>
      <c r="N66" s="91">
        <f>FEE_4_In!$H64</f>
        <v>28018.351903604405</v>
      </c>
      <c r="O66" s="91">
        <f>FEE_4_Out!$H64</f>
        <v>31057.797155725311</v>
      </c>
      <c r="P66" s="122">
        <f t="shared" si="30"/>
        <v>-0.20983889784207876</v>
      </c>
      <c r="Q66" s="120">
        <f t="shared" si="30"/>
        <v>-0.2314881377306256</v>
      </c>
      <c r="R66" s="120">
        <f>IFERROR(K66/$G66-1,0)</f>
        <v>-0.15786741026158069</v>
      </c>
      <c r="S66" s="120">
        <f>IFERROR(J66/$G66-1,0)</f>
        <v>-6.0177901489199881E-2</v>
      </c>
      <c r="T66" s="120">
        <f>IFERROR(M66/$G66-1,0)</f>
        <v>-9.339500882691687E-2</v>
      </c>
      <c r="U66" s="120">
        <f>IFERROR(L66/$G66-1,0)</f>
        <v>-6.5138177012506238E-2</v>
      </c>
      <c r="V66" s="120">
        <f>IFERROR(O66/$G66-1,0)</f>
        <v>-2.7246022866498021E-2</v>
      </c>
      <c r="W66" s="120">
        <f>IFERROR(N66/$G66-1,0)</f>
        <v>-0.12244377441518162</v>
      </c>
    </row>
    <row r="67" spans="2:23" x14ac:dyDescent="0.25">
      <c r="B67" s="116">
        <f>ITE_LUC_Rates!A56</f>
        <v>640</v>
      </c>
      <c r="C67" s="117" t="str">
        <f>ITE_LUC_Rates!B56</f>
        <v>Animal Hospital / Veterinary Clinic</v>
      </c>
      <c r="D67" s="203" t="str">
        <f>ITE_LUC_Rates!C56</f>
        <v>1000 GSF</v>
      </c>
      <c r="E67" s="204">
        <f>ITE_LUC_Rates!G56</f>
        <v>21.5</v>
      </c>
      <c r="F67" s="118" t="s">
        <v>73</v>
      </c>
      <c r="G67" s="119">
        <f>ITE_LUC_Rates!Q56</f>
        <v>0</v>
      </c>
      <c r="H67" s="55">
        <f>+FEE_1_In!H65</f>
        <v>12150.765409561247</v>
      </c>
      <c r="I67" s="91">
        <f>FEE_1_Out!$H65</f>
        <v>11817.852495393934</v>
      </c>
      <c r="J67" s="91">
        <f>FEE_2_In!$H65</f>
        <v>14452.189325113077</v>
      </c>
      <c r="K67" s="91">
        <f>FEE_2_Out!$H65</f>
        <v>12949.961107567589</v>
      </c>
      <c r="L67" s="91">
        <f>FEE_3_In!$H65</f>
        <v>14375.912292384079</v>
      </c>
      <c r="M67" s="91">
        <f>FEE_3_Out!$H65</f>
        <v>13941.390606038511</v>
      </c>
      <c r="N67" s="91">
        <f>FEE_4_In!$H65</f>
        <v>13494.6908948829</v>
      </c>
      <c r="O67" s="91">
        <f>FEE_4_Out!$H65</f>
        <v>14958.601916858985</v>
      </c>
      <c r="P67" s="122">
        <f t="shared" si="30"/>
        <v>0</v>
      </c>
      <c r="Q67" s="120">
        <f t="shared" si="30"/>
        <v>0</v>
      </c>
      <c r="R67" s="120">
        <f>IFERROR(K67/$G67-1,0)</f>
        <v>0</v>
      </c>
      <c r="S67" s="120">
        <f>IFERROR(J67/$G67-1,0)</f>
        <v>0</v>
      </c>
      <c r="T67" s="120">
        <f>IFERROR(M67/$G67-1,0)</f>
        <v>0</v>
      </c>
      <c r="U67" s="120">
        <f>IFERROR(L67/$G67-1,0)</f>
        <v>0</v>
      </c>
      <c r="V67" s="120">
        <f>IFERROR(O67/$G67-1,0)</f>
        <v>0</v>
      </c>
      <c r="W67" s="120">
        <f>IFERROR(N67/$G67-1,0)</f>
        <v>0</v>
      </c>
    </row>
    <row r="68" spans="2:23" x14ac:dyDescent="0.25">
      <c r="B68" s="116">
        <f>ITE_LUC_Rates!A57</f>
        <v>650</v>
      </c>
      <c r="C68" s="117" t="str">
        <f>ITE_LUC_Rates!B57</f>
        <v>Free-standing Emergency Room</v>
      </c>
      <c r="D68" s="203" t="str">
        <f>ITE_LUC_Rates!C57</f>
        <v>1000 GSF</v>
      </c>
      <c r="E68" s="204">
        <f>ITE_LUC_Rates!G57</f>
        <v>24.94</v>
      </c>
      <c r="F68" s="118" t="s">
        <v>73</v>
      </c>
      <c r="G68" s="119">
        <f>ITE_LUC_Rates!Q57</f>
        <v>0</v>
      </c>
      <c r="H68" s="55">
        <f>+FEE_1_In!H66</f>
        <v>14094.887875091046</v>
      </c>
      <c r="I68" s="91">
        <f>FEE_1_Out!$H66</f>
        <v>13708.708894656962</v>
      </c>
      <c r="J68" s="91">
        <f>FEE_2_In!$H66</f>
        <v>16764.53961713117</v>
      </c>
      <c r="K68" s="91">
        <f>FEE_2_Out!$H66</f>
        <v>15021.954884778399</v>
      </c>
      <c r="L68" s="91">
        <f>FEE_3_In!$H66</f>
        <v>16676.058259165533</v>
      </c>
      <c r="M68" s="91">
        <f>FEE_3_Out!$H66</f>
        <v>16172.01310300467</v>
      </c>
      <c r="N68" s="91">
        <f>FEE_4_In!$H66</f>
        <v>15653.841438064166</v>
      </c>
      <c r="O68" s="91">
        <f>FEE_4_Out!$H66</f>
        <v>17351.97822355642</v>
      </c>
      <c r="P68" s="122">
        <f t="shared" si="30"/>
        <v>0</v>
      </c>
      <c r="Q68" s="120">
        <f t="shared" si="30"/>
        <v>0</v>
      </c>
      <c r="R68" s="120">
        <f>IFERROR(K68/$G68-1,0)</f>
        <v>0</v>
      </c>
      <c r="S68" s="120">
        <f>IFERROR(J68/$G68-1,0)</f>
        <v>0</v>
      </c>
      <c r="T68" s="120">
        <f>IFERROR(M68/$G68-1,0)</f>
        <v>0</v>
      </c>
      <c r="U68" s="120">
        <f>IFERROR(L68/$G68-1,0)</f>
        <v>0</v>
      </c>
      <c r="V68" s="120">
        <f>IFERROR(O68/$G68-1,0)</f>
        <v>0</v>
      </c>
      <c r="W68" s="120">
        <f>IFERROR(N68/$G68-1,0)</f>
        <v>0</v>
      </c>
    </row>
    <row r="69" spans="2:23" x14ac:dyDescent="0.25">
      <c r="B69" s="92" t="str">
        <f>ITE_LUC_Rates!A58</f>
        <v>Office</v>
      </c>
      <c r="C69" s="93"/>
      <c r="D69" s="94"/>
      <c r="E69" s="113"/>
      <c r="F69" s="100"/>
      <c r="G69" s="98"/>
      <c r="H69" s="98"/>
      <c r="I69" s="98"/>
      <c r="J69" s="98"/>
      <c r="K69" s="98"/>
      <c r="L69" s="98"/>
      <c r="M69" s="98"/>
      <c r="N69" s="98"/>
      <c r="O69" s="98"/>
      <c r="P69" s="98"/>
      <c r="Q69" s="98"/>
      <c r="R69" s="98"/>
      <c r="S69" s="98"/>
      <c r="T69" s="98"/>
      <c r="U69" s="98"/>
      <c r="V69" s="98"/>
      <c r="W69" s="98"/>
    </row>
    <row r="70" spans="2:23" x14ac:dyDescent="0.25">
      <c r="B70" s="51">
        <f>ITE_LUC_Rates!A59</f>
        <v>710</v>
      </c>
      <c r="C70" s="11" t="str">
        <f>ITE_LUC_Rates!B59</f>
        <v>General Office, 1 - 50,000gsf</v>
      </c>
      <c r="D70" s="52" t="str">
        <f>ITE_LUC_Rates!C59</f>
        <v>1000 GSF</v>
      </c>
      <c r="E70" s="112">
        <f>ITE_LUC_Rates!G59</f>
        <v>11.061091998412158</v>
      </c>
      <c r="F70" s="53" t="s">
        <v>73</v>
      </c>
      <c r="G70" s="91">
        <f>ITE_LUC_Rates!Q59</f>
        <v>15551.8</v>
      </c>
      <c r="H70" s="55">
        <f>+FEE_1_In!H68</f>
        <v>12661.670327173182</v>
      </c>
      <c r="I70" s="91">
        <f>FEE_1_Out!$H68</f>
        <v>12314.759377552833</v>
      </c>
      <c r="J70" s="91">
        <f>FEE_2_In!$H68</f>
        <v>15059.862533143978</v>
      </c>
      <c r="K70" s="91">
        <f>FEE_2_Out!$H68</f>
        <v>13494.469917484486</v>
      </c>
      <c r="L70" s="91">
        <f>FEE_3_In!$H68</f>
        <v>14980.378269445693</v>
      </c>
      <c r="M70" s="91">
        <f>FEE_3_Out!$H68</f>
        <v>14527.586189517488</v>
      </c>
      <c r="N70" s="91">
        <f>FEE_4_In!$H68</f>
        <v>14062.104033681841</v>
      </c>
      <c r="O70" s="91">
        <f>FEE_4_Out!$H68</f>
        <v>15587.568325337985</v>
      </c>
      <c r="P70" s="122">
        <f t="shared" ref="P70:Q89" si="31">IFERROR(H70/$G70-1,0)</f>
        <v>-0.18583891722030998</v>
      </c>
      <c r="Q70" s="120">
        <f t="shared" si="31"/>
        <v>-0.20814572090993755</v>
      </c>
      <c r="R70" s="120">
        <f t="shared" ref="R70:R89" si="32">IFERROR(K70/$G70-1,0)</f>
        <v>-0.13228887218942587</v>
      </c>
      <c r="S70" s="120">
        <f t="shared" ref="S70:S89" si="33">IFERROR(J70/$G70-1,0)</f>
        <v>-3.163218835478987E-2</v>
      </c>
      <c r="T70" s="120">
        <f t="shared" ref="T70:T89" si="34">IFERROR(M70/$G70-1,0)</f>
        <v>-6.5858216443274165E-2</v>
      </c>
      <c r="U70" s="120">
        <f t="shared" ref="U70:U89" si="35">IFERROR(L70/$G70-1,0)</f>
        <v>-3.6743124947228423E-2</v>
      </c>
      <c r="V70" s="120">
        <f t="shared" ref="V70:V89" si="36">IFERROR(O70/$G70-1,0)</f>
        <v>2.299947616223541E-3</v>
      </c>
      <c r="W70" s="120">
        <f t="shared" ref="W70:W89" si="37">IFERROR(N70/$G70-1,0)</f>
        <v>-9.5789295536089614E-2</v>
      </c>
    </row>
    <row r="71" spans="2:23" x14ac:dyDescent="0.25">
      <c r="B71" s="51">
        <f>ITE_LUC_Rates!A60</f>
        <v>710</v>
      </c>
      <c r="C71" s="11" t="str">
        <f>ITE_LUC_Rates!B60</f>
        <v>General Office, 50,001 - 100,000gsf</v>
      </c>
      <c r="D71" s="52" t="str">
        <f>ITE_LUC_Rates!C60</f>
        <v>1000 GSF</v>
      </c>
      <c r="E71" s="112">
        <f>ITE_LUC_Rates!G60</f>
        <v>10.702478568874675</v>
      </c>
      <c r="F71" s="53" t="s">
        <v>73</v>
      </c>
      <c r="G71" s="91">
        <f>ITE_LUC_Rates!Q60</f>
        <v>13259.2</v>
      </c>
      <c r="H71" s="55">
        <f>+FEE_1_In!H69</f>
        <v>12251.164292113319</v>
      </c>
      <c r="I71" s="91">
        <f>FEE_1_Out!$H69</f>
        <v>11915.500597773487</v>
      </c>
      <c r="J71" s="91">
        <f>FEE_2_In!$H69</f>
        <v>14571.604325713006</v>
      </c>
      <c r="K71" s="91">
        <f>FEE_2_Out!$H69</f>
        <v>13056.963553954178</v>
      </c>
      <c r="L71" s="91">
        <f>FEE_3_In!$H69</f>
        <v>14494.697034017414</v>
      </c>
      <c r="M71" s="91">
        <f>FEE_3_Out!$H69</f>
        <v>14056.584998398916</v>
      </c>
      <c r="N71" s="91">
        <f>FEE_4_In!$H69</f>
        <v>13606.194313849888</v>
      </c>
      <c r="O71" s="91">
        <f>FEE_4_Out!$H69</f>
        <v>15082.201284172272</v>
      </c>
      <c r="P71" s="122">
        <f t="shared" si="31"/>
        <v>-7.6025379199852305E-2</v>
      </c>
      <c r="Q71" s="120">
        <f t="shared" si="31"/>
        <v>-0.10134091063009176</v>
      </c>
      <c r="R71" s="120">
        <f t="shared" si="32"/>
        <v>-1.5252537562283064E-2</v>
      </c>
      <c r="S71" s="120">
        <f t="shared" si="33"/>
        <v>9.8980656880732321E-2</v>
      </c>
      <c r="T71" s="120">
        <f t="shared" si="34"/>
        <v>6.0138243513855549E-2</v>
      </c>
      <c r="U71" s="120">
        <f t="shared" si="35"/>
        <v>9.3180360354879088E-2</v>
      </c>
      <c r="V71" s="120">
        <f t="shared" si="36"/>
        <v>0.13748953814500653</v>
      </c>
      <c r="W71" s="120">
        <f t="shared" si="37"/>
        <v>2.6170079178976735E-2</v>
      </c>
    </row>
    <row r="72" spans="2:23" x14ac:dyDescent="0.25">
      <c r="B72" s="51">
        <f>ITE_LUC_Rates!A61</f>
        <v>710</v>
      </c>
      <c r="C72" s="11" t="str">
        <f>ITE_LUC_Rates!B61</f>
        <v>General Office, 100,001 - 150,000gsf</v>
      </c>
      <c r="D72" s="52" t="str">
        <f>ITE_LUC_Rates!C61</f>
        <v>1000 GSF</v>
      </c>
      <c r="E72" s="112">
        <f>ITE_LUC_Rates!G61</f>
        <v>10.53971589568078</v>
      </c>
      <c r="F72" s="53" t="s">
        <v>73</v>
      </c>
      <c r="G72" s="91">
        <f>ITE_LUC_Rates!Q61</f>
        <v>11306.4</v>
      </c>
      <c r="H72" s="55">
        <f>+FEE_1_In!H70</f>
        <v>12064.849296284123</v>
      </c>
      <c r="I72" s="91">
        <f>FEE_1_Out!$H70</f>
        <v>11734.290355934996</v>
      </c>
      <c r="J72" s="91">
        <f>FEE_2_In!$H70</f>
        <v>14350.000212468223</v>
      </c>
      <c r="K72" s="91">
        <f>FEE_2_Out!$H70</f>
        <v>12858.394009697637</v>
      </c>
      <c r="L72" s="91">
        <f>FEE_3_In!$H70</f>
        <v>14274.262522403124</v>
      </c>
      <c r="M72" s="91">
        <f>FEE_3_Out!$H70</f>
        <v>13842.813269206175</v>
      </c>
      <c r="N72" s="91">
        <f>FEE_4_In!$H70</f>
        <v>13399.272100059312</v>
      </c>
      <c r="O72" s="91">
        <f>FEE_4_Out!$H70</f>
        <v>14852.832042004438</v>
      </c>
      <c r="P72" s="122">
        <f t="shared" si="31"/>
        <v>6.7081413737716922E-2</v>
      </c>
      <c r="Q72" s="120">
        <f t="shared" si="31"/>
        <v>3.7844968861441064E-2</v>
      </c>
      <c r="R72" s="120">
        <f t="shared" si="32"/>
        <v>0.13726685856662035</v>
      </c>
      <c r="S72" s="120">
        <f t="shared" si="33"/>
        <v>0.26919268843028932</v>
      </c>
      <c r="T72" s="120">
        <f t="shared" si="34"/>
        <v>0.22433429466551469</v>
      </c>
      <c r="U72" s="120">
        <f t="shared" si="35"/>
        <v>0.26249403191140619</v>
      </c>
      <c r="V72" s="120">
        <f t="shared" si="36"/>
        <v>0.31366589206152606</v>
      </c>
      <c r="W72" s="120">
        <f t="shared" si="37"/>
        <v>0.18510508208265342</v>
      </c>
    </row>
    <row r="73" spans="2:23" x14ac:dyDescent="0.25">
      <c r="B73" s="51">
        <f>ITE_LUC_Rates!A62</f>
        <v>710</v>
      </c>
      <c r="C73" s="11" t="str">
        <f>ITE_LUC_Rates!B62</f>
        <v>General Office, 150,001 - 200,000gsf</v>
      </c>
      <c r="D73" s="52" t="str">
        <f>ITE_LUC_Rates!C62</f>
        <v>1000 GSF</v>
      </c>
      <c r="E73" s="112">
        <f>ITE_LUC_Rates!G62</f>
        <v>10.433861397564558</v>
      </c>
      <c r="F73" s="53" t="s">
        <v>73</v>
      </c>
      <c r="G73" s="91">
        <f>ITE_LUC_Rates!Q62</f>
        <v>11306.4</v>
      </c>
      <c r="H73" s="55">
        <f>+FEE_1_In!H71</f>
        <v>11943.677285601238</v>
      </c>
      <c r="I73" s="91">
        <f>FEE_1_Out!$H71</f>
        <v>11616.438278263098</v>
      </c>
      <c r="J73" s="91">
        <f>FEE_2_In!$H71</f>
        <v>14205.877535396728</v>
      </c>
      <c r="K73" s="91">
        <f>FEE_2_Out!$H71</f>
        <v>12729.252118402923</v>
      </c>
      <c r="L73" s="91">
        <f>FEE_3_In!$H71</f>
        <v>14130.90050864074</v>
      </c>
      <c r="M73" s="91">
        <f>FEE_3_Out!$H71</f>
        <v>13703.784469413866</v>
      </c>
      <c r="N73" s="91">
        <f>FEE_4_In!$H71</f>
        <v>13264.697958088773</v>
      </c>
      <c r="O73" s="91">
        <f>FEE_4_Out!$H71</f>
        <v>14703.659227768028</v>
      </c>
      <c r="P73" s="122">
        <f t="shared" si="31"/>
        <v>5.6364296823147697E-2</v>
      </c>
      <c r="Q73" s="120">
        <f t="shared" si="31"/>
        <v>2.7421485022916192E-2</v>
      </c>
      <c r="R73" s="120">
        <f t="shared" si="32"/>
        <v>0.12584484171822363</v>
      </c>
      <c r="S73" s="120">
        <f t="shared" si="33"/>
        <v>0.2564456887600588</v>
      </c>
      <c r="T73" s="120">
        <f t="shared" si="34"/>
        <v>0.21203782542753369</v>
      </c>
      <c r="U73" s="120">
        <f t="shared" si="35"/>
        <v>0.24981430947434546</v>
      </c>
      <c r="V73" s="120">
        <f t="shared" si="36"/>
        <v>0.30047223057454442</v>
      </c>
      <c r="W73" s="120">
        <f t="shared" si="37"/>
        <v>0.173202607203776</v>
      </c>
    </row>
    <row r="74" spans="2:23" x14ac:dyDescent="0.25">
      <c r="B74" s="51">
        <f>ITE_LUC_Rates!A63</f>
        <v>710</v>
      </c>
      <c r="C74" s="11" t="str">
        <f>ITE_LUC_Rates!B63</f>
        <v>General Office, 200,001 - 300,000gsf</v>
      </c>
      <c r="D74" s="52" t="str">
        <f>ITE_LUC_Rates!C63</f>
        <v>1000 GSF</v>
      </c>
      <c r="E74" s="112">
        <f>ITE_LUC_Rates!G63</f>
        <v>10.322811679029327</v>
      </c>
      <c r="F74" s="53" t="s">
        <v>73</v>
      </c>
      <c r="G74" s="91">
        <f>ITE_LUC_Rates!Q63</f>
        <v>10298.9</v>
      </c>
      <c r="H74" s="55">
        <f>+FEE_1_In!H72</f>
        <v>11816.558288108012</v>
      </c>
      <c r="I74" s="91">
        <f>FEE_1_Out!$H72</f>
        <v>11492.802152381251</v>
      </c>
      <c r="J74" s="91">
        <f>FEE_2_In!$H72</f>
        <v>14054.681478468081</v>
      </c>
      <c r="K74" s="91">
        <f>FEE_2_Out!$H72</f>
        <v>12593.772087468009</v>
      </c>
      <c r="L74" s="91">
        <f>FEE_3_In!$H72</f>
        <v>13980.502447525976</v>
      </c>
      <c r="M74" s="91">
        <f>FEE_3_Out!$H72</f>
        <v>13557.93229156616</v>
      </c>
      <c r="N74" s="91">
        <f>FEE_4_In!$H72</f>
        <v>13123.519067688285</v>
      </c>
      <c r="O74" s="91">
        <f>FEE_4_Out!$H72</f>
        <v>14547.165178588622</v>
      </c>
      <c r="P74" s="122">
        <f t="shared" si="31"/>
        <v>0.14736120246900275</v>
      </c>
      <c r="Q74" s="120">
        <f t="shared" si="31"/>
        <v>0.1159252106905837</v>
      </c>
      <c r="R74" s="120">
        <f t="shared" si="32"/>
        <v>0.22282691233704655</v>
      </c>
      <c r="S74" s="120">
        <f t="shared" si="33"/>
        <v>0.3646779246781775</v>
      </c>
      <c r="T74" s="120">
        <f t="shared" si="34"/>
        <v>0.31644469715854706</v>
      </c>
      <c r="U74" s="120">
        <f t="shared" si="35"/>
        <v>0.35747530780238446</v>
      </c>
      <c r="V74" s="120">
        <f t="shared" si="36"/>
        <v>0.41249698303591864</v>
      </c>
      <c r="W74" s="120">
        <f t="shared" si="37"/>
        <v>0.27426415128686421</v>
      </c>
    </row>
    <row r="75" spans="2:23" x14ac:dyDescent="0.25">
      <c r="B75" s="51">
        <f>ITE_LUC_Rates!A64</f>
        <v>710</v>
      </c>
      <c r="C75" s="11" t="str">
        <f>ITE_LUC_Rates!B64</f>
        <v>General Office, 300,001 - 400,000gsf</v>
      </c>
      <c r="D75" s="52" t="str">
        <f>ITE_LUC_Rates!C64</f>
        <v>1000 GSF</v>
      </c>
      <c r="E75" s="112">
        <f>ITE_LUC_Rates!G64</f>
        <v>10.21913563498342</v>
      </c>
      <c r="F75" s="53" t="s">
        <v>73</v>
      </c>
      <c r="G75" s="91">
        <f>ITE_LUC_Rates!Q64</f>
        <v>9639.5</v>
      </c>
      <c r="H75" s="55">
        <f>+FEE_1_In!H73</f>
        <v>11697.879961345772</v>
      </c>
      <c r="I75" s="91">
        <f>FEE_1_Out!$H73</f>
        <v>11377.375435396603</v>
      </c>
      <c r="J75" s="91">
        <f>FEE_2_In!$H73</f>
        <v>13913.52480320169</v>
      </c>
      <c r="K75" s="91">
        <f>FEE_2_Out!$H73</f>
        <v>12467.287897865197</v>
      </c>
      <c r="L75" s="91">
        <f>FEE_3_In!$H73</f>
        <v>13840.090781344161</v>
      </c>
      <c r="M75" s="91">
        <f>FEE_3_Out!$H73</f>
        <v>13421.764663100421</v>
      </c>
      <c r="N75" s="91">
        <f>FEE_4_In!$H73</f>
        <v>12991.714421511995</v>
      </c>
      <c r="O75" s="91">
        <f>FEE_4_Out!$H73</f>
        <v>14401.062296477314</v>
      </c>
      <c r="P75" s="122">
        <f t="shared" si="31"/>
        <v>0.21353596777278616</v>
      </c>
      <c r="Q75" s="120">
        <f t="shared" si="31"/>
        <v>0.18028688577173124</v>
      </c>
      <c r="R75" s="120">
        <f t="shared" si="32"/>
        <v>0.29335420902175402</v>
      </c>
      <c r="S75" s="120">
        <f t="shared" si="33"/>
        <v>0.44338656602538418</v>
      </c>
      <c r="T75" s="120">
        <f t="shared" si="34"/>
        <v>0.39237145734741641</v>
      </c>
      <c r="U75" s="120">
        <f t="shared" si="35"/>
        <v>0.4357685337770798</v>
      </c>
      <c r="V75" s="120">
        <f t="shared" si="36"/>
        <v>0.49396361807949729</v>
      </c>
      <c r="W75" s="120">
        <f t="shared" si="37"/>
        <v>0.3477581224661026</v>
      </c>
    </row>
    <row r="76" spans="2:23" x14ac:dyDescent="0.25">
      <c r="B76" s="51">
        <f>ITE_LUC_Rates!A65</f>
        <v>710</v>
      </c>
      <c r="C76" s="11" t="str">
        <f>ITE_LUC_Rates!B65</f>
        <v>General Office, 400,001 - 500,000gsf</v>
      </c>
      <c r="D76" s="52" t="str">
        <f>ITE_LUC_Rates!C65</f>
        <v>1000 GSF</v>
      </c>
      <c r="E76" s="112">
        <f>ITE_LUC_Rates!G65</f>
        <v>10.142378862949085</v>
      </c>
      <c r="F76" s="53" t="s">
        <v>73</v>
      </c>
      <c r="G76" s="91">
        <f>ITE_LUC_Rates!Q65</f>
        <v>9156.7999999999993</v>
      </c>
      <c r="H76" s="55">
        <f>+FEE_1_In!H74</f>
        <v>11610.016218505893</v>
      </c>
      <c r="I76" s="91">
        <f>FEE_1_Out!$H74</f>
        <v>11291.919028530425</v>
      </c>
      <c r="J76" s="91">
        <f>FEE_2_In!$H74</f>
        <v>13809.019168903476</v>
      </c>
      <c r="K76" s="91">
        <f>FEE_2_Out!$H74</f>
        <v>12373.64506844752</v>
      </c>
      <c r="L76" s="91">
        <f>FEE_3_In!$H74</f>
        <v>13736.136716051056</v>
      </c>
      <c r="M76" s="91">
        <f>FEE_3_Out!$H74</f>
        <v>13320.952679842529</v>
      </c>
      <c r="N76" s="91">
        <f>FEE_4_In!$H74</f>
        <v>12894.132581148371</v>
      </c>
      <c r="O76" s="91">
        <f>FEE_4_Out!$H74</f>
        <v>14292.894727787951</v>
      </c>
      <c r="P76" s="122">
        <f t="shared" si="31"/>
        <v>0.26791195816288371</v>
      </c>
      <c r="Q76" s="120">
        <f t="shared" si="31"/>
        <v>0.2331730548368891</v>
      </c>
      <c r="R76" s="120">
        <f t="shared" si="32"/>
        <v>0.35130668666428466</v>
      </c>
      <c r="S76" s="120">
        <f t="shared" si="33"/>
        <v>0.50806167754056841</v>
      </c>
      <c r="T76" s="120">
        <f t="shared" si="34"/>
        <v>0.45476068930658409</v>
      </c>
      <c r="U76" s="120">
        <f t="shared" si="35"/>
        <v>0.50010229731467959</v>
      </c>
      <c r="V76" s="120">
        <f t="shared" si="36"/>
        <v>0.56090498075615414</v>
      </c>
      <c r="W76" s="120">
        <f t="shared" si="37"/>
        <v>0.40814832486768005</v>
      </c>
    </row>
    <row r="77" spans="2:23" x14ac:dyDescent="0.25">
      <c r="B77" s="51">
        <f>ITE_LUC_Rates!A66</f>
        <v>710</v>
      </c>
      <c r="C77" s="11" t="str">
        <f>ITE_LUC_Rates!B66</f>
        <v>General Office, 500,001 - 600,000gsf</v>
      </c>
      <c r="D77" s="52" t="str">
        <f>ITE_LUC_Rates!C66</f>
        <v>1000 GSF</v>
      </c>
      <c r="E77" s="112">
        <f>ITE_LUC_Rates!G66</f>
        <v>10.081503937403301</v>
      </c>
      <c r="F77" s="53" t="s">
        <v>73</v>
      </c>
      <c r="G77" s="91">
        <f>ITE_LUC_Rates!Q66</f>
        <v>8781.7000000000007</v>
      </c>
      <c r="H77" s="55">
        <f>+FEE_1_In!H75</f>
        <v>11540.332480357565</v>
      </c>
      <c r="I77" s="91">
        <f>FEE_1_Out!$H75</f>
        <v>11224.144521245757</v>
      </c>
      <c r="J77" s="91">
        <f>FEE_2_In!$H75</f>
        <v>13726.136935344033</v>
      </c>
      <c r="K77" s="91">
        <f>FEE_2_Out!$H75</f>
        <v>12299.378002264122</v>
      </c>
      <c r="L77" s="91">
        <f>FEE_3_In!$H75</f>
        <v>13653.69192561526</v>
      </c>
      <c r="M77" s="91">
        <f>FEE_3_Out!$H75</f>
        <v>13240.999839040393</v>
      </c>
      <c r="N77" s="91">
        <f>FEE_4_In!$H75</f>
        <v>12816.741530048683</v>
      </c>
      <c r="O77" s="91">
        <f>FEE_4_Out!$H75</f>
        <v>14207.108255586019</v>
      </c>
      <c r="P77" s="122">
        <f t="shared" si="31"/>
        <v>0.31413422006645231</v>
      </c>
      <c r="Q77" s="120">
        <f t="shared" si="31"/>
        <v>0.27812889545825481</v>
      </c>
      <c r="R77" s="120">
        <f t="shared" si="32"/>
        <v>0.40056913835181351</v>
      </c>
      <c r="S77" s="120">
        <f t="shared" si="33"/>
        <v>0.5630386981272455</v>
      </c>
      <c r="T77" s="120">
        <f t="shared" si="34"/>
        <v>0.50779460002509658</v>
      </c>
      <c r="U77" s="120">
        <f t="shared" si="35"/>
        <v>0.55478915535890083</v>
      </c>
      <c r="V77" s="120">
        <f t="shared" si="36"/>
        <v>0.61780842611180264</v>
      </c>
      <c r="W77" s="120">
        <f t="shared" si="37"/>
        <v>0.4594829623021377</v>
      </c>
    </row>
    <row r="78" spans="2:23" x14ac:dyDescent="0.25">
      <c r="B78" s="51">
        <f>ITE_LUC_Rates!A67</f>
        <v>710</v>
      </c>
      <c r="C78" s="11" t="str">
        <f>ITE_LUC_Rates!B67</f>
        <v>General Office, 600,001 - 700,000gsf</v>
      </c>
      <c r="D78" s="52" t="str">
        <f>ITE_LUC_Rates!C67</f>
        <v>1000 GSF</v>
      </c>
      <c r="E78" s="112">
        <f>ITE_LUC_Rates!G67</f>
        <v>10.031105639143441</v>
      </c>
      <c r="F78" s="53" t="s">
        <v>73</v>
      </c>
      <c r="G78" s="91">
        <f>ITE_LUC_Rates!Q67</f>
        <v>8475.6</v>
      </c>
      <c r="H78" s="55">
        <f>+FEE_1_In!H76</f>
        <v>11482.641373755388</v>
      </c>
      <c r="I78" s="91">
        <f>FEE_1_Out!$H76</f>
        <v>11168.034065225916</v>
      </c>
      <c r="J78" s="91">
        <f>FEE_2_In!$H76</f>
        <v>13657.518805795269</v>
      </c>
      <c r="K78" s="91">
        <f>FEE_2_Out!$H76</f>
        <v>12237.892362341981</v>
      </c>
      <c r="L78" s="91">
        <f>FEE_3_In!$H76</f>
        <v>13585.43595485058</v>
      </c>
      <c r="M78" s="91">
        <f>FEE_3_Out!$H76</f>
        <v>13174.806951224236</v>
      </c>
      <c r="N78" s="91">
        <f>FEE_4_In!$H76</f>
        <v>12752.66954571365</v>
      </c>
      <c r="O78" s="91">
        <f>FEE_4_Out!$H76</f>
        <v>14136.085709374574</v>
      </c>
      <c r="P78" s="122">
        <f t="shared" si="31"/>
        <v>0.35478802370987172</v>
      </c>
      <c r="Q78" s="120">
        <f t="shared" si="31"/>
        <v>0.31766884530014594</v>
      </c>
      <c r="R78" s="120">
        <f t="shared" si="32"/>
        <v>0.44389687601373118</v>
      </c>
      <c r="S78" s="120">
        <f t="shared" si="33"/>
        <v>0.61139256286224786</v>
      </c>
      <c r="T78" s="120">
        <f t="shared" si="34"/>
        <v>0.55443944395962941</v>
      </c>
      <c r="U78" s="120">
        <f t="shared" si="35"/>
        <v>0.60288781382445844</v>
      </c>
      <c r="V78" s="120">
        <f t="shared" si="36"/>
        <v>0.66785663662449557</v>
      </c>
      <c r="W78" s="120">
        <f t="shared" si="37"/>
        <v>0.50463324669800946</v>
      </c>
    </row>
    <row r="79" spans="2:23" x14ac:dyDescent="0.25">
      <c r="B79" s="51">
        <f>ITE_LUC_Rates!A68</f>
        <v>710</v>
      </c>
      <c r="C79" s="11" t="str">
        <f>ITE_LUC_Rates!B68</f>
        <v>General Office, 700,001gsf - more</v>
      </c>
      <c r="D79" s="52" t="str">
        <f>ITE_LUC_Rates!C68</f>
        <v>1000 GSF</v>
      </c>
      <c r="E79" s="112">
        <f>ITE_LUC_Rates!G68</f>
        <v>9.9688142805499087</v>
      </c>
      <c r="F79" s="53" t="s">
        <v>73</v>
      </c>
      <c r="G79" s="91">
        <f>ITE_LUC_Rates!Q68</f>
        <v>8218.2999999999993</v>
      </c>
      <c r="H79" s="55">
        <f>+FEE_1_In!H77</f>
        <v>11411.336239790653</v>
      </c>
      <c r="I79" s="91">
        <f>FEE_1_Out!$H77</f>
        <v>11098.682585960547</v>
      </c>
      <c r="J79" s="91">
        <f>FEE_2_In!$H77</f>
        <v>13572.708074851518</v>
      </c>
      <c r="K79" s="91">
        <f>FEE_2_Out!$H77</f>
        <v>12161.897255820822</v>
      </c>
      <c r="L79" s="91">
        <f>FEE_3_In!$H77</f>
        <v>13501.072845423158</v>
      </c>
      <c r="M79" s="91">
        <f>FEE_3_Out!$H77</f>
        <v>13092.993773921344</v>
      </c>
      <c r="N79" s="91">
        <f>FEE_4_In!$H77</f>
        <v>12673.477765637379</v>
      </c>
      <c r="O79" s="91">
        <f>FEE_4_Out!$H77</f>
        <v>14048.303164188781</v>
      </c>
      <c r="P79" s="122">
        <f t="shared" si="31"/>
        <v>0.38852758353803751</v>
      </c>
      <c r="Q79" s="120">
        <f t="shared" si="31"/>
        <v>0.35048399133160735</v>
      </c>
      <c r="R79" s="120">
        <f t="shared" si="32"/>
        <v>0.47985559736451866</v>
      </c>
      <c r="S79" s="120">
        <f t="shared" si="33"/>
        <v>0.65152258676995478</v>
      </c>
      <c r="T79" s="120">
        <f t="shared" si="34"/>
        <v>0.59315111080410121</v>
      </c>
      <c r="U79" s="120">
        <f t="shared" si="35"/>
        <v>0.64280603597132724</v>
      </c>
      <c r="V79" s="120">
        <f t="shared" si="36"/>
        <v>0.70939283844454226</v>
      </c>
      <c r="W79" s="120">
        <f t="shared" si="37"/>
        <v>0.54210454298789035</v>
      </c>
    </row>
    <row r="80" spans="2:23" x14ac:dyDescent="0.25">
      <c r="B80" s="116">
        <f>ITE_LUC_Rates!A69</f>
        <v>712</v>
      </c>
      <c r="C80" s="117" t="str">
        <f>ITE_LUC_Rates!B69</f>
        <v>Small Office Building</v>
      </c>
      <c r="D80" s="203" t="str">
        <f>ITE_LUC_Rates!C69</f>
        <v>1000 GSF</v>
      </c>
      <c r="E80" s="204">
        <f>ITE_LUC_Rates!G69</f>
        <v>16.190000000000001</v>
      </c>
      <c r="F80" s="118" t="s">
        <v>73</v>
      </c>
      <c r="G80" s="119">
        <f>ITE_LUC_Rates!Q69</f>
        <v>0</v>
      </c>
      <c r="H80" s="55">
        <f>+FEE_1_In!H78</f>
        <v>18532.749083577004</v>
      </c>
      <c r="I80" s="91">
        <f>FEE_1_Out!$H78</f>
        <v>18024.979301428939</v>
      </c>
      <c r="J80" s="91">
        <f>FEE_2_In!$H78</f>
        <v>22042.956920221059</v>
      </c>
      <c r="K80" s="91">
        <f>FEE_2_Out!$H78</f>
        <v>19751.708782047601</v>
      </c>
      <c r="L80" s="91">
        <f>FEE_3_In!$H78</f>
        <v>21926.616668330924</v>
      </c>
      <c r="M80" s="91">
        <f>FEE_3_Out!$H78</f>
        <v>21263.869827866165</v>
      </c>
      <c r="N80" s="91">
        <f>FEE_4_In!$H78</f>
        <v>20582.548661379078</v>
      </c>
      <c r="O80" s="91">
        <f>FEE_4_Out!$H78</f>
        <v>22815.354146177357</v>
      </c>
      <c r="P80" s="122">
        <f t="shared" si="31"/>
        <v>0</v>
      </c>
      <c r="Q80" s="120">
        <f t="shared" si="31"/>
        <v>0</v>
      </c>
      <c r="R80" s="120">
        <f t="shared" si="32"/>
        <v>0</v>
      </c>
      <c r="S80" s="120">
        <f t="shared" si="33"/>
        <v>0</v>
      </c>
      <c r="T80" s="120">
        <f t="shared" si="34"/>
        <v>0</v>
      </c>
      <c r="U80" s="120">
        <f t="shared" si="35"/>
        <v>0</v>
      </c>
      <c r="V80" s="120">
        <f t="shared" si="36"/>
        <v>0</v>
      </c>
      <c r="W80" s="120">
        <f t="shared" si="37"/>
        <v>0</v>
      </c>
    </row>
    <row r="81" spans="2:23" x14ac:dyDescent="0.25">
      <c r="B81" s="116">
        <f>ITE_LUC_Rates!A70</f>
        <v>714</v>
      </c>
      <c r="C81" s="117" t="str">
        <f>ITE_LUC_Rates!B70</f>
        <v>Corporate Headquarters Buildings</v>
      </c>
      <c r="D81" s="203" t="str">
        <f>ITE_LUC_Rates!C70</f>
        <v>1000 GSF</v>
      </c>
      <c r="E81" s="204">
        <f>ITE_LUC_Rates!G70</f>
        <v>7.95</v>
      </c>
      <c r="F81" s="118" t="s">
        <v>73</v>
      </c>
      <c r="G81" s="119">
        <f>ITE_LUC_Rates!Q70</f>
        <v>0</v>
      </c>
      <c r="H81" s="55">
        <f>+FEE_1_In!H79</f>
        <v>9100.3925394958114</v>
      </c>
      <c r="I81" s="91">
        <f>FEE_1_Out!$H79</f>
        <v>8851.0553086077853</v>
      </c>
      <c r="J81" s="91">
        <f>FEE_2_In!$H79</f>
        <v>10824.058524753391</v>
      </c>
      <c r="K81" s="91">
        <f>FEE_2_Out!$H79</f>
        <v>9698.9552079850782</v>
      </c>
      <c r="L81" s="91">
        <f>FEE_3_In!$H79</f>
        <v>10766.930359063052</v>
      </c>
      <c r="M81" s="91">
        <f>FEE_3_Out!$H79</f>
        <v>10441.492596141818</v>
      </c>
      <c r="N81" s="91">
        <f>FEE_4_In!$H79</f>
        <v>10106.934024580833</v>
      </c>
      <c r="O81" s="91">
        <f>FEE_4_Out!$H79</f>
        <v>11203.339435584308</v>
      </c>
      <c r="P81" s="122">
        <f t="shared" si="31"/>
        <v>0</v>
      </c>
      <c r="Q81" s="120">
        <f t="shared" si="31"/>
        <v>0</v>
      </c>
      <c r="R81" s="120">
        <f t="shared" si="32"/>
        <v>0</v>
      </c>
      <c r="S81" s="120">
        <f t="shared" si="33"/>
        <v>0</v>
      </c>
      <c r="T81" s="120">
        <f t="shared" si="34"/>
        <v>0</v>
      </c>
      <c r="U81" s="120">
        <f t="shared" si="35"/>
        <v>0</v>
      </c>
      <c r="V81" s="120">
        <f t="shared" si="36"/>
        <v>0</v>
      </c>
      <c r="W81" s="120">
        <f t="shared" si="37"/>
        <v>0</v>
      </c>
    </row>
    <row r="82" spans="2:23" x14ac:dyDescent="0.25">
      <c r="B82" s="116">
        <f>ITE_LUC_Rates!A71</f>
        <v>715</v>
      </c>
      <c r="C82" s="117" t="str">
        <f>ITE_LUC_Rates!B71</f>
        <v>Single Tenant Office Building</v>
      </c>
      <c r="D82" s="203" t="str">
        <f>ITE_LUC_Rates!C71</f>
        <v>1000 GSF</v>
      </c>
      <c r="E82" s="204">
        <f>ITE_LUC_Rates!G71</f>
        <v>11.25</v>
      </c>
      <c r="F82" s="118" t="s">
        <v>73</v>
      </c>
      <c r="G82" s="119">
        <f>ITE_LUC_Rates!Q71</f>
        <v>0</v>
      </c>
      <c r="H82" s="55">
        <f>+FEE_1_In!H80</f>
        <v>12877.913970984637</v>
      </c>
      <c r="I82" s="91">
        <f>FEE_1_Out!$H80</f>
        <v>12525.078266897808</v>
      </c>
      <c r="J82" s="91">
        <f>FEE_2_In!$H80</f>
        <v>15317.063950122725</v>
      </c>
      <c r="K82" s="91">
        <f>FEE_2_Out!$H80</f>
        <v>13724.936615073218</v>
      </c>
      <c r="L82" s="91">
        <f>FEE_3_In!$H80</f>
        <v>15236.2222062213</v>
      </c>
      <c r="M82" s="91">
        <f>FEE_3_Out!$H80</f>
        <v>14775.697070012004</v>
      </c>
      <c r="N82" s="91">
        <f>FEE_4_In!$H80</f>
        <v>14302.265129123816</v>
      </c>
      <c r="O82" s="91">
        <f>FEE_4_Out!$H80</f>
        <v>15853.782220166475</v>
      </c>
      <c r="P82" s="122">
        <f t="shared" si="31"/>
        <v>0</v>
      </c>
      <c r="Q82" s="120">
        <f t="shared" si="31"/>
        <v>0</v>
      </c>
      <c r="R82" s="120">
        <f t="shared" si="32"/>
        <v>0</v>
      </c>
      <c r="S82" s="120">
        <f t="shared" si="33"/>
        <v>0</v>
      </c>
      <c r="T82" s="120">
        <f t="shared" si="34"/>
        <v>0</v>
      </c>
      <c r="U82" s="120">
        <f t="shared" si="35"/>
        <v>0</v>
      </c>
      <c r="V82" s="120">
        <f t="shared" si="36"/>
        <v>0</v>
      </c>
      <c r="W82" s="120">
        <f t="shared" si="37"/>
        <v>0</v>
      </c>
    </row>
    <row r="83" spans="2:23" x14ac:dyDescent="0.25">
      <c r="B83" s="51">
        <f>ITE_LUC_Rates!A72</f>
        <v>720</v>
      </c>
      <c r="C83" s="11" t="str">
        <f>ITE_LUC_Rates!B72</f>
        <v>Medical Office Building</v>
      </c>
      <c r="D83" s="52" t="str">
        <f>ITE_LUC_Rates!C72</f>
        <v>1000 GSF</v>
      </c>
      <c r="E83" s="112">
        <f>ITE_LUC_Rates!G72</f>
        <v>34.799999999999997</v>
      </c>
      <c r="F83" s="53" t="s">
        <v>73</v>
      </c>
      <c r="G83" s="91">
        <f>ITE_LUC_Rates!Q72</f>
        <v>35910.699999999997</v>
      </c>
      <c r="H83" s="55">
        <f>+FEE_1_In!H81</f>
        <v>26316.685834669333</v>
      </c>
      <c r="I83" s="91">
        <f>FEE_1_Out!$H81</f>
        <v>25595.647753763627</v>
      </c>
      <c r="J83" s="91">
        <f>FEE_2_In!$H81</f>
        <v>31301.215460293883</v>
      </c>
      <c r="K83" s="91">
        <f>FEE_2_Out!$H81</f>
        <v>28047.620586179077</v>
      </c>
      <c r="L83" s="91">
        <f>FEE_3_In!$H81</f>
        <v>31136.011159242171</v>
      </c>
      <c r="M83" s="91">
        <f>FEE_3_Out!$H81</f>
        <v>30194.904132444593</v>
      </c>
      <c r="N83" s="91">
        <f>FEE_4_In!$H81</f>
        <v>29227.421380150707</v>
      </c>
      <c r="O83" s="91">
        <f>FEE_4_Out!$H81</f>
        <v>32398.027112110554</v>
      </c>
      <c r="P83" s="122">
        <f t="shared" si="31"/>
        <v>-0.26716310640925034</v>
      </c>
      <c r="Q83" s="120">
        <f t="shared" si="31"/>
        <v>-0.28724174817634773</v>
      </c>
      <c r="R83" s="120">
        <f t="shared" si="32"/>
        <v>-0.21896202006145582</v>
      </c>
      <c r="S83" s="120">
        <f t="shared" si="33"/>
        <v>-0.12835964043324455</v>
      </c>
      <c r="T83" s="120">
        <f t="shared" si="34"/>
        <v>-0.15916692984418024</v>
      </c>
      <c r="U83" s="120">
        <f t="shared" si="35"/>
        <v>-0.13296006039308139</v>
      </c>
      <c r="V83" s="120">
        <f t="shared" si="36"/>
        <v>-9.7816887108562178E-2</v>
      </c>
      <c r="W83" s="120">
        <f t="shared" si="37"/>
        <v>-0.18610828025767501</v>
      </c>
    </row>
    <row r="84" spans="2:23" x14ac:dyDescent="0.25">
      <c r="B84" s="116">
        <f>ITE_LUC_Rates!A73</f>
        <v>730</v>
      </c>
      <c r="C84" s="117" t="str">
        <f>ITE_LUC_Rates!B73</f>
        <v>Government Office Building</v>
      </c>
      <c r="D84" s="203" t="str">
        <f>ITE_LUC_Rates!C73</f>
        <v>1000 GSF</v>
      </c>
      <c r="E84" s="204">
        <f>ITE_LUC_Rates!G73</f>
        <v>22.59</v>
      </c>
      <c r="F84" s="118" t="s">
        <v>73</v>
      </c>
      <c r="G84" s="119">
        <f>ITE_LUC_Rates!Q73</f>
        <v>0</v>
      </c>
      <c r="H84" s="55">
        <f>+FEE_1_In!H82</f>
        <v>25858.85125373715</v>
      </c>
      <c r="I84" s="91">
        <f>FEE_1_Out!$H82</f>
        <v>25150.357159930805</v>
      </c>
      <c r="J84" s="91">
        <f>FEE_2_In!$H82</f>
        <v>30756.664411846428</v>
      </c>
      <c r="K84" s="91">
        <f>FEE_2_Out!$H82</f>
        <v>27559.672723067026</v>
      </c>
      <c r="L84" s="91">
        <f>FEE_3_In!$H82</f>
        <v>30594.33419009237</v>
      </c>
      <c r="M84" s="91">
        <f>FEE_3_Out!$H82</f>
        <v>29669.599716584104</v>
      </c>
      <c r="N84" s="91">
        <f>FEE_4_In!$H82</f>
        <v>28718.948379280628</v>
      </c>
      <c r="O84" s="91">
        <f>FEE_4_Out!$H82</f>
        <v>31834.394698094278</v>
      </c>
      <c r="P84" s="122">
        <f t="shared" si="31"/>
        <v>0</v>
      </c>
      <c r="Q84" s="120">
        <f t="shared" si="31"/>
        <v>0</v>
      </c>
      <c r="R84" s="120">
        <f t="shared" si="32"/>
        <v>0</v>
      </c>
      <c r="S84" s="120">
        <f t="shared" si="33"/>
        <v>0</v>
      </c>
      <c r="T84" s="120">
        <f t="shared" si="34"/>
        <v>0</v>
      </c>
      <c r="U84" s="120">
        <f t="shared" si="35"/>
        <v>0</v>
      </c>
      <c r="V84" s="120">
        <f t="shared" si="36"/>
        <v>0</v>
      </c>
      <c r="W84" s="120">
        <f t="shared" si="37"/>
        <v>0</v>
      </c>
    </row>
    <row r="85" spans="2:23" x14ac:dyDescent="0.25">
      <c r="B85" s="116">
        <f>ITE_LUC_Rates!A74</f>
        <v>731</v>
      </c>
      <c r="C85" s="117" t="str">
        <f>ITE_LUC_Rates!B74</f>
        <v>State Motor Vehicles Department</v>
      </c>
      <c r="D85" s="203" t="str">
        <f>ITE_LUC_Rates!C74</f>
        <v>1000 GSF</v>
      </c>
      <c r="E85" s="204">
        <f>ITE_LUC_Rates!G74</f>
        <v>11.21</v>
      </c>
      <c r="F85" s="118" t="s">
        <v>73</v>
      </c>
      <c r="G85" s="119">
        <f>ITE_LUC_Rates!Q74</f>
        <v>0</v>
      </c>
      <c r="H85" s="55">
        <f>+FEE_1_In!H83</f>
        <v>6335.3525693572828</v>
      </c>
      <c r="I85" s="91">
        <f>FEE_1_Out!$H83</f>
        <v>6161.7733243426055</v>
      </c>
      <c r="J85" s="91">
        <f>FEE_2_In!$H83</f>
        <v>7535.3042946287251</v>
      </c>
      <c r="K85" s="91">
        <f>FEE_2_Out!$H83</f>
        <v>6752.0494891084963</v>
      </c>
      <c r="L85" s="91">
        <f>FEE_3_In!$H83</f>
        <v>7495.5338045407234</v>
      </c>
      <c r="M85" s="91">
        <f>FEE_3_Out!$H83</f>
        <v>7268.9762183112416</v>
      </c>
      <c r="N85" s="91">
        <f>FEE_4_In!$H83</f>
        <v>7036.0690665877828</v>
      </c>
      <c r="O85" s="91">
        <f>FEE_4_Out!$H83</f>
        <v>7799.3454645576376</v>
      </c>
      <c r="P85" s="122">
        <f t="shared" si="31"/>
        <v>0</v>
      </c>
      <c r="Q85" s="120">
        <f t="shared" si="31"/>
        <v>0</v>
      </c>
      <c r="R85" s="120">
        <f t="shared" si="32"/>
        <v>0</v>
      </c>
      <c r="S85" s="120">
        <f t="shared" si="33"/>
        <v>0</v>
      </c>
      <c r="T85" s="120">
        <f t="shared" si="34"/>
        <v>0</v>
      </c>
      <c r="U85" s="120">
        <f t="shared" si="35"/>
        <v>0</v>
      </c>
      <c r="V85" s="120">
        <f t="shared" si="36"/>
        <v>0</v>
      </c>
      <c r="W85" s="120">
        <f t="shared" si="37"/>
        <v>0</v>
      </c>
    </row>
    <row r="86" spans="2:23" x14ac:dyDescent="0.25">
      <c r="B86" s="116">
        <f>ITE_LUC_Rates!A75</f>
        <v>733</v>
      </c>
      <c r="C86" s="117" t="str">
        <f>ITE_LUC_Rates!B75</f>
        <v>Government Office Complex</v>
      </c>
      <c r="D86" s="203" t="str">
        <f>ITE_LUC_Rates!C75</f>
        <v>1000 GSF</v>
      </c>
      <c r="E86" s="204">
        <f>ITE_LUC_Rates!G75</f>
        <v>33.979999999999997</v>
      </c>
      <c r="F86" s="118" t="s">
        <v>73</v>
      </c>
      <c r="G86" s="119">
        <f>ITE_LUC_Rates!Q75</f>
        <v>0</v>
      </c>
      <c r="H86" s="55">
        <f>+FEE_1_In!H84</f>
        <v>38897.02370969404</v>
      </c>
      <c r="I86" s="91">
        <f>FEE_1_Out!$H84</f>
        <v>37831.303067483335</v>
      </c>
      <c r="J86" s="91">
        <f>FEE_2_In!$H84</f>
        <v>46264.340713348451</v>
      </c>
      <c r="K86" s="91">
        <f>FEE_2_Out!$H84</f>
        <v>41455.408549350053</v>
      </c>
      <c r="L86" s="91">
        <f>FEE_3_In!$H84</f>
        <v>46020.162717102205</v>
      </c>
      <c r="M86" s="91">
        <f>FEE_3_Out!$H84</f>
        <v>44629.172127911814</v>
      </c>
      <c r="N86" s="91">
        <f>FEE_4_In!$H84</f>
        <v>43199.197252233535</v>
      </c>
      <c r="O86" s="91">
        <f>FEE_4_Out!$H84</f>
        <v>47885.468430333938</v>
      </c>
      <c r="P86" s="122">
        <f t="shared" si="31"/>
        <v>0</v>
      </c>
      <c r="Q86" s="120">
        <f t="shared" si="31"/>
        <v>0</v>
      </c>
      <c r="R86" s="120">
        <f t="shared" si="32"/>
        <v>0</v>
      </c>
      <c r="S86" s="120">
        <f t="shared" si="33"/>
        <v>0</v>
      </c>
      <c r="T86" s="120">
        <f t="shared" si="34"/>
        <v>0</v>
      </c>
      <c r="U86" s="120">
        <f t="shared" si="35"/>
        <v>0</v>
      </c>
      <c r="V86" s="120">
        <f t="shared" si="36"/>
        <v>0</v>
      </c>
      <c r="W86" s="120">
        <f t="shared" si="37"/>
        <v>0</v>
      </c>
    </row>
    <row r="87" spans="2:23" x14ac:dyDescent="0.25">
      <c r="B87" s="51">
        <f>ITE_LUC_Rates!A76</f>
        <v>750</v>
      </c>
      <c r="C87" s="11" t="str">
        <f>ITE_LUC_Rates!B76</f>
        <v>Office Park</v>
      </c>
      <c r="D87" s="52" t="str">
        <f>ITE_LUC_Rates!C76</f>
        <v>1000 GSF</v>
      </c>
      <c r="E87" s="112">
        <f>ITE_LUC_Rates!G76</f>
        <v>11.07</v>
      </c>
      <c r="F87" s="53" t="s">
        <v>73</v>
      </c>
      <c r="G87" s="91">
        <f>ITE_LUC_Rates!Q76</f>
        <v>11350.1</v>
      </c>
      <c r="H87" s="55">
        <f>+FEE_1_In!H85</f>
        <v>12671.867347448882</v>
      </c>
      <c r="I87" s="91">
        <f>FEE_1_Out!$H85</f>
        <v>12324.677014627443</v>
      </c>
      <c r="J87" s="91">
        <f>FEE_2_In!$H85</f>
        <v>15071.990926920756</v>
      </c>
      <c r="K87" s="91">
        <f>FEE_2_Out!$H85</f>
        <v>13505.337629232048</v>
      </c>
      <c r="L87" s="91">
        <f>FEE_3_In!$H85</f>
        <v>14992.442650921761</v>
      </c>
      <c r="M87" s="91">
        <f>FEE_3_Out!$H85</f>
        <v>14539.285916891811</v>
      </c>
      <c r="N87" s="91">
        <f>FEE_4_In!$H85</f>
        <v>14073.428887057837</v>
      </c>
      <c r="O87" s="91">
        <f>FEE_4_Out!$H85</f>
        <v>15600.121704643811</v>
      </c>
      <c r="P87" s="122">
        <f t="shared" si="31"/>
        <v>0.11645424687437833</v>
      </c>
      <c r="Q87" s="120">
        <f t="shared" si="31"/>
        <v>8.5865059746384809E-2</v>
      </c>
      <c r="R87" s="120">
        <f t="shared" si="32"/>
        <v>0.18988710489176719</v>
      </c>
      <c r="S87" s="120">
        <f t="shared" si="33"/>
        <v>0.32791701631886561</v>
      </c>
      <c r="T87" s="120">
        <f t="shared" si="34"/>
        <v>0.28098306771674353</v>
      </c>
      <c r="U87" s="120">
        <f t="shared" si="35"/>
        <v>0.32090841939029269</v>
      </c>
      <c r="V87" s="120">
        <f t="shared" si="36"/>
        <v>0.37444795240956563</v>
      </c>
      <c r="W87" s="120">
        <f t="shared" si="37"/>
        <v>0.23993875710855739</v>
      </c>
    </row>
    <row r="88" spans="2:23" x14ac:dyDescent="0.25">
      <c r="B88" s="51">
        <f>ITE_LUC_Rates!A77</f>
        <v>760</v>
      </c>
      <c r="C88" s="11" t="str">
        <f>ITE_LUC_Rates!B77</f>
        <v>Research Center</v>
      </c>
      <c r="D88" s="52" t="str">
        <f>ITE_LUC_Rates!C77</f>
        <v>1000 GSF</v>
      </c>
      <c r="E88" s="112">
        <f>ITE_LUC_Rates!G77</f>
        <v>11.26</v>
      </c>
      <c r="F88" s="53" t="s">
        <v>73</v>
      </c>
      <c r="G88" s="91">
        <f>ITE_LUC_Rates!Q77</f>
        <v>8060.1</v>
      </c>
      <c r="H88" s="55">
        <f>+FEE_1_In!H86</f>
        <v>12889.361005625515</v>
      </c>
      <c r="I88" s="91">
        <f>FEE_1_Out!$H86</f>
        <v>12536.211669801718</v>
      </c>
      <c r="J88" s="91">
        <f>FEE_2_In!$H86</f>
        <v>15330.679118078388</v>
      </c>
      <c r="K88" s="91">
        <f>FEE_2_Out!$H86</f>
        <v>13737.136558731065</v>
      </c>
      <c r="L88" s="91">
        <f>FEE_3_In!$H86</f>
        <v>15249.765514849052</v>
      </c>
      <c r="M88" s="91">
        <f>FEE_3_Out!$H86</f>
        <v>14788.831022963124</v>
      </c>
      <c r="N88" s="91">
        <f>FEE_4_In!$H86</f>
        <v>14314.978253683041</v>
      </c>
      <c r="O88" s="91">
        <f>FEE_4_Out!$H86</f>
        <v>15867.874471028845</v>
      </c>
      <c r="P88" s="122">
        <f t="shared" si="31"/>
        <v>0.59915646277658019</v>
      </c>
      <c r="Q88" s="120">
        <f t="shared" si="31"/>
        <v>0.55534195230849703</v>
      </c>
      <c r="R88" s="120">
        <f t="shared" si="32"/>
        <v>0.70433822889679587</v>
      </c>
      <c r="S88" s="120">
        <f t="shared" si="33"/>
        <v>0.90204577090586802</v>
      </c>
      <c r="T88" s="120">
        <f t="shared" si="34"/>
        <v>0.83481979416671304</v>
      </c>
      <c r="U88" s="120">
        <f t="shared" si="35"/>
        <v>0.89200698686729085</v>
      </c>
      <c r="V88" s="120">
        <f t="shared" si="36"/>
        <v>0.96869449151112819</v>
      </c>
      <c r="W88" s="120">
        <f t="shared" si="37"/>
        <v>0.7760298574066129</v>
      </c>
    </row>
    <row r="89" spans="2:23" x14ac:dyDescent="0.25">
      <c r="B89" s="51">
        <f>ITE_LUC_Rates!A78</f>
        <v>770</v>
      </c>
      <c r="C89" s="11" t="str">
        <f>ITE_LUC_Rates!B78</f>
        <v>Business Park</v>
      </c>
      <c r="D89" s="52" t="str">
        <f>ITE_LUC_Rates!C78</f>
        <v>1000 GSF</v>
      </c>
      <c r="E89" s="112">
        <f>ITE_LUC_Rates!G78</f>
        <v>12.44</v>
      </c>
      <c r="F89" s="53" t="s">
        <v>73</v>
      </c>
      <c r="G89" s="91">
        <f>ITE_LUC_Rates!Q78</f>
        <v>12682.3</v>
      </c>
      <c r="H89" s="55">
        <f>+FEE_1_In!H87</f>
        <v>14240.111093248786</v>
      </c>
      <c r="I89" s="91">
        <f>FEE_1_Out!$H87</f>
        <v>13849.953212462997</v>
      </c>
      <c r="J89" s="91">
        <f>FEE_2_In!$H87</f>
        <v>16937.268936846813</v>
      </c>
      <c r="K89" s="91">
        <f>FEE_2_Out!$H87</f>
        <v>15176.72991035652</v>
      </c>
      <c r="L89" s="91">
        <f>FEE_3_In!$H87</f>
        <v>16847.87593292382</v>
      </c>
      <c r="M89" s="91">
        <f>FEE_3_Out!$H87</f>
        <v>16338.637471195492</v>
      </c>
      <c r="N89" s="91">
        <f>FEE_4_In!$H87</f>
        <v>15815.126951671133</v>
      </c>
      <c r="O89" s="91">
        <f>FEE_4_Out!$H87</f>
        <v>17530.760072788522</v>
      </c>
      <c r="P89" s="122">
        <f t="shared" si="31"/>
        <v>0.12283348393026405</v>
      </c>
      <c r="Q89" s="120">
        <f t="shared" si="31"/>
        <v>9.2069515187544582E-2</v>
      </c>
      <c r="R89" s="120">
        <f t="shared" si="32"/>
        <v>0.19668592529403339</v>
      </c>
      <c r="S89" s="120">
        <f t="shared" si="33"/>
        <v>0.33550451707078488</v>
      </c>
      <c r="T89" s="120">
        <f t="shared" si="34"/>
        <v>0.28830239555880977</v>
      </c>
      <c r="U89" s="120">
        <f t="shared" si="35"/>
        <v>0.32845587416508204</v>
      </c>
      <c r="V89" s="120">
        <f t="shared" si="36"/>
        <v>0.38230132332372868</v>
      </c>
      <c r="W89" s="120">
        <f t="shared" si="37"/>
        <v>0.24702356446946805</v>
      </c>
    </row>
    <row r="90" spans="2:23" x14ac:dyDescent="0.25">
      <c r="B90" s="92" t="str">
        <f>ITE_LUC_Rates!A79</f>
        <v>Retail</v>
      </c>
      <c r="C90" s="93"/>
      <c r="D90" s="94"/>
      <c r="E90" s="113"/>
      <c r="F90" s="100"/>
      <c r="G90" s="96"/>
      <c r="H90" s="96"/>
      <c r="I90" s="96"/>
      <c r="J90" s="96"/>
      <c r="K90" s="96"/>
      <c r="L90" s="96"/>
      <c r="M90" s="96"/>
      <c r="N90" s="96"/>
      <c r="O90" s="96"/>
      <c r="P90" s="96"/>
      <c r="Q90" s="98"/>
      <c r="R90" s="98"/>
      <c r="S90" s="98"/>
      <c r="T90" s="98"/>
      <c r="U90" s="98"/>
      <c r="V90" s="98"/>
      <c r="W90" s="98"/>
    </row>
    <row r="91" spans="2:23" x14ac:dyDescent="0.25">
      <c r="B91" s="116">
        <f>ITE_LUC_Rates!A80</f>
        <v>812</v>
      </c>
      <c r="C91" s="117" t="str">
        <f>ITE_LUC_Rates!B80</f>
        <v>Building Materials and Lumber Store</v>
      </c>
      <c r="D91" s="203" t="str">
        <f>ITE_LUC_Rates!C80</f>
        <v>1000 GSF</v>
      </c>
      <c r="E91" s="204">
        <f>ITE_LUC_Rates!G80</f>
        <v>18.05</v>
      </c>
      <c r="F91" s="118" t="s">
        <v>73</v>
      </c>
      <c r="G91" s="119">
        <f>ITE_LUC_Rates!Q80</f>
        <v>0</v>
      </c>
      <c r="H91" s="55">
        <f>+FEE_1_In!H89</f>
        <v>14574.903740433003</v>
      </c>
      <c r="I91" s="91">
        <f>FEE_1_Out!$H89</f>
        <v>14175.573038671821</v>
      </c>
      <c r="J91" s="91">
        <f>FEE_2_In!$H89</f>
        <v>17335.473211118682</v>
      </c>
      <c r="K91" s="91">
        <f>FEE_2_Out!$H89</f>
        <v>15533.542968135054</v>
      </c>
      <c r="L91" s="91">
        <f>FEE_3_In!$H89</f>
        <v>17243.978529741969</v>
      </c>
      <c r="M91" s="91">
        <f>FEE_3_Out!$H89</f>
        <v>16722.767598730668</v>
      </c>
      <c r="N91" s="91">
        <f>FEE_4_In!$H89</f>
        <v>16186.949066192043</v>
      </c>
      <c r="O91" s="91">
        <f>FEE_4_Out!$H89</f>
        <v>17942.917641889431</v>
      </c>
      <c r="P91" s="122">
        <f t="shared" ref="P91:Q128" si="38">IFERROR(H91/$G91-1,0)</f>
        <v>0</v>
      </c>
      <c r="Q91" s="120">
        <f t="shared" si="38"/>
        <v>0</v>
      </c>
      <c r="R91" s="120">
        <f t="shared" ref="R91:R128" si="39">IFERROR(K91/$G91-1,0)</f>
        <v>0</v>
      </c>
      <c r="S91" s="120">
        <f t="shared" ref="S91:S128" si="40">IFERROR(J91/$G91-1,0)</f>
        <v>0</v>
      </c>
      <c r="T91" s="120">
        <f t="shared" ref="T91:T128" si="41">IFERROR(M91/$G91-1,0)</f>
        <v>0</v>
      </c>
      <c r="U91" s="120">
        <f t="shared" ref="U91:U128" si="42">IFERROR(L91/$G91-1,0)</f>
        <v>0</v>
      </c>
      <c r="V91" s="120">
        <f t="shared" ref="V91:V128" si="43">IFERROR(O91/$G91-1,0)</f>
        <v>0</v>
      </c>
      <c r="W91" s="120">
        <f t="shared" ref="W91:W128" si="44">IFERROR(N91/$G91-1,0)</f>
        <v>0</v>
      </c>
    </row>
    <row r="92" spans="2:23" x14ac:dyDescent="0.25">
      <c r="B92" s="51">
        <f>ITE_LUC_Rates!A81</f>
        <v>813</v>
      </c>
      <c r="C92" s="11" t="str">
        <f>ITE_LUC_Rates!B81</f>
        <v>Discount Superstore (Free standing)</v>
      </c>
      <c r="D92" s="52" t="str">
        <f>ITE_LUC_Rates!C81</f>
        <v>1000 GSF</v>
      </c>
      <c r="E92" s="112">
        <f>ITE_LUC_Rates!G81</f>
        <v>50.7</v>
      </c>
      <c r="F92" s="53" t="s">
        <v>73</v>
      </c>
      <c r="G92" s="91">
        <f>ITE_LUC_Rates!Q81</f>
        <v>20592.7</v>
      </c>
      <c r="H92" s="55">
        <f>+FEE_1_In!H90</f>
        <v>40208.421515320093</v>
      </c>
      <c r="I92" s="91">
        <f>FEE_1_Out!$H90</f>
        <v>39106.770522190091</v>
      </c>
      <c r="J92" s="91">
        <f>FEE_2_In!$H90</f>
        <v>47824.124704613074</v>
      </c>
      <c r="K92" s="91">
        <f>FEE_2_Out!$H90</f>
        <v>42853.061290307713</v>
      </c>
      <c r="L92" s="91">
        <f>FEE_3_In!$H90</f>
        <v>47571.714343575899</v>
      </c>
      <c r="M92" s="91">
        <f>FEE_3_Out!$H90</f>
        <v>46133.82705555515</v>
      </c>
      <c r="N92" s="91">
        <f>FEE_4_In!$H90</f>
        <v>44655.641141210755</v>
      </c>
      <c r="O92" s="91">
        <f>FEE_4_Out!$H90</f>
        <v>49499.908102880545</v>
      </c>
      <c r="P92" s="122">
        <f t="shared" si="38"/>
        <v>0.95255704765864069</v>
      </c>
      <c r="Q92" s="120">
        <f t="shared" si="38"/>
        <v>0.89905988637673007</v>
      </c>
      <c r="R92" s="120">
        <f t="shared" si="39"/>
        <v>1.0809831294734402</v>
      </c>
      <c r="S92" s="120">
        <f t="shared" si="40"/>
        <v>1.3223824318624109</v>
      </c>
      <c r="T92" s="120">
        <f t="shared" si="41"/>
        <v>1.2403000604852763</v>
      </c>
      <c r="U92" s="120">
        <f t="shared" si="42"/>
        <v>1.3101251581179687</v>
      </c>
      <c r="V92" s="120">
        <f t="shared" si="43"/>
        <v>1.4037599781903558</v>
      </c>
      <c r="W92" s="120">
        <f t="shared" si="44"/>
        <v>1.1685180253784475</v>
      </c>
    </row>
    <row r="93" spans="2:23" x14ac:dyDescent="0.25">
      <c r="B93" s="51">
        <f>ITE_LUC_Rates!A82</f>
        <v>816</v>
      </c>
      <c r="C93" s="11" t="str">
        <f>ITE_LUC_Rates!B82</f>
        <v>Hardware/Paint Store/Pool Suply</v>
      </c>
      <c r="D93" s="52" t="str">
        <f>ITE_LUC_Rates!C82</f>
        <v>1000 GSF</v>
      </c>
      <c r="E93" s="112">
        <f>ITE_LUC_Rates!G82</f>
        <v>9.14</v>
      </c>
      <c r="F93" s="53" t="s">
        <v>73</v>
      </c>
      <c r="G93" s="91">
        <f>ITE_LUC_Rates!Q82</f>
        <v>14865.5</v>
      </c>
      <c r="H93" s="55">
        <f>+FEE_1_In!H91</f>
        <v>7248.618789941338</v>
      </c>
      <c r="I93" s="91">
        <f>FEE_1_Out!$H91</f>
        <v>7050.0174077478805</v>
      </c>
      <c r="J93" s="91">
        <f>FEE_2_In!$H91</f>
        <v>8621.5483195298548</v>
      </c>
      <c r="K93" s="91">
        <f>FEE_2_Out!$H91</f>
        <v>7725.3842247221428</v>
      </c>
      <c r="L93" s="91">
        <f>FEE_3_In!$H91</f>
        <v>8576.0447554296588</v>
      </c>
      <c r="M93" s="91">
        <f>FEE_3_Out!$H91</f>
        <v>8316.8279938416981</v>
      </c>
      <c r="N93" s="91">
        <f>FEE_4_In!$H91</f>
        <v>8050.3463516896727</v>
      </c>
      <c r="O93" s="91">
        <f>FEE_4_Out!$H91</f>
        <v>8923.6520721958223</v>
      </c>
      <c r="P93" s="122">
        <f t="shared" si="38"/>
        <v>-0.51238647943618865</v>
      </c>
      <c r="Q93" s="120">
        <f t="shared" si="38"/>
        <v>-0.52574636522499207</v>
      </c>
      <c r="R93" s="120">
        <f t="shared" si="39"/>
        <v>-0.48031453871567431</v>
      </c>
      <c r="S93" s="120">
        <f t="shared" si="40"/>
        <v>-0.42002971178030646</v>
      </c>
      <c r="T93" s="120">
        <f t="shared" si="41"/>
        <v>-0.44052820330014475</v>
      </c>
      <c r="U93" s="120">
        <f t="shared" si="42"/>
        <v>-0.42309072984900209</v>
      </c>
      <c r="V93" s="120">
        <f t="shared" si="43"/>
        <v>-0.39970723674307473</v>
      </c>
      <c r="W93" s="120">
        <f t="shared" si="44"/>
        <v>-0.45845438419900619</v>
      </c>
    </row>
    <row r="94" spans="2:23" x14ac:dyDescent="0.25">
      <c r="B94" s="51">
        <f>ITE_LUC_Rates!A83</f>
        <v>817</v>
      </c>
      <c r="C94" s="11" t="str">
        <f>ITE_LUC_Rates!B83</f>
        <v>Nursery Garden Center</v>
      </c>
      <c r="D94" s="52" t="str">
        <f>ITE_LUC_Rates!C83</f>
        <v>1000 GSF</v>
      </c>
      <c r="E94" s="112">
        <f>ITE_LUC_Rates!G83</f>
        <v>68.099999999999994</v>
      </c>
      <c r="F94" s="53" t="s">
        <v>73</v>
      </c>
      <c r="G94" s="91">
        <f>ITE_LUC_Rates!Q83</f>
        <v>17723.2</v>
      </c>
      <c r="H94" s="55">
        <f>+FEE_1_In!H92</f>
        <v>54007.761443654803</v>
      </c>
      <c r="I94" s="91">
        <f>FEE_1_Out!$H92</f>
        <v>52528.029044598523</v>
      </c>
      <c r="J94" s="91">
        <f>FEE_2_In!$H92</f>
        <v>64237.137916847154</v>
      </c>
      <c r="K94" s="91">
        <f>FEE_2_Out!$H92</f>
        <v>57560.029070413329</v>
      </c>
      <c r="L94" s="91">
        <f>FEE_3_In!$H92</f>
        <v>63898.101514743968</v>
      </c>
      <c r="M94" s="91">
        <f>FEE_3_Out!$H92</f>
        <v>61966.738116041532</v>
      </c>
      <c r="N94" s="91">
        <f>FEE_4_In!$H92</f>
        <v>59981.245793223927</v>
      </c>
      <c r="O94" s="91">
        <f>FEE_4_Out!$H92</f>
        <v>66488.042244697514</v>
      </c>
      <c r="P94" s="122">
        <f t="shared" si="38"/>
        <v>2.0472917669300577</v>
      </c>
      <c r="Q94" s="120">
        <f t="shared" si="38"/>
        <v>1.9638005012976505</v>
      </c>
      <c r="R94" s="120">
        <f t="shared" si="39"/>
        <v>2.2477221421872646</v>
      </c>
      <c r="S94" s="120">
        <f t="shared" si="40"/>
        <v>2.624466118807391</v>
      </c>
      <c r="T94" s="120">
        <f t="shared" si="41"/>
        <v>2.4963628529860031</v>
      </c>
      <c r="U94" s="120">
        <f t="shared" si="42"/>
        <v>2.6053365935465358</v>
      </c>
      <c r="V94" s="120">
        <f t="shared" si="43"/>
        <v>2.7514693872831946</v>
      </c>
      <c r="W94" s="120">
        <f t="shared" si="44"/>
        <v>2.3843349842705566</v>
      </c>
    </row>
    <row r="95" spans="2:23" x14ac:dyDescent="0.25">
      <c r="B95" s="116">
        <f>ITE_LUC_Rates!A84</f>
        <v>820</v>
      </c>
      <c r="C95" s="117" t="str">
        <f>ITE_LUC_Rates!B84</f>
        <v>Shopping Center/General Retail…</v>
      </c>
      <c r="D95" s="94"/>
      <c r="E95" s="113"/>
      <c r="F95" s="95"/>
      <c r="G95" s="96"/>
      <c r="H95" s="99"/>
      <c r="I95" s="96"/>
      <c r="J95" s="96"/>
      <c r="K95" s="96"/>
      <c r="L95" s="96"/>
      <c r="M95" s="96"/>
      <c r="N95" s="96"/>
      <c r="O95" s="96"/>
      <c r="P95" s="769"/>
      <c r="Q95" s="770"/>
      <c r="R95" s="770"/>
      <c r="S95" s="770"/>
      <c r="T95" s="770"/>
      <c r="U95" s="770"/>
      <c r="V95" s="770"/>
      <c r="W95" s="770"/>
    </row>
    <row r="96" spans="2:23" x14ac:dyDescent="0.25">
      <c r="B96" s="51">
        <f>ITE_LUC_Rates!A85</f>
        <v>820</v>
      </c>
      <c r="C96" s="11" t="str">
        <f>ITE_LUC_Rates!B85</f>
        <v>Shopping Center General, 1 - 10,000gsf</v>
      </c>
      <c r="D96" s="52" t="str">
        <f>ITE_LUC_Rates!C85</f>
        <v>1000 GSF</v>
      </c>
      <c r="E96" s="112">
        <f>ITE_LUC_Rates!G85</f>
        <v>156.80137359044605</v>
      </c>
      <c r="F96" s="53" t="s">
        <v>73</v>
      </c>
      <c r="G96" s="91">
        <f>ITE_LUC_Rates!Q85</f>
        <v>18799.7</v>
      </c>
      <c r="H96" s="55">
        <f>+FEE_1_In!H94</f>
        <v>17484.839081876627</v>
      </c>
      <c r="I96" s="91">
        <f>FEE_1_Out!$H94</f>
        <v>17005.780476406911</v>
      </c>
      <c r="J96" s="91">
        <f>FEE_2_In!$H94</f>
        <v>20796.566818052153</v>
      </c>
      <c r="K96" s="91">
        <f>FEE_2_Out!$H94</f>
        <v>18634.874302174205</v>
      </c>
      <c r="L96" s="91">
        <f>FEE_3_In!$H94</f>
        <v>20686.804873190627</v>
      </c>
      <c r="M96" s="91">
        <f>FEE_3_Out!$H94</f>
        <v>20061.532184001884</v>
      </c>
      <c r="N96" s="91">
        <f>FEE_4_In!$H94</f>
        <v>19418.735429706008</v>
      </c>
      <c r="O96" s="91">
        <f>FEE_4_Out!$H94</f>
        <v>21525.28985542935</v>
      </c>
      <c r="P96" s="122">
        <f t="shared" si="38"/>
        <v>-6.9940526610710485E-2</v>
      </c>
      <c r="Q96" s="120">
        <f t="shared" si="38"/>
        <v>-9.5422773958791285E-2</v>
      </c>
      <c r="R96" s="120">
        <f t="shared" si="39"/>
        <v>-8.7674642587804996E-3</v>
      </c>
      <c r="S96" s="120">
        <f t="shared" si="40"/>
        <v>0.10621801507748274</v>
      </c>
      <c r="T96" s="120">
        <f t="shared" si="41"/>
        <v>6.71198042522958E-2</v>
      </c>
      <c r="U96" s="120">
        <f t="shared" si="42"/>
        <v>0.10037952058759592</v>
      </c>
      <c r="V96" s="120">
        <f t="shared" si="43"/>
        <v>0.14498049731800777</v>
      </c>
      <c r="W96" s="120">
        <f t="shared" si="44"/>
        <v>3.2927941919605574E-2</v>
      </c>
    </row>
    <row r="97" spans="2:23" x14ac:dyDescent="0.25">
      <c r="B97" s="51">
        <f>ITE_LUC_Rates!A86</f>
        <v>820</v>
      </c>
      <c r="C97" s="11" t="str">
        <f>ITE_LUC_Rates!B86</f>
        <v>Shopping Center General, 10,001 - 50,000gsf</v>
      </c>
      <c r="D97" s="52" t="str">
        <f>ITE_LUC_Rates!C86</f>
        <v>1000 GSF</v>
      </c>
      <c r="E97" s="112">
        <f>ITE_LUC_Rates!G86</f>
        <v>88.3774492278785</v>
      </c>
      <c r="F97" s="53" t="s">
        <v>73</v>
      </c>
      <c r="G97" s="91">
        <f>ITE_LUC_Rates!Q86</f>
        <v>14048.1</v>
      </c>
      <c r="H97" s="55">
        <f>+FEE_1_In!H95</f>
        <v>14166.451951739158</v>
      </c>
      <c r="I97" s="91">
        <f>FEE_1_Out!$H95</f>
        <v>13778.312221961016</v>
      </c>
      <c r="J97" s="91">
        <f>FEE_2_In!$H95</f>
        <v>16849.658335971839</v>
      </c>
      <c r="K97" s="91">
        <f>FEE_2_Out!$H95</f>
        <v>15098.225965492606</v>
      </c>
      <c r="L97" s="91">
        <f>FEE_3_In!$H95</f>
        <v>16760.727730964332</v>
      </c>
      <c r="M97" s="91">
        <f>FEE_3_Out!$H95</f>
        <v>16254.123382668758</v>
      </c>
      <c r="N97" s="91">
        <f>FEE_4_In!$H95</f>
        <v>15733.320800967842</v>
      </c>
      <c r="O97" s="91">
        <f>FEE_4_Out!$H95</f>
        <v>17440.079548702925</v>
      </c>
      <c r="P97" s="122">
        <f t="shared" si="38"/>
        <v>8.4247657504685769E-3</v>
      </c>
      <c r="Q97" s="120">
        <f t="shared" si="38"/>
        <v>-1.9204574144473963E-2</v>
      </c>
      <c r="R97" s="120">
        <f t="shared" si="39"/>
        <v>7.4752170435333332E-2</v>
      </c>
      <c r="S97" s="120">
        <f t="shared" si="40"/>
        <v>0.19942613847935586</v>
      </c>
      <c r="T97" s="120">
        <f t="shared" si="41"/>
        <v>0.1570335762607582</v>
      </c>
      <c r="U97" s="120">
        <f t="shared" si="42"/>
        <v>0.19309570197851178</v>
      </c>
      <c r="V97" s="120">
        <f t="shared" si="43"/>
        <v>0.24145468417102123</v>
      </c>
      <c r="W97" s="120">
        <f t="shared" si="44"/>
        <v>0.11996076344614859</v>
      </c>
    </row>
    <row r="98" spans="2:23" x14ac:dyDescent="0.25">
      <c r="B98" s="51">
        <f>ITE_LUC_Rates!A87</f>
        <v>820</v>
      </c>
      <c r="C98" s="11" t="str">
        <f>ITE_LUC_Rates!B87</f>
        <v>Shopping Center General, 50,001 - 100,000gsf</v>
      </c>
      <c r="D98" s="52" t="str">
        <f>ITE_LUC_Rates!C87</f>
        <v>1000 GSF</v>
      </c>
      <c r="E98" s="112">
        <f>ITE_LUC_Rates!G87</f>
        <v>65.917489686786567</v>
      </c>
      <c r="F98" s="53" t="s">
        <v>73</v>
      </c>
      <c r="G98" s="91">
        <f>ITE_LUC_Rates!Q87</f>
        <v>13383.7</v>
      </c>
      <c r="H98" s="55">
        <f>+FEE_1_In!H96</f>
        <v>13230.76457963447</v>
      </c>
      <c r="I98" s="91">
        <f>FEE_1_Out!$H96</f>
        <v>12868.261293265223</v>
      </c>
      <c r="J98" s="91">
        <f>FEE_2_In!$H96</f>
        <v>15736.746466227929</v>
      </c>
      <c r="K98" s="91">
        <f>FEE_2_Out!$H96</f>
        <v>14100.99536567681</v>
      </c>
      <c r="L98" s="91">
        <f>FEE_3_In!$H96</f>
        <v>15653.689685123727</v>
      </c>
      <c r="M98" s="91">
        <f>FEE_3_Out!$H96</f>
        <v>15180.546311599277</v>
      </c>
      <c r="N98" s="91">
        <f>FEE_4_In!$H96</f>
        <v>14694.142491191395</v>
      </c>
      <c r="O98" s="91">
        <f>FEE_4_Out!$H96</f>
        <v>16288.170640402204</v>
      </c>
      <c r="P98" s="122">
        <f t="shared" si="38"/>
        <v>-1.142699106865297E-2</v>
      </c>
      <c r="Q98" s="120">
        <f t="shared" si="38"/>
        <v>-3.8512422329757712E-2</v>
      </c>
      <c r="R98" s="120">
        <f t="shared" si="39"/>
        <v>5.3594698452356981E-2</v>
      </c>
      <c r="S98" s="120">
        <f t="shared" si="40"/>
        <v>0.17581434627404446</v>
      </c>
      <c r="T98" s="120">
        <f t="shared" si="41"/>
        <v>0.13425632012068989</v>
      </c>
      <c r="U98" s="120">
        <f t="shared" si="42"/>
        <v>0.16960853016159394</v>
      </c>
      <c r="V98" s="120">
        <f t="shared" si="43"/>
        <v>0.21701552189620243</v>
      </c>
      <c r="W98" s="120">
        <f t="shared" si="44"/>
        <v>9.7913319275790167E-2</v>
      </c>
    </row>
    <row r="99" spans="2:23" x14ac:dyDescent="0.25">
      <c r="B99" s="51">
        <f>ITE_LUC_Rates!A88</f>
        <v>820</v>
      </c>
      <c r="C99" s="11" t="str">
        <f>ITE_LUC_Rates!B88</f>
        <v>Shopping Center General, 100,001 - 200,000gsf</v>
      </c>
      <c r="D99" s="52" t="str">
        <f>ITE_LUC_Rates!C88</f>
        <v>1000 GSF</v>
      </c>
      <c r="E99" s="112">
        <f>ITE_LUC_Rates!G88</f>
        <v>51.829042350493665</v>
      </c>
      <c r="F99" s="53" t="s">
        <v>73</v>
      </c>
      <c r="G99" s="91">
        <f>ITE_LUC_Rates!Q88</f>
        <v>20241.2</v>
      </c>
      <c r="H99" s="55">
        <f>+FEE_1_In!H97</f>
        <v>12227.105280890966</v>
      </c>
      <c r="I99" s="91">
        <f>FEE_1_Out!$H97</f>
        <v>11892.100767702945</v>
      </c>
      <c r="J99" s="91">
        <f>FEE_2_In!$H97</f>
        <v>14542.988401247305</v>
      </c>
      <c r="K99" s="91">
        <f>FEE_2_Out!$H97</f>
        <v>13031.322102645205</v>
      </c>
      <c r="L99" s="91">
        <f>FEE_3_In!$H97</f>
        <v>14466.232141188366</v>
      </c>
      <c r="M99" s="91">
        <f>FEE_3_Out!$H97</f>
        <v>14028.980476235893</v>
      </c>
      <c r="N99" s="91">
        <f>FEE_4_In!$H97</f>
        <v>13579.47427533884</v>
      </c>
      <c r="O99" s="91">
        <f>FEE_4_Out!$H97</f>
        <v>15052.582642114936</v>
      </c>
      <c r="P99" s="122">
        <f t="shared" si="38"/>
        <v>-0.39592982229853146</v>
      </c>
      <c r="Q99" s="120">
        <f t="shared" si="38"/>
        <v>-0.41248044741897993</v>
      </c>
      <c r="R99" s="120">
        <f t="shared" si="39"/>
        <v>-0.35619814523619131</v>
      </c>
      <c r="S99" s="120">
        <f t="shared" si="40"/>
        <v>-0.28151550297179495</v>
      </c>
      <c r="T99" s="120">
        <f t="shared" si="41"/>
        <v>-0.30690964585914415</v>
      </c>
      <c r="U99" s="120">
        <f t="shared" si="42"/>
        <v>-0.2853075834837675</v>
      </c>
      <c r="V99" s="120">
        <f t="shared" si="43"/>
        <v>-0.25633941455472331</v>
      </c>
      <c r="W99" s="120">
        <f t="shared" si="44"/>
        <v>-0.32911713360182004</v>
      </c>
    </row>
    <row r="100" spans="2:23" x14ac:dyDescent="0.25">
      <c r="B100" s="51">
        <f>ITE_LUC_Rates!A89</f>
        <v>820</v>
      </c>
      <c r="C100" s="11" t="str">
        <f>ITE_LUC_Rates!B89</f>
        <v>Shopping Center General, 200,001 - 300,000gsf</v>
      </c>
      <c r="D100" s="52" t="str">
        <f>ITE_LUC_Rates!C89</f>
        <v>1000 GSF</v>
      </c>
      <c r="E100" s="112">
        <f>ITE_LUC_Rates!G89</f>
        <v>44.841430781139344</v>
      </c>
      <c r="F100" s="53" t="s">
        <v>73</v>
      </c>
      <c r="G100" s="91">
        <f>ITE_LUC_Rates!Q89</f>
        <v>18774.5</v>
      </c>
      <c r="H100" s="55">
        <f>+FEE_1_In!H98</f>
        <v>11375.556172518816</v>
      </c>
      <c r="I100" s="91">
        <f>FEE_1_Out!$H98</f>
        <v>11063.88283935684</v>
      </c>
      <c r="J100" s="91">
        <f>FEE_2_In!$H98</f>
        <v>13530.151059811878</v>
      </c>
      <c r="K100" s="91">
        <f>FEE_2_Out!$H98</f>
        <v>12123.763816158507</v>
      </c>
      <c r="L100" s="91">
        <f>FEE_3_In!$H98</f>
        <v>13458.740441531074</v>
      </c>
      <c r="M100" s="91">
        <f>FEE_3_Out!$H98</f>
        <v>13051.940895610114</v>
      </c>
      <c r="N100" s="91">
        <f>FEE_4_In!$H98</f>
        <v>12633.740273244379</v>
      </c>
      <c r="O100" s="91">
        <f>FEE_4_Out!$H98</f>
        <v>14004.254928144601</v>
      </c>
      <c r="P100" s="122">
        <f t="shared" si="38"/>
        <v>-0.39409538616107931</v>
      </c>
      <c r="Q100" s="120">
        <f t="shared" si="38"/>
        <v>-0.41069627210541748</v>
      </c>
      <c r="R100" s="120">
        <f t="shared" si="39"/>
        <v>-0.35424305221664987</v>
      </c>
      <c r="S100" s="120">
        <f t="shared" si="40"/>
        <v>-0.27933361422078462</v>
      </c>
      <c r="T100" s="120">
        <f t="shared" si="41"/>
        <v>-0.3048048738656095</v>
      </c>
      <c r="U100" s="120">
        <f t="shared" si="42"/>
        <v>-0.2831372104966271</v>
      </c>
      <c r="V100" s="120">
        <f t="shared" si="43"/>
        <v>-0.25408107123254409</v>
      </c>
      <c r="W100" s="120">
        <f t="shared" si="44"/>
        <v>-0.32707980115345925</v>
      </c>
    </row>
    <row r="101" spans="2:23" x14ac:dyDescent="0.25">
      <c r="B101" s="51">
        <f>ITE_LUC_Rates!A90</f>
        <v>820</v>
      </c>
      <c r="C101" s="11" t="str">
        <f>ITE_LUC_Rates!B90</f>
        <v>Shopping Center General, 300,001 - 400,000gsf</v>
      </c>
      <c r="D101" s="52" t="str">
        <f>ITE_LUC_Rates!C90</f>
        <v>1000 GSF</v>
      </c>
      <c r="E101" s="112">
        <f>ITE_LUC_Rates!G90</f>
        <v>40.264145799881483</v>
      </c>
      <c r="F101" s="53" t="s">
        <v>73</v>
      </c>
      <c r="G101" s="91">
        <f>ITE_LUC_Rates!Q90</f>
        <v>25847.3</v>
      </c>
      <c r="H101" s="55">
        <f>+FEE_1_In!H99</f>
        <v>10910.296181225494</v>
      </c>
      <c r="I101" s="91">
        <f>FEE_1_Out!$H99</f>
        <v>10611.370280371368</v>
      </c>
      <c r="J101" s="91">
        <f>FEE_2_In!$H99</f>
        <v>12976.768186146941</v>
      </c>
      <c r="K101" s="91">
        <f>FEE_2_Out!$H99</f>
        <v>11627.90214908899</v>
      </c>
      <c r="L101" s="91">
        <f>FEE_3_In!$H99</f>
        <v>12908.278260545749</v>
      </c>
      <c r="M101" s="91">
        <f>FEE_3_Out!$H99</f>
        <v>12518.116806892358</v>
      </c>
      <c r="N101" s="91">
        <f>FEE_4_In!$H99</f>
        <v>12117.020580564049</v>
      </c>
      <c r="O101" s="91">
        <f>FEE_4_Out!$H99</f>
        <v>13431.481216941052</v>
      </c>
      <c r="P101" s="122">
        <f t="shared" si="38"/>
        <v>-0.57789416375306146</v>
      </c>
      <c r="Q101" s="120">
        <f t="shared" si="38"/>
        <v>-0.58945923634687691</v>
      </c>
      <c r="R101" s="120">
        <f t="shared" si="39"/>
        <v>-0.55013087830879859</v>
      </c>
      <c r="S101" s="120">
        <f t="shared" si="40"/>
        <v>-0.49794492321646977</v>
      </c>
      <c r="T101" s="120">
        <f t="shared" si="41"/>
        <v>-0.51568957659436931</v>
      </c>
      <c r="U101" s="120">
        <f t="shared" si="42"/>
        <v>-0.50059471354664709</v>
      </c>
      <c r="V101" s="120">
        <f t="shared" si="43"/>
        <v>-0.48035263965903385</v>
      </c>
      <c r="W101" s="120">
        <f t="shared" si="44"/>
        <v>-0.53120749244354148</v>
      </c>
    </row>
    <row r="102" spans="2:23" x14ac:dyDescent="0.25">
      <c r="B102" s="51">
        <f>ITE_LUC_Rates!A91</f>
        <v>820</v>
      </c>
      <c r="C102" s="11" t="str">
        <f>ITE_LUC_Rates!B91</f>
        <v>Shopping Center General, 400,001 - 500,000gsf</v>
      </c>
      <c r="D102" s="52" t="str">
        <f>ITE_LUC_Rates!C91</f>
        <v>1000 GSF</v>
      </c>
      <c r="E102" s="112">
        <f>ITE_LUC_Rates!G91</f>
        <v>37.152860747503944</v>
      </c>
      <c r="F102" s="53" t="s">
        <v>73</v>
      </c>
      <c r="G102" s="91">
        <f>ITE_LUC_Rates!Q91</f>
        <v>24653.1</v>
      </c>
      <c r="H102" s="55">
        <f>+FEE_1_In!H100</f>
        <v>10730.100774769875</v>
      </c>
      <c r="I102" s="91">
        <f>FEE_1_Out!$H100</f>
        <v>10436.111960252339</v>
      </c>
      <c r="J102" s="91">
        <f>FEE_2_In!$H100</f>
        <v>12762.442747227416</v>
      </c>
      <c r="K102" s="91">
        <f>FEE_2_Out!$H100</f>
        <v>11435.854699672638</v>
      </c>
      <c r="L102" s="91">
        <f>FEE_3_In!$H100</f>
        <v>12695.084007230798</v>
      </c>
      <c r="M102" s="91">
        <f>FEE_3_Out!$H100</f>
        <v>12311.366494287782</v>
      </c>
      <c r="N102" s="91">
        <f>FEE_4_In!$H100</f>
        <v>11916.894808332207</v>
      </c>
      <c r="O102" s="91">
        <f>FEE_4_Out!$H100</f>
        <v>13209.645697814398</v>
      </c>
      <c r="P102" s="122">
        <f t="shared" si="38"/>
        <v>-0.56475653062820186</v>
      </c>
      <c r="Q102" s="120">
        <f t="shared" si="38"/>
        <v>-0.57668155484493466</v>
      </c>
      <c r="R102" s="120">
        <f t="shared" si="39"/>
        <v>-0.53612913995916789</v>
      </c>
      <c r="S102" s="120">
        <f t="shared" si="40"/>
        <v>-0.48231894783100637</v>
      </c>
      <c r="T102" s="120">
        <f t="shared" si="41"/>
        <v>-0.50061588626632014</v>
      </c>
      <c r="U102" s="120">
        <f t="shared" si="42"/>
        <v>-0.48505121030495968</v>
      </c>
      <c r="V102" s="120">
        <f t="shared" si="43"/>
        <v>-0.46417912157844654</v>
      </c>
      <c r="W102" s="120">
        <f t="shared" si="44"/>
        <v>-0.51661678213562567</v>
      </c>
    </row>
    <row r="103" spans="2:23" x14ac:dyDescent="0.25">
      <c r="B103" s="51">
        <f>ITE_LUC_Rates!A92</f>
        <v>820</v>
      </c>
      <c r="C103" s="11" t="str">
        <f>ITE_LUC_Rates!B92</f>
        <v>Shopping Center General, 500,001 - 600,000gsf</v>
      </c>
      <c r="D103" s="52" t="str">
        <f>ITE_LUC_Rates!C92</f>
        <v>1000 GSF</v>
      </c>
      <c r="E103" s="112">
        <f>ITE_LUC_Rates!G92</f>
        <v>34.84209042728628</v>
      </c>
      <c r="F103" s="53" t="s">
        <v>73</v>
      </c>
      <c r="G103" s="91">
        <f>ITE_LUC_Rates!Q92</f>
        <v>23479</v>
      </c>
      <c r="H103" s="55">
        <f>+FEE_1_In!H101</f>
        <v>10703.790090502182</v>
      </c>
      <c r="I103" s="91">
        <f>FEE_1_Out!$H101</f>
        <v>10410.522149631535</v>
      </c>
      <c r="J103" s="91">
        <f>FEE_2_In!$H101</f>
        <v>12731.14867006494</v>
      </c>
      <c r="K103" s="91">
        <f>FEE_2_Out!$H101</f>
        <v>11407.813475396179</v>
      </c>
      <c r="L103" s="91">
        <f>FEE_3_In!$H101</f>
        <v>12663.955096694235</v>
      </c>
      <c r="M103" s="91">
        <f>FEE_3_Out!$H101</f>
        <v>12281.178476156885</v>
      </c>
      <c r="N103" s="91">
        <f>FEE_4_In!$H101</f>
        <v>11887.674052317447</v>
      </c>
      <c r="O103" s="91">
        <f>FEE_4_Out!$H101</f>
        <v>13177.25505912995</v>
      </c>
      <c r="P103" s="122">
        <f t="shared" si="38"/>
        <v>-0.54411218150252649</v>
      </c>
      <c r="Q103" s="120">
        <f t="shared" si="38"/>
        <v>-0.55660283020437262</v>
      </c>
      <c r="R103" s="120">
        <f t="shared" si="39"/>
        <v>-0.51412694427376904</v>
      </c>
      <c r="S103" s="120">
        <f t="shared" si="40"/>
        <v>-0.45776444183887988</v>
      </c>
      <c r="T103" s="120">
        <f t="shared" si="41"/>
        <v>-0.47692923565071399</v>
      </c>
      <c r="U103" s="120">
        <f t="shared" si="42"/>
        <v>-0.4606263002387565</v>
      </c>
      <c r="V103" s="120">
        <f t="shared" si="43"/>
        <v>-0.43876421231185525</v>
      </c>
      <c r="W103" s="120">
        <f t="shared" si="44"/>
        <v>-0.49368908163390912</v>
      </c>
    </row>
    <row r="104" spans="2:23" x14ac:dyDescent="0.25">
      <c r="B104" s="51">
        <f>ITE_LUC_Rates!A93</f>
        <v>820</v>
      </c>
      <c r="C104" s="11" t="str">
        <f>ITE_LUC_Rates!B93</f>
        <v>Shopping Center General, 600,001 - 800,000gsf</v>
      </c>
      <c r="D104" s="52" t="str">
        <f>ITE_LUC_Rates!C93</f>
        <v>1000 GSF</v>
      </c>
      <c r="E104" s="112">
        <f>ITE_LUC_Rates!G93</f>
        <v>32.254394347161764</v>
      </c>
      <c r="F104" s="53" t="s">
        <v>73</v>
      </c>
      <c r="G104" s="91">
        <f>ITE_LUC_Rates!Q93</f>
        <v>21864.3</v>
      </c>
      <c r="H104" s="55">
        <f>+FEE_1_In!H102</f>
        <v>10520.261587286186</v>
      </c>
      <c r="I104" s="91">
        <f>FEE_1_Out!$H102</f>
        <v>10232.022054649835</v>
      </c>
      <c r="J104" s="91">
        <f>FEE_2_In!$H102</f>
        <v>12512.85882694567</v>
      </c>
      <c r="K104" s="91">
        <f>FEE_2_Out!$H102</f>
        <v>11212.213700512284</v>
      </c>
      <c r="L104" s="91">
        <f>FEE_3_In!$H102</f>
        <v>12446.817362859831</v>
      </c>
      <c r="M104" s="91">
        <f>FEE_3_Out!$H102</f>
        <v>12070.603877402607</v>
      </c>
      <c r="N104" s="91">
        <f>FEE_4_In!$H102</f>
        <v>11683.846528879993</v>
      </c>
      <c r="O104" s="91">
        <f>FEE_4_Out!$H102</f>
        <v>12951.316220919414</v>
      </c>
      <c r="P104" s="122">
        <f t="shared" si="38"/>
        <v>-0.51883839924963593</v>
      </c>
      <c r="Q104" s="120">
        <f t="shared" si="38"/>
        <v>-0.5320215120241748</v>
      </c>
      <c r="R104" s="120">
        <f t="shared" si="39"/>
        <v>-0.48719082245888112</v>
      </c>
      <c r="S104" s="120">
        <f t="shared" si="40"/>
        <v>-0.42770366181649211</v>
      </c>
      <c r="T104" s="120">
        <f t="shared" si="41"/>
        <v>-0.44793092495974685</v>
      </c>
      <c r="U104" s="120">
        <f t="shared" si="42"/>
        <v>-0.43072417763844117</v>
      </c>
      <c r="V104" s="120">
        <f t="shared" si="43"/>
        <v>-0.40765008617154841</v>
      </c>
      <c r="W104" s="120">
        <f t="shared" si="44"/>
        <v>-0.46561991333452279</v>
      </c>
    </row>
    <row r="105" spans="2:23" x14ac:dyDescent="0.25">
      <c r="B105" s="51">
        <f>ITE_LUC_Rates!A94</f>
        <v>820</v>
      </c>
      <c r="C105" s="11" t="str">
        <f>ITE_LUC_Rates!B94</f>
        <v>Shopping Center General, 800,001 - 1,000,000gsf</v>
      </c>
      <c r="D105" s="52" t="str">
        <f>ITE_LUC_Rates!C94</f>
        <v>1000 GSF</v>
      </c>
      <c r="E105" s="112">
        <f>ITE_LUC_Rates!G94</f>
        <v>29.762037611107274</v>
      </c>
      <c r="F105" s="53" t="s">
        <v>73</v>
      </c>
      <c r="G105" s="91">
        <f>ITE_LUC_Rates!Q94</f>
        <v>20513.7</v>
      </c>
      <c r="H105" s="55">
        <f>+FEE_1_In!H103</f>
        <v>10951.872469790897</v>
      </c>
      <c r="I105" s="91">
        <f>FEE_1_Out!$H103</f>
        <v>10651.807440419341</v>
      </c>
      <c r="J105" s="91">
        <f>FEE_2_In!$H103</f>
        <v>13026.219259682595</v>
      </c>
      <c r="K105" s="91">
        <f>FEE_2_Out!$H103</f>
        <v>11672.213046532144</v>
      </c>
      <c r="L105" s="91">
        <f>FEE_3_In!$H103</f>
        <v>12957.46833686709</v>
      </c>
      <c r="M105" s="91">
        <f>FEE_3_Out!$H103</f>
        <v>12565.820079838728</v>
      </c>
      <c r="N105" s="91">
        <f>FEE_4_In!$H103</f>
        <v>12163.195380573359</v>
      </c>
      <c r="O105" s="91">
        <f>FEE_4_Out!$H103</f>
        <v>13482.665083048856</v>
      </c>
      <c r="P105" s="122">
        <f t="shared" si="38"/>
        <v>-0.46611910724097083</v>
      </c>
      <c r="Q105" s="120">
        <f t="shared" si="38"/>
        <v>-0.48074665026692698</v>
      </c>
      <c r="R105" s="120">
        <f t="shared" si="39"/>
        <v>-0.43100400968464281</v>
      </c>
      <c r="S105" s="120">
        <f t="shared" si="40"/>
        <v>-0.36499903675677259</v>
      </c>
      <c r="T105" s="120">
        <f t="shared" si="41"/>
        <v>-0.38744253450919497</v>
      </c>
      <c r="U105" s="120">
        <f t="shared" si="42"/>
        <v>-0.36835050055001828</v>
      </c>
      <c r="V105" s="120">
        <f t="shared" si="43"/>
        <v>-0.34274825686985499</v>
      </c>
      <c r="W105" s="120">
        <f t="shared" si="44"/>
        <v>-0.40706964708592996</v>
      </c>
    </row>
    <row r="106" spans="2:23" x14ac:dyDescent="0.25">
      <c r="B106" s="51">
        <f>ITE_LUC_Rates!A95</f>
        <v>820</v>
      </c>
      <c r="C106" s="11" t="str">
        <f>ITE_LUC_Rates!B95</f>
        <v>Shopping Center General, 1,000,001 - 1,200,000gsf</v>
      </c>
      <c r="D106" s="52" t="str">
        <f>ITE_LUC_Rates!C95</f>
        <v>1000 GSF</v>
      </c>
      <c r="E106" s="112">
        <f>ITE_LUC_Rates!G95</f>
        <v>27.910949113552771</v>
      </c>
      <c r="F106" s="53" t="s">
        <v>73</v>
      </c>
      <c r="G106" s="91">
        <f>ITE_LUC_Rates!Q95</f>
        <v>19521.3</v>
      </c>
      <c r="H106" s="55">
        <f>+FEE_1_In!H104</f>
        <v>10714.21435277453</v>
      </c>
      <c r="I106" s="91">
        <f>FEE_1_Out!$H104</f>
        <v>10420.660802609806</v>
      </c>
      <c r="J106" s="91">
        <f>FEE_2_In!$H104</f>
        <v>12743.54734676197</v>
      </c>
      <c r="K106" s="91">
        <f>FEE_2_Out!$H104</f>
        <v>11418.923375591912</v>
      </c>
      <c r="L106" s="91">
        <f>FEE_3_In!$H104</f>
        <v>12676.288334567646</v>
      </c>
      <c r="M106" s="91">
        <f>FEE_3_Out!$H104</f>
        <v>12293.138933561833</v>
      </c>
      <c r="N106" s="91">
        <f>FEE_4_In!$H104</f>
        <v>11899.251281605555</v>
      </c>
      <c r="O106" s="91">
        <f>FEE_4_Out!$H104</f>
        <v>13190.088192216881</v>
      </c>
      <c r="P106" s="122">
        <f t="shared" si="38"/>
        <v>-0.4511526203288444</v>
      </c>
      <c r="Q106" s="120">
        <f t="shared" si="38"/>
        <v>-0.46619022285350842</v>
      </c>
      <c r="R106" s="120">
        <f t="shared" si="39"/>
        <v>-0.41505312783513837</v>
      </c>
      <c r="S106" s="120">
        <f t="shared" si="40"/>
        <v>-0.34719781229928481</v>
      </c>
      <c r="T106" s="120">
        <f t="shared" si="41"/>
        <v>-0.37027047719353556</v>
      </c>
      <c r="U106" s="120">
        <f t="shared" si="42"/>
        <v>-0.3506432289566962</v>
      </c>
      <c r="V106" s="120">
        <f t="shared" si="43"/>
        <v>-0.32432326780404575</v>
      </c>
      <c r="W106" s="120">
        <f t="shared" si="44"/>
        <v>-0.3904478041111219</v>
      </c>
    </row>
    <row r="107" spans="2:23" x14ac:dyDescent="0.25">
      <c r="B107" s="51">
        <f>ITE_LUC_Rates!A96</f>
        <v>820</v>
      </c>
      <c r="C107" s="11" t="str">
        <f>ITE_LUC_Rates!B96</f>
        <v>Shopping Center General, 1,200,001 gsf - more</v>
      </c>
      <c r="D107" s="52" t="str">
        <f>ITE_LUC_Rates!C96</f>
        <v>1000 GSF</v>
      </c>
      <c r="E107" s="112">
        <f>ITE_LUC_Rates!G96</f>
        <v>26.458084032221276</v>
      </c>
      <c r="F107" s="53" t="s">
        <v>73</v>
      </c>
      <c r="G107" s="91">
        <f>ITE_LUC_Rates!Q96</f>
        <v>19248.8</v>
      </c>
      <c r="H107" s="55">
        <f>+FEE_1_In!H105</f>
        <v>10584.29846889438</v>
      </c>
      <c r="I107" s="91">
        <f>FEE_1_Out!$H105</f>
        <v>10294.304420871402</v>
      </c>
      <c r="J107" s="91">
        <f>FEE_2_In!$H105</f>
        <v>12589.024657294367</v>
      </c>
      <c r="K107" s="91">
        <f>FEE_2_Out!$H105</f>
        <v>11280.462497878043</v>
      </c>
      <c r="L107" s="91">
        <f>FEE_3_In!$H105</f>
        <v>12522.581198506987</v>
      </c>
      <c r="M107" s="91">
        <f>FEE_3_Out!$H105</f>
        <v>12144.077699799829</v>
      </c>
      <c r="N107" s="91">
        <f>FEE_4_In!$H105</f>
        <v>11754.96615748337</v>
      </c>
      <c r="O107" s="91">
        <f>FEE_4_Out!$H105</f>
        <v>13030.150943481025</v>
      </c>
      <c r="P107" s="122">
        <f t="shared" si="38"/>
        <v>-0.45013203582070671</v>
      </c>
      <c r="Q107" s="120">
        <f t="shared" si="38"/>
        <v>-0.46519760084413564</v>
      </c>
      <c r="R107" s="120">
        <f t="shared" si="39"/>
        <v>-0.41396541613617244</v>
      </c>
      <c r="S107" s="120">
        <f t="shared" si="40"/>
        <v>-0.34598392329421224</v>
      </c>
      <c r="T107" s="120">
        <f t="shared" si="41"/>
        <v>-0.36909949192677827</v>
      </c>
      <c r="U107" s="120">
        <f t="shared" si="42"/>
        <v>-0.34943574672151057</v>
      </c>
      <c r="V107" s="120">
        <f t="shared" si="43"/>
        <v>-0.32306684346655246</v>
      </c>
      <c r="W107" s="120">
        <f t="shared" si="44"/>
        <v>-0.3893143386869119</v>
      </c>
    </row>
    <row r="108" spans="2:23" x14ac:dyDescent="0.25">
      <c r="B108" s="116">
        <f>ITE_LUC_Rates!A97</f>
        <v>823</v>
      </c>
      <c r="C108" s="117" t="str">
        <f>ITE_LUC_Rates!B97</f>
        <v>Factory Outlet Center</v>
      </c>
      <c r="D108" s="203" t="str">
        <f>ITE_LUC_Rates!C97</f>
        <v>1000 GSF</v>
      </c>
      <c r="E108" s="204">
        <f>ITE_LUC_Rates!G97</f>
        <v>26.59</v>
      </c>
      <c r="F108" s="118" t="s">
        <v>73</v>
      </c>
      <c r="G108" s="119">
        <f>ITE_LUC_Rates!Q97</f>
        <v>0</v>
      </c>
      <c r="H108" s="55">
        <f>+FEE_1_In!H106</f>
        <v>24535.681008266765</v>
      </c>
      <c r="I108" s="91">
        <f>FEE_1_Out!$H106</f>
        <v>23863.439812735643</v>
      </c>
      <c r="J108" s="91">
        <f>FEE_2_In!$H106</f>
        <v>29182.878213830707</v>
      </c>
      <c r="K108" s="91">
        <f>FEE_2_Out!$H106</f>
        <v>26149.473230280433</v>
      </c>
      <c r="L108" s="91">
        <f>FEE_3_In!$H106</f>
        <v>29028.854258942796</v>
      </c>
      <c r="M108" s="91">
        <f>FEE_3_Out!$H106</f>
        <v>28151.437476707841</v>
      </c>
      <c r="N108" s="91">
        <f>FEE_4_In!$H106</f>
        <v>27249.42996936393</v>
      </c>
      <c r="O108" s="91">
        <f>FEE_4_Out!$H106</f>
        <v>30205.462173839518</v>
      </c>
      <c r="P108" s="122">
        <f t="shared" si="38"/>
        <v>0</v>
      </c>
      <c r="Q108" s="120">
        <f t="shared" si="38"/>
        <v>0</v>
      </c>
      <c r="R108" s="120">
        <f t="shared" si="39"/>
        <v>0</v>
      </c>
      <c r="S108" s="120">
        <f t="shared" si="40"/>
        <v>0</v>
      </c>
      <c r="T108" s="120">
        <f t="shared" si="41"/>
        <v>0</v>
      </c>
      <c r="U108" s="120">
        <f t="shared" si="42"/>
        <v>0</v>
      </c>
      <c r="V108" s="120">
        <f t="shared" si="43"/>
        <v>0</v>
      </c>
      <c r="W108" s="120">
        <f t="shared" si="44"/>
        <v>0</v>
      </c>
    </row>
    <row r="109" spans="2:23" x14ac:dyDescent="0.25">
      <c r="B109" s="51">
        <f>ITE_LUC_Rates!A98</f>
        <v>840</v>
      </c>
      <c r="C109" s="11" t="str">
        <f>ITE_LUC_Rates!B98</f>
        <v>Auto Sales (New)</v>
      </c>
      <c r="D109" s="52" t="str">
        <f>ITE_LUC_Rates!C98</f>
        <v>1000 GSF</v>
      </c>
      <c r="E109" s="112">
        <f>ITE_LUC_Rates!G98</f>
        <v>27.84</v>
      </c>
      <c r="F109" s="53" t="s">
        <v>73</v>
      </c>
      <c r="G109" s="91">
        <f>ITE_LUC_Rates!Q98</f>
        <v>24316.7</v>
      </c>
      <c r="H109" s="55">
        <f>+FEE_1_In!H107</f>
        <v>14012.593042181881</v>
      </c>
      <c r="I109" s="91">
        <f>FEE_1_Out!$H107</f>
        <v>13628.668817865728</v>
      </c>
      <c r="J109" s="91">
        <f>FEE_2_In!$H107</f>
        <v>16666.657675904167</v>
      </c>
      <c r="K109" s="91">
        <f>FEE_2_Out!$H107</f>
        <v>14934.247250764756</v>
      </c>
      <c r="L109" s="91">
        <f>FEE_3_In!$H107</f>
        <v>16578.692927835244</v>
      </c>
      <c r="M109" s="91">
        <f>FEE_3_Out!$H107</f>
        <v>16077.590704762784</v>
      </c>
      <c r="N109" s="91">
        <f>FEE_4_In!$H107</f>
        <v>15562.44445236635</v>
      </c>
      <c r="O109" s="91">
        <f>FEE_4_Out!$H107</f>
        <v>17250.666445754017</v>
      </c>
      <c r="P109" s="122">
        <f t="shared" si="38"/>
        <v>-0.42374610690669867</v>
      </c>
      <c r="Q109" s="120">
        <f t="shared" si="38"/>
        <v>-0.43953460716850035</v>
      </c>
      <c r="R109" s="120">
        <f t="shared" si="39"/>
        <v>-0.38584399812619496</v>
      </c>
      <c r="S109" s="120">
        <f t="shared" si="40"/>
        <v>-0.31460034972244721</v>
      </c>
      <c r="T109" s="120">
        <f t="shared" si="41"/>
        <v>-0.33882514055102941</v>
      </c>
      <c r="U109" s="120">
        <f t="shared" si="42"/>
        <v>-0.31821781212766354</v>
      </c>
      <c r="V109" s="120">
        <f t="shared" si="43"/>
        <v>-0.29058357236985211</v>
      </c>
      <c r="W109" s="120">
        <f t="shared" si="44"/>
        <v>-0.36001001565317869</v>
      </c>
    </row>
    <row r="110" spans="2:23" x14ac:dyDescent="0.25">
      <c r="B110" s="51">
        <f>ITE_LUC_Rates!A99</f>
        <v>843</v>
      </c>
      <c r="C110" s="11" t="str">
        <f>ITE_LUC_Rates!B99</f>
        <v>Auto Parts Sales</v>
      </c>
      <c r="D110" s="52" t="str">
        <f>ITE_LUC_Rates!C99</f>
        <v>1000 GSF</v>
      </c>
      <c r="E110" s="112">
        <f>ITE_LUC_Rates!G99</f>
        <v>55.34</v>
      </c>
      <c r="F110" s="53" t="s">
        <v>73</v>
      </c>
      <c r="G110" s="91">
        <f>ITE_LUC_Rates!Q99</f>
        <v>15535</v>
      </c>
      <c r="H110" s="55">
        <f>+FEE_1_In!H108</f>
        <v>27854.055278532527</v>
      </c>
      <c r="I110" s="91">
        <f>FEE_1_Out!$H108</f>
        <v>27090.895559651202</v>
      </c>
      <c r="J110" s="91">
        <f>FEE_2_In!$H108</f>
        <v>33129.771400306636</v>
      </c>
      <c r="K110" s="91">
        <f>FEE_2_Out!$H108</f>
        <v>29686.107861254379</v>
      </c>
      <c r="L110" s="91">
        <f>FEE_3_In!$H108</f>
        <v>32954.916186293194</v>
      </c>
      <c r="M110" s="91">
        <f>FEE_3_Out!$H108</f>
        <v>31958.831523044999</v>
      </c>
      <c r="N110" s="91">
        <f>FEE_4_In!$H108</f>
        <v>30934.830315874784</v>
      </c>
      <c r="O110" s="91">
        <f>FEE_4_Out!$H108</f>
        <v>34290.656648995246</v>
      </c>
      <c r="P110" s="122">
        <f t="shared" si="38"/>
        <v>0.7929871437742213</v>
      </c>
      <c r="Q110" s="120">
        <f t="shared" si="38"/>
        <v>0.74386196071137456</v>
      </c>
      <c r="R110" s="120">
        <f t="shared" si="39"/>
        <v>0.91091778958830893</v>
      </c>
      <c r="S110" s="120">
        <f t="shared" si="40"/>
        <v>1.1325890827361853</v>
      </c>
      <c r="T110" s="120">
        <f t="shared" si="41"/>
        <v>1.0572147745764404</v>
      </c>
      <c r="U110" s="120">
        <f t="shared" si="42"/>
        <v>1.1213335169805725</v>
      </c>
      <c r="V110" s="120">
        <f t="shared" si="43"/>
        <v>1.207316166655632</v>
      </c>
      <c r="W110" s="120">
        <f t="shared" si="44"/>
        <v>0.99129902258608205</v>
      </c>
    </row>
    <row r="111" spans="2:23" x14ac:dyDescent="0.25">
      <c r="B111" s="51">
        <f>ITE_LUC_Rates!A100</f>
        <v>848</v>
      </c>
      <c r="C111" s="11" t="str">
        <f>ITE_LUC_Rates!B100</f>
        <v>Tire sales</v>
      </c>
      <c r="D111" s="52" t="str">
        <f>ITE_LUC_Rates!C100</f>
        <v>1000 GSF</v>
      </c>
      <c r="E111" s="112">
        <f>ITE_LUC_Rates!G100</f>
        <v>28.52</v>
      </c>
      <c r="F111" s="53" t="s">
        <v>73</v>
      </c>
      <c r="G111" s="91">
        <f>ITE_LUC_Rates!Q100</f>
        <v>24027.4</v>
      </c>
      <c r="H111" s="55">
        <f>+FEE_1_In!H109</f>
        <v>22618.228434258956</v>
      </c>
      <c r="I111" s="91">
        <f>FEE_1_Out!$H109</f>
        <v>21998.522589602791</v>
      </c>
      <c r="J111" s="91">
        <f>FEE_2_In!$H109</f>
        <v>26902.249242121601</v>
      </c>
      <c r="K111" s="91">
        <f>FEE_2_Out!$H109</f>
        <v>24105.903510839762</v>
      </c>
      <c r="L111" s="91">
        <f>FEE_3_In!$H109</f>
        <v>26760.262190903049</v>
      </c>
      <c r="M111" s="91">
        <f>FEE_3_Out!$H109</f>
        <v>25951.415140521356</v>
      </c>
      <c r="N111" s="91">
        <f>FEE_4_In!$H109</f>
        <v>25119.899119276743</v>
      </c>
      <c r="O111" s="91">
        <f>FEE_4_Out!$H109</f>
        <v>27844.918719805773</v>
      </c>
      <c r="P111" s="122">
        <f t="shared" si="38"/>
        <v>-5.8648524840017924E-2</v>
      </c>
      <c r="Q111" s="120">
        <f t="shared" si="38"/>
        <v>-8.4440156254826149E-2</v>
      </c>
      <c r="R111" s="120">
        <f t="shared" si="39"/>
        <v>3.2672495084677955E-3</v>
      </c>
      <c r="S111" s="120">
        <f t="shared" si="40"/>
        <v>0.11964878605765072</v>
      </c>
      <c r="T111" s="120">
        <f t="shared" si="41"/>
        <v>8.0075877561507136E-2</v>
      </c>
      <c r="U111" s="120">
        <f t="shared" si="42"/>
        <v>0.11373940546638628</v>
      </c>
      <c r="V111" s="120">
        <f t="shared" si="43"/>
        <v>0.15888188983434626</v>
      </c>
      <c r="W111" s="120">
        <f t="shared" si="44"/>
        <v>4.546888632464352E-2</v>
      </c>
    </row>
    <row r="112" spans="2:23" x14ac:dyDescent="0.25">
      <c r="B112" s="51">
        <f>ITE_LUC_Rates!A101</f>
        <v>850</v>
      </c>
      <c r="C112" s="11" t="str">
        <f>ITE_LUC_Rates!B101</f>
        <v>Supermarket (free standing)</v>
      </c>
      <c r="D112" s="52" t="str">
        <f>ITE_LUC_Rates!C101</f>
        <v>1000 GSF</v>
      </c>
      <c r="E112" s="112">
        <f>ITE_LUC_Rates!G101</f>
        <v>106.78</v>
      </c>
      <c r="F112" s="53" t="s">
        <v>73</v>
      </c>
      <c r="G112" s="91">
        <f>ITE_LUC_Rates!Q101</f>
        <v>19750</v>
      </c>
      <c r="H112" s="55">
        <f>+FEE_1_In!H110</f>
        <v>17336.565645714792</v>
      </c>
      <c r="I112" s="91">
        <f>FEE_1_Out!$H110</f>
        <v>16861.569512036967</v>
      </c>
      <c r="J112" s="91">
        <f>FEE_2_In!$H110</f>
        <v>20620.209551734613</v>
      </c>
      <c r="K112" s="91">
        <f>FEE_2_Out!$H110</f>
        <v>18476.848435748514</v>
      </c>
      <c r="L112" s="91">
        <f>FEE_3_In!$H110</f>
        <v>20511.378400725309</v>
      </c>
      <c r="M112" s="91">
        <f>FEE_3_Out!$H110</f>
        <v>19891.408095489314</v>
      </c>
      <c r="N112" s="91">
        <f>FEE_4_In!$H110</f>
        <v>19254.062331223533</v>
      </c>
      <c r="O112" s="91">
        <f>FEE_4_Out!$H110</f>
        <v>21342.752934368855</v>
      </c>
      <c r="P112" s="122">
        <f t="shared" si="38"/>
        <v>-0.12219920781190929</v>
      </c>
      <c r="Q112" s="120">
        <f t="shared" si="38"/>
        <v>-0.14624964496015358</v>
      </c>
      <c r="R112" s="120">
        <f t="shared" si="39"/>
        <v>-6.4463370341847348E-2</v>
      </c>
      <c r="S112" s="120">
        <f t="shared" si="40"/>
        <v>4.4061243125803173E-2</v>
      </c>
      <c r="T112" s="120">
        <f t="shared" si="41"/>
        <v>7.1599035690792512E-3</v>
      </c>
      <c r="U112" s="120">
        <f t="shared" si="42"/>
        <v>3.8550805100015628E-2</v>
      </c>
      <c r="V112" s="120">
        <f t="shared" si="43"/>
        <v>8.0645718195891281E-2</v>
      </c>
      <c r="W112" s="120">
        <f t="shared" si="44"/>
        <v>-2.5110768039314779E-2</v>
      </c>
    </row>
    <row r="113" spans="2:23" x14ac:dyDescent="0.25">
      <c r="B113" s="51">
        <f>ITE_LUC_Rates!A102</f>
        <v>851</v>
      </c>
      <c r="C113" s="11" t="str">
        <f>ITE_LUC_Rates!B102</f>
        <v>Convenience market</v>
      </c>
      <c r="D113" s="52" t="str">
        <f>ITE_LUC_Rates!C102</f>
        <v>1000 GSF</v>
      </c>
      <c r="E113" s="112">
        <f>ITE_LUC_Rates!G102</f>
        <v>762.28</v>
      </c>
      <c r="F113" s="53" t="s">
        <v>73</v>
      </c>
      <c r="G113" s="91">
        <f>ITE_LUC_Rates!Q102</f>
        <v>52868.6</v>
      </c>
      <c r="H113" s="55">
        <f>+FEE_1_In!H111</f>
        <v>156812.78844446765</v>
      </c>
      <c r="I113" s="91">
        <f>FEE_1_Out!$H111</f>
        <v>152516.35109092688</v>
      </c>
      <c r="J113" s="91">
        <f>FEE_2_In!$H111</f>
        <v>186514.02037727137</v>
      </c>
      <c r="K113" s="91">
        <f>FEE_2_Out!$H111</f>
        <v>167126.87991878588</v>
      </c>
      <c r="L113" s="91">
        <f>FEE_3_In!$H111</f>
        <v>185529.62031741245</v>
      </c>
      <c r="M113" s="91">
        <f>FEE_3_Out!$H111</f>
        <v>179921.86187761705</v>
      </c>
      <c r="N113" s="91">
        <f>FEE_4_In!$H111</f>
        <v>174156.9388507492</v>
      </c>
      <c r="O113" s="91">
        <f>FEE_4_Out!$H111</f>
        <v>193049.57331886445</v>
      </c>
      <c r="P113" s="122">
        <f t="shared" si="38"/>
        <v>1.9660855109548514</v>
      </c>
      <c r="Q113" s="120">
        <f t="shared" si="38"/>
        <v>1.8848191760501862</v>
      </c>
      <c r="R113" s="120">
        <f t="shared" si="39"/>
        <v>2.1611746843832802</v>
      </c>
      <c r="S113" s="120">
        <f t="shared" si="40"/>
        <v>2.5278789371625385</v>
      </c>
      <c r="T113" s="120">
        <f t="shared" si="41"/>
        <v>2.4031894522952575</v>
      </c>
      <c r="U113" s="120">
        <f t="shared" si="42"/>
        <v>2.5092591882026847</v>
      </c>
      <c r="V113" s="120">
        <f t="shared" si="43"/>
        <v>2.6514977381444651</v>
      </c>
      <c r="W113" s="120">
        <f t="shared" si="44"/>
        <v>2.2941469766695013</v>
      </c>
    </row>
    <row r="114" spans="2:23" x14ac:dyDescent="0.25">
      <c r="B114" s="51">
        <f>ITE_LUC_Rates!A103</f>
        <v>853</v>
      </c>
      <c r="C114" s="11" t="str">
        <f>ITE_LUC_Rates!B103</f>
        <v>Convenience market with Gasoline Pump</v>
      </c>
      <c r="D114" s="52" t="str">
        <f>ITE_LUC_Rates!C103</f>
        <v>1000 GSF</v>
      </c>
      <c r="E114" s="112">
        <f>ITE_LUC_Rates!G103</f>
        <v>624.20000000000005</v>
      </c>
      <c r="F114" s="53" t="s">
        <v>73</v>
      </c>
      <c r="G114" s="91">
        <f>ITE_LUC_Rates!Q103</f>
        <v>60577.2</v>
      </c>
      <c r="H114" s="55">
        <f>+FEE_1_In!H112</f>
        <v>128407.59635178246</v>
      </c>
      <c r="I114" s="91">
        <f>FEE_1_Out!$H112</f>
        <v>124889.41904674997</v>
      </c>
      <c r="J114" s="91">
        <f>FEE_2_In!$H112</f>
        <v>152728.72372290082</v>
      </c>
      <c r="K114" s="91">
        <f>FEE_2_Out!$H112</f>
        <v>136853.38516726947</v>
      </c>
      <c r="L114" s="91">
        <f>FEE_3_In!$H112</f>
        <v>151922.63866575123</v>
      </c>
      <c r="M114" s="91">
        <f>FEE_3_Out!$H112</f>
        <v>147330.67400956151</v>
      </c>
      <c r="N114" s="91">
        <f>FEE_4_In!$H112</f>
        <v>142610.01368347279</v>
      </c>
      <c r="O114" s="91">
        <f>FEE_4_Out!$H112</f>
        <v>158080.42145358029</v>
      </c>
      <c r="P114" s="122">
        <f t="shared" si="38"/>
        <v>1.1197347574959302</v>
      </c>
      <c r="Q114" s="120">
        <f t="shared" si="38"/>
        <v>1.0616571754183086</v>
      </c>
      <c r="R114" s="120">
        <f t="shared" si="39"/>
        <v>1.2591566656641358</v>
      </c>
      <c r="S114" s="120">
        <f t="shared" si="40"/>
        <v>1.5212245485578868</v>
      </c>
      <c r="T114" s="120">
        <f t="shared" si="41"/>
        <v>1.4321142939845606</v>
      </c>
      <c r="U114" s="120">
        <f t="shared" si="42"/>
        <v>1.5079178084452773</v>
      </c>
      <c r="V114" s="120">
        <f t="shared" si="43"/>
        <v>1.6095696310423775</v>
      </c>
      <c r="W114" s="120">
        <f t="shared" si="44"/>
        <v>1.3541862892882603</v>
      </c>
    </row>
    <row r="115" spans="2:23" x14ac:dyDescent="0.25">
      <c r="B115" s="116">
        <f>ITE_LUC_Rates!A104</f>
        <v>857</v>
      </c>
      <c r="C115" s="117" t="str">
        <f>ITE_LUC_Rates!B104</f>
        <v>Discount Club</v>
      </c>
      <c r="D115" s="203" t="str">
        <f>ITE_LUC_Rates!C104</f>
        <v>1000 GSF</v>
      </c>
      <c r="E115" s="204">
        <f>ITE_LUC_Rates!G104</f>
        <v>41.8</v>
      </c>
      <c r="F115" s="118" t="s">
        <v>73</v>
      </c>
      <c r="G115" s="119">
        <f>ITE_LUC_Rates!Q104</f>
        <v>0</v>
      </c>
      <c r="H115" s="55">
        <f>+FEE_1_In!H113</f>
        <v>33150.138448528211</v>
      </c>
      <c r="I115" s="91">
        <f>FEE_1_Out!$H113</f>
        <v>32241.873921647843</v>
      </c>
      <c r="J115" s="91">
        <f>FEE_2_In!$H113</f>
        <v>39428.962774217485</v>
      </c>
      <c r="K115" s="91">
        <f>FEE_2_Out!$H113</f>
        <v>35330.531793587033</v>
      </c>
      <c r="L115" s="91">
        <f>FEE_3_In!$H113</f>
        <v>39220.861135334766</v>
      </c>
      <c r="M115" s="91">
        <f>FEE_3_Out!$H113</f>
        <v>38035.384041858088</v>
      </c>
      <c r="N115" s="91">
        <f>FEE_4_In!$H113</f>
        <v>36816.682439893688</v>
      </c>
      <c r="O115" s="91">
        <f>FEE_4_Out!$H113</f>
        <v>40810.575122295988</v>
      </c>
      <c r="P115" s="122">
        <f t="shared" si="38"/>
        <v>0</v>
      </c>
      <c r="Q115" s="120">
        <f t="shared" si="38"/>
        <v>0</v>
      </c>
      <c r="R115" s="120">
        <f t="shared" si="39"/>
        <v>0</v>
      </c>
      <c r="S115" s="120">
        <f t="shared" si="40"/>
        <v>0</v>
      </c>
      <c r="T115" s="120">
        <f t="shared" si="41"/>
        <v>0</v>
      </c>
      <c r="U115" s="120">
        <f t="shared" si="42"/>
        <v>0</v>
      </c>
      <c r="V115" s="120">
        <f t="shared" si="43"/>
        <v>0</v>
      </c>
      <c r="W115" s="120">
        <f t="shared" si="44"/>
        <v>0</v>
      </c>
    </row>
    <row r="116" spans="2:23" x14ac:dyDescent="0.25">
      <c r="B116" s="116">
        <f>ITE_LUC_Rates!A105</f>
        <v>861</v>
      </c>
      <c r="C116" s="117" t="str">
        <f>ITE_LUC_Rates!B105</f>
        <v>Sporting Goods Superstore</v>
      </c>
      <c r="D116" s="203" t="str">
        <f>ITE_LUC_Rates!C105</f>
        <v>1000 GSF</v>
      </c>
      <c r="E116" s="204">
        <f>ITE_LUC_Rates!G105</f>
        <v>28.75</v>
      </c>
      <c r="F116" s="118" t="s">
        <v>73</v>
      </c>
      <c r="G116" s="119">
        <f>ITE_LUC_Rates!Q105</f>
        <v>0</v>
      </c>
      <c r="H116" s="55">
        <f>+FEE_1_In!H114</f>
        <v>22800.633502277175</v>
      </c>
      <c r="I116" s="91">
        <f>FEE_1_Out!$H114</f>
        <v>22175.930029841522</v>
      </c>
      <c r="J116" s="91">
        <f>FEE_2_In!$H114</f>
        <v>27119.202865041938</v>
      </c>
      <c r="K116" s="91">
        <f>FEE_2_Out!$H114</f>
        <v>24300.30595850783</v>
      </c>
      <c r="L116" s="91">
        <f>FEE_3_In!$H114</f>
        <v>26976.070756958721</v>
      </c>
      <c r="M116" s="91">
        <f>FEE_3_Out!$H114</f>
        <v>26160.700746493305</v>
      </c>
      <c r="N116" s="91">
        <f>FEE_4_In!$H114</f>
        <v>25322.478950883818</v>
      </c>
      <c r="O116" s="91">
        <f>FEE_4_Out!$H114</f>
        <v>28069.474515933241</v>
      </c>
      <c r="P116" s="122">
        <f t="shared" si="38"/>
        <v>0</v>
      </c>
      <c r="Q116" s="120">
        <f t="shared" si="38"/>
        <v>0</v>
      </c>
      <c r="R116" s="120">
        <f t="shared" si="39"/>
        <v>0</v>
      </c>
      <c r="S116" s="120">
        <f t="shared" si="40"/>
        <v>0</v>
      </c>
      <c r="T116" s="120">
        <f t="shared" si="41"/>
        <v>0</v>
      </c>
      <c r="U116" s="120">
        <f t="shared" si="42"/>
        <v>0</v>
      </c>
      <c r="V116" s="120">
        <f t="shared" si="43"/>
        <v>0</v>
      </c>
      <c r="W116" s="120">
        <f t="shared" si="44"/>
        <v>0</v>
      </c>
    </row>
    <row r="117" spans="2:23" x14ac:dyDescent="0.25">
      <c r="B117" s="51">
        <f>ITE_LUC_Rates!A106</f>
        <v>862</v>
      </c>
      <c r="C117" s="11" t="str">
        <f>ITE_LUC_Rates!B106</f>
        <v>Home Improvements Superstore</v>
      </c>
      <c r="D117" s="52" t="str">
        <f>ITE_LUC_Rates!C106</f>
        <v>1000 GSF</v>
      </c>
      <c r="E117" s="112">
        <f>ITE_LUC_Rates!G106</f>
        <v>30.74</v>
      </c>
      <c r="F117" s="53" t="s">
        <v>73</v>
      </c>
      <c r="G117" s="91">
        <f>ITE_LUC_Rates!Q106</f>
        <v>22273</v>
      </c>
      <c r="H117" s="55">
        <f>+FEE_1_In!H115</f>
        <v>24378.833873391311</v>
      </c>
      <c r="I117" s="91">
        <f>FEE_1_Out!$H115</f>
        <v>23710.890056254902</v>
      </c>
      <c r="J117" s="91">
        <f>FEE_2_In!$H115</f>
        <v>28996.32334161353</v>
      </c>
      <c r="K117" s="91">
        <f>FEE_2_Out!$H115</f>
        <v>25982.309744853243</v>
      </c>
      <c r="L117" s="91">
        <f>FEE_3_In!$H115</f>
        <v>28843.284002396907</v>
      </c>
      <c r="M117" s="91">
        <f>FEE_3_Out!$H115</f>
        <v>27971.476206859272</v>
      </c>
      <c r="N117" s="91">
        <f>FEE_4_In!$H115</f>
        <v>27075.234885223257</v>
      </c>
      <c r="O117" s="91">
        <f>FEE_4_Out!$H115</f>
        <v>30012.37031721001</v>
      </c>
      <c r="P117" s="122">
        <f t="shared" si="38"/>
        <v>9.4546485583051787E-2</v>
      </c>
      <c r="Q117" s="120">
        <f t="shared" si="38"/>
        <v>6.4557538555870542E-2</v>
      </c>
      <c r="R117" s="120">
        <f t="shared" si="39"/>
        <v>0.16653839827832995</v>
      </c>
      <c r="S117" s="120">
        <f t="shared" si="40"/>
        <v>0.30185980072794538</v>
      </c>
      <c r="T117" s="120">
        <f t="shared" si="41"/>
        <v>0.25584681932650621</v>
      </c>
      <c r="U117" s="120">
        <f t="shared" si="42"/>
        <v>0.29498873085785071</v>
      </c>
      <c r="V117" s="120">
        <f t="shared" si="43"/>
        <v>0.34747767778072158</v>
      </c>
      <c r="W117" s="120">
        <f t="shared" si="44"/>
        <v>0.21560790577036126</v>
      </c>
    </row>
    <row r="118" spans="2:23" x14ac:dyDescent="0.25">
      <c r="B118" s="116">
        <f>ITE_LUC_Rates!A107</f>
        <v>863</v>
      </c>
      <c r="C118" s="117" t="str">
        <f>ITE_LUC_Rates!B107</f>
        <v>Electronics Superstore</v>
      </c>
      <c r="D118" s="203" t="str">
        <f>ITE_LUC_Rates!C107</f>
        <v>1000 GSF</v>
      </c>
      <c r="E118" s="204">
        <f>ITE_LUC_Rates!G107</f>
        <v>41.05</v>
      </c>
      <c r="F118" s="118" t="s">
        <v>73</v>
      </c>
      <c r="G118" s="119">
        <f>ITE_LUC_Rates!Q107</f>
        <v>0</v>
      </c>
      <c r="H118" s="55">
        <f>+FEE_1_In!H116</f>
        <v>32555.339313686196</v>
      </c>
      <c r="I118" s="91">
        <f>FEE_1_Out!$H116</f>
        <v>31663.371399130239</v>
      </c>
      <c r="J118" s="91">
        <f>FEE_2_In!$H116</f>
        <v>38721.505308172913</v>
      </c>
      <c r="K118" s="91">
        <f>FEE_2_Out!$H116</f>
        <v>34696.610768582475</v>
      </c>
      <c r="L118" s="91">
        <f>FEE_3_In!$H116</f>
        <v>38517.137550370615</v>
      </c>
      <c r="M118" s="91">
        <f>FEE_3_Out!$H116</f>
        <v>37352.930978906094</v>
      </c>
      <c r="N118" s="91">
        <f>FEE_4_In!$H116</f>
        <v>36156.09603247932</v>
      </c>
      <c r="O118" s="91">
        <f>FEE_4_Out!$H116</f>
        <v>40078.327961010771</v>
      </c>
      <c r="P118" s="122">
        <f t="shared" si="38"/>
        <v>0</v>
      </c>
      <c r="Q118" s="120">
        <f t="shared" si="38"/>
        <v>0</v>
      </c>
      <c r="R118" s="120">
        <f t="shared" si="39"/>
        <v>0</v>
      </c>
      <c r="S118" s="120">
        <f t="shared" si="40"/>
        <v>0</v>
      </c>
      <c r="T118" s="120">
        <f t="shared" si="41"/>
        <v>0</v>
      </c>
      <c r="U118" s="120">
        <f t="shared" si="42"/>
        <v>0</v>
      </c>
      <c r="V118" s="120">
        <f t="shared" si="43"/>
        <v>0</v>
      </c>
      <c r="W118" s="120">
        <f t="shared" si="44"/>
        <v>0</v>
      </c>
    </row>
    <row r="119" spans="2:23" x14ac:dyDescent="0.25">
      <c r="B119" s="116">
        <f>ITE_LUC_Rates!A108</f>
        <v>868</v>
      </c>
      <c r="C119" s="117" t="str">
        <f>ITE_LUC_Rates!B108</f>
        <v>Book Superstore</v>
      </c>
      <c r="D119" s="203" t="str">
        <f>ITE_LUC_Rates!C108</f>
        <v>1000 GSF</v>
      </c>
      <c r="E119" s="204">
        <f>ITE_LUC_Rates!G108</f>
        <v>143.6</v>
      </c>
      <c r="F119" s="118" t="s">
        <v>73</v>
      </c>
      <c r="G119" s="119">
        <f>ITE_LUC_Rates!Q108</f>
        <v>0</v>
      </c>
      <c r="H119" s="55">
        <f>+FEE_1_In!H117</f>
        <v>113884.20768441747</v>
      </c>
      <c r="I119" s="91">
        <f>FEE_1_Out!$H117</f>
        <v>110763.94964470407</v>
      </c>
      <c r="J119" s="91">
        <f>FEE_2_In!$H117</f>
        <v>135454.52283200074</v>
      </c>
      <c r="K119" s="91">
        <f>FEE_2_Out!$H117</f>
        <v>121374.74558753821</v>
      </c>
      <c r="L119" s="91">
        <f>FEE_3_In!$H117</f>
        <v>134739.60906780077</v>
      </c>
      <c r="M119" s="91">
        <f>FEE_3_Out!$H117</f>
        <v>130667.01311987611</v>
      </c>
      <c r="N119" s="91">
        <f>FEE_4_In!$H117</f>
        <v>126480.2774729362</v>
      </c>
      <c r="O119" s="91">
        <f>FEE_4_Out!$H117</f>
        <v>140200.92314740914</v>
      </c>
      <c r="P119" s="122">
        <f t="shared" si="38"/>
        <v>0</v>
      </c>
      <c r="Q119" s="120">
        <f t="shared" si="38"/>
        <v>0</v>
      </c>
      <c r="R119" s="120">
        <f t="shared" si="39"/>
        <v>0</v>
      </c>
      <c r="S119" s="120">
        <f t="shared" si="40"/>
        <v>0</v>
      </c>
      <c r="T119" s="120">
        <f t="shared" si="41"/>
        <v>0</v>
      </c>
      <c r="U119" s="120">
        <f t="shared" si="42"/>
        <v>0</v>
      </c>
      <c r="V119" s="120">
        <f t="shared" si="43"/>
        <v>0</v>
      </c>
      <c r="W119" s="120">
        <f t="shared" si="44"/>
        <v>0</v>
      </c>
    </row>
    <row r="120" spans="2:23" x14ac:dyDescent="0.25">
      <c r="B120" s="116">
        <f>ITE_LUC_Rates!A109</f>
        <v>869</v>
      </c>
      <c r="C120" s="117" t="str">
        <f>ITE_LUC_Rates!B109</f>
        <v>Discount Home Furnishing Superstore</v>
      </c>
      <c r="D120" s="203" t="str">
        <f>ITE_LUC_Rates!C109</f>
        <v>1000 GSF</v>
      </c>
      <c r="E120" s="204">
        <f>ITE_LUC_Rates!G109</f>
        <v>20</v>
      </c>
      <c r="F120" s="118" t="s">
        <v>73</v>
      </c>
      <c r="G120" s="119">
        <f>ITE_LUC_Rates!Q109</f>
        <v>0</v>
      </c>
      <c r="H120" s="55">
        <f>+FEE_1_In!H118</f>
        <v>15861.31026245369</v>
      </c>
      <c r="I120" s="91">
        <f>FEE_1_Out!$H118</f>
        <v>15426.7339338028</v>
      </c>
      <c r="J120" s="91">
        <f>FEE_2_In!$H118</f>
        <v>18865.532427855262</v>
      </c>
      <c r="K120" s="91">
        <f>FEE_2_Out!$H118</f>
        <v>16904.560666788053</v>
      </c>
      <c r="L120" s="91">
        <f>FEE_3_In!$H118</f>
        <v>18765.962265710416</v>
      </c>
      <c r="M120" s="91">
        <f>FEE_3_Out!$H118</f>
        <v>18198.748345386652</v>
      </c>
      <c r="N120" s="91">
        <f>FEE_4_In!$H118</f>
        <v>17615.637531049611</v>
      </c>
      <c r="O120" s="91">
        <f>FEE_4_Out!$H118</f>
        <v>19526.590967605734</v>
      </c>
      <c r="P120" s="122">
        <f t="shared" si="38"/>
        <v>0</v>
      </c>
      <c r="Q120" s="120">
        <f t="shared" si="38"/>
        <v>0</v>
      </c>
      <c r="R120" s="120">
        <f t="shared" si="39"/>
        <v>0</v>
      </c>
      <c r="S120" s="120">
        <f t="shared" si="40"/>
        <v>0</v>
      </c>
      <c r="T120" s="120">
        <f t="shared" si="41"/>
        <v>0</v>
      </c>
      <c r="U120" s="120">
        <f t="shared" si="42"/>
        <v>0</v>
      </c>
      <c r="V120" s="120">
        <f t="shared" si="43"/>
        <v>0</v>
      </c>
      <c r="W120" s="120">
        <f t="shared" si="44"/>
        <v>0</v>
      </c>
    </row>
    <row r="121" spans="2:23" x14ac:dyDescent="0.25">
      <c r="B121" s="51">
        <f>ITE_LUC_Rates!A110</f>
        <v>875</v>
      </c>
      <c r="C121" s="11" t="str">
        <f>ITE_LUC_Rates!B110</f>
        <v>Department Store (free standing)</v>
      </c>
      <c r="D121" s="52" t="str">
        <f>ITE_LUC_Rates!C110</f>
        <v>1000 GSF</v>
      </c>
      <c r="E121" s="112">
        <f>ITE_LUC_Rates!G110</f>
        <v>22.88</v>
      </c>
      <c r="F121" s="53" t="s">
        <v>73</v>
      </c>
      <c r="G121" s="91">
        <f>ITE_LUC_Rates!Q110</f>
        <v>9283</v>
      </c>
      <c r="H121" s="55">
        <f>+FEE_1_In!H119</f>
        <v>18145.338940247017</v>
      </c>
      <c r="I121" s="91">
        <f>FEE_1_Out!$H119</f>
        <v>17648.1836202704</v>
      </c>
      <c r="J121" s="91">
        <f>FEE_2_In!$H119</f>
        <v>21582.169097466416</v>
      </c>
      <c r="K121" s="91">
        <f>FEE_2_Out!$H119</f>
        <v>19338.817402805533</v>
      </c>
      <c r="L121" s="91">
        <f>FEE_3_In!$H119</f>
        <v>21468.260831972711</v>
      </c>
      <c r="M121" s="91">
        <f>FEE_3_Out!$H119</f>
        <v>20819.368107122325</v>
      </c>
      <c r="N121" s="91">
        <f>FEE_4_In!$H119</f>
        <v>20152.289335520756</v>
      </c>
      <c r="O121" s="91">
        <f>FEE_4_Out!$H119</f>
        <v>22338.420066940958</v>
      </c>
      <c r="P121" s="122">
        <f t="shared" si="38"/>
        <v>0.95468479373553983</v>
      </c>
      <c r="Q121" s="120">
        <f t="shared" si="38"/>
        <v>0.90112933537330608</v>
      </c>
      <c r="R121" s="120">
        <f t="shared" si="39"/>
        <v>1.0832508243892636</v>
      </c>
      <c r="S121" s="120">
        <f t="shared" si="40"/>
        <v>1.3249131851197258</v>
      </c>
      <c r="T121" s="120">
        <f t="shared" si="41"/>
        <v>1.2427413667049794</v>
      </c>
      <c r="U121" s="120">
        <f t="shared" si="42"/>
        <v>1.3126425543437157</v>
      </c>
      <c r="V121" s="120">
        <f t="shared" si="43"/>
        <v>1.4063794104213034</v>
      </c>
      <c r="W121" s="120">
        <f t="shared" si="44"/>
        <v>1.1708811090725795</v>
      </c>
    </row>
    <row r="122" spans="2:23" x14ac:dyDescent="0.25">
      <c r="B122" s="116">
        <f>ITE_LUC_Rates!A111</f>
        <v>876</v>
      </c>
      <c r="C122" s="117" t="str">
        <f>ITE_LUC_Rates!B111</f>
        <v>Apparel Store</v>
      </c>
      <c r="D122" s="203" t="str">
        <f>ITE_LUC_Rates!C111</f>
        <v>1000 GSF</v>
      </c>
      <c r="E122" s="204">
        <f>ITE_LUC_Rates!G111</f>
        <v>66.400000000000006</v>
      </c>
      <c r="F122" s="118" t="s">
        <v>73</v>
      </c>
      <c r="G122" s="119">
        <f>ITE_LUC_Rates!Q111</f>
        <v>0</v>
      </c>
      <c r="H122" s="55">
        <f>+FEE_1_In!H120</f>
        <v>52659.550071346253</v>
      </c>
      <c r="I122" s="91">
        <f>FEE_1_Out!$H120</f>
        <v>51216.756660225285</v>
      </c>
      <c r="J122" s="91">
        <f>FEE_2_In!$H120</f>
        <v>62633.567660479457</v>
      </c>
      <c r="K122" s="91">
        <f>FEE_2_Out!$H120</f>
        <v>56123.141413736346</v>
      </c>
      <c r="L122" s="91">
        <f>FEE_3_In!$H120</f>
        <v>62302.994722158583</v>
      </c>
      <c r="M122" s="91">
        <f>FEE_3_Out!$H120</f>
        <v>60419.844506683672</v>
      </c>
      <c r="N122" s="91">
        <f>FEE_4_In!$H120</f>
        <v>58483.916603084719</v>
      </c>
      <c r="O122" s="91">
        <f>FEE_4_Out!$H120</f>
        <v>64828.282012451033</v>
      </c>
      <c r="P122" s="122">
        <f t="shared" si="38"/>
        <v>0</v>
      </c>
      <c r="Q122" s="120">
        <f t="shared" si="38"/>
        <v>0</v>
      </c>
      <c r="R122" s="120">
        <f t="shared" si="39"/>
        <v>0</v>
      </c>
      <c r="S122" s="120">
        <f t="shared" si="40"/>
        <v>0</v>
      </c>
      <c r="T122" s="120">
        <f t="shared" si="41"/>
        <v>0</v>
      </c>
      <c r="U122" s="120">
        <f t="shared" si="42"/>
        <v>0</v>
      </c>
      <c r="V122" s="120">
        <f t="shared" si="43"/>
        <v>0</v>
      </c>
      <c r="W122" s="120">
        <f t="shared" si="44"/>
        <v>0</v>
      </c>
    </row>
    <row r="123" spans="2:23" x14ac:dyDescent="0.25">
      <c r="B123" s="116">
        <f>ITE_LUC_Rates!A112</f>
        <v>879</v>
      </c>
      <c r="C123" s="117" t="str">
        <f>ITE_LUC_Rates!B112</f>
        <v>Arts &amp; Crafts Store</v>
      </c>
      <c r="D123" s="203" t="str">
        <f>ITE_LUC_Rates!C112</f>
        <v>1000 GSF</v>
      </c>
      <c r="E123" s="204">
        <f>ITE_LUC_Rates!G112</f>
        <v>56.55</v>
      </c>
      <c r="F123" s="118" t="s">
        <v>73</v>
      </c>
      <c r="G123" s="119">
        <f>ITE_LUC_Rates!Q112</f>
        <v>0</v>
      </c>
      <c r="H123" s="55">
        <f>+FEE_1_In!H121</f>
        <v>44847.854767087796</v>
      </c>
      <c r="I123" s="91">
        <f>FEE_1_Out!$H121</f>
        <v>43619.090197827412</v>
      </c>
      <c r="J123" s="91">
        <f>FEE_2_In!$H121</f>
        <v>53342.292939760751</v>
      </c>
      <c r="K123" s="91">
        <f>FEE_2_Out!$H121</f>
        <v>47797.645285343213</v>
      </c>
      <c r="L123" s="91">
        <f>FEE_3_In!$H121</f>
        <v>53060.758306296193</v>
      </c>
      <c r="M123" s="91">
        <f>FEE_3_Out!$H121</f>
        <v>51456.960946580744</v>
      </c>
      <c r="N123" s="91">
        <f>FEE_4_In!$H121</f>
        <v>49808.215119042783</v>
      </c>
      <c r="O123" s="91">
        <f>FEE_4_Out!$H121</f>
        <v>55211.435960905212</v>
      </c>
      <c r="P123" s="122">
        <f t="shared" si="38"/>
        <v>0</v>
      </c>
      <c r="Q123" s="120">
        <f t="shared" si="38"/>
        <v>0</v>
      </c>
      <c r="R123" s="120">
        <f t="shared" si="39"/>
        <v>0</v>
      </c>
      <c r="S123" s="120">
        <f t="shared" si="40"/>
        <v>0</v>
      </c>
      <c r="T123" s="120">
        <f t="shared" si="41"/>
        <v>0</v>
      </c>
      <c r="U123" s="120">
        <f t="shared" si="42"/>
        <v>0</v>
      </c>
      <c r="V123" s="120">
        <f t="shared" si="43"/>
        <v>0</v>
      </c>
      <c r="W123" s="120">
        <f t="shared" si="44"/>
        <v>0</v>
      </c>
    </row>
    <row r="124" spans="2:23" x14ac:dyDescent="0.25">
      <c r="B124" s="51">
        <f>ITE_LUC_Rates!A113</f>
        <v>880</v>
      </c>
      <c r="C124" s="11" t="str">
        <f>ITE_LUC_Rates!B113</f>
        <v>Pharmacy/Drugstore w/o Drive-Thru</v>
      </c>
      <c r="D124" s="52" t="str">
        <f>ITE_LUC_Rates!C113</f>
        <v>1000 GSF</v>
      </c>
      <c r="E124" s="112">
        <f>ITE_LUC_Rates!G113</f>
        <v>90.08</v>
      </c>
      <c r="F124" s="53" t="s">
        <v>73</v>
      </c>
      <c r="G124" s="91">
        <f>ITE_LUC_Rates!Q113</f>
        <v>11136.5</v>
      </c>
      <c r="H124" s="55">
        <f>+FEE_1_In!H122</f>
        <v>8461.7173161537103</v>
      </c>
      <c r="I124" s="91">
        <f>FEE_1_Out!$H122</f>
        <v>8229.8788372078398</v>
      </c>
      <c r="J124" s="91">
        <f>FEE_2_In!$H122</f>
        <v>10064.414590081111</v>
      </c>
      <c r="K124" s="91">
        <f>FEE_2_Out!$H122</f>
        <v>9018.2722202171572</v>
      </c>
      <c r="L124" s="91">
        <f>FEE_3_In!$H122</f>
        <v>10011.295739793713</v>
      </c>
      <c r="M124" s="91">
        <f>FEE_3_Out!$H122</f>
        <v>9708.697545057652</v>
      </c>
      <c r="N124" s="91">
        <f>FEE_4_In!$H122</f>
        <v>9397.6186497288054</v>
      </c>
      <c r="O124" s="91">
        <f>FEE_4_Out!$H122</f>
        <v>10417.077163364171</v>
      </c>
      <c r="P124" s="122">
        <f t="shared" si="38"/>
        <v>-0.24018162652954611</v>
      </c>
      <c r="Q124" s="120">
        <f t="shared" si="38"/>
        <v>-0.26099952074638888</v>
      </c>
      <c r="R124" s="120">
        <f t="shared" si="39"/>
        <v>-0.19020587974523795</v>
      </c>
      <c r="S124" s="120">
        <f t="shared" si="40"/>
        <v>-9.626771516355126E-2</v>
      </c>
      <c r="T124" s="120">
        <f t="shared" si="41"/>
        <v>-0.12820926277936051</v>
      </c>
      <c r="U124" s="120">
        <f t="shared" si="42"/>
        <v>-0.10103751270204164</v>
      </c>
      <c r="V124" s="120">
        <f t="shared" si="43"/>
        <v>-6.4600443284320019E-2</v>
      </c>
      <c r="W124" s="120">
        <f t="shared" si="44"/>
        <v>-0.1561425358300359</v>
      </c>
    </row>
    <row r="125" spans="2:23" x14ac:dyDescent="0.25">
      <c r="B125" s="51">
        <f>ITE_LUC_Rates!A114</f>
        <v>881</v>
      </c>
      <c r="C125" s="11" t="str">
        <f>ITE_LUC_Rates!B114</f>
        <v>Pharmacy/Drugstore w/ Drive-Thru</v>
      </c>
      <c r="D125" s="52" t="str">
        <f>ITE_LUC_Rates!C114</f>
        <v>1000 GSF</v>
      </c>
      <c r="E125" s="112">
        <f>ITE_LUC_Rates!G114</f>
        <v>109.16</v>
      </c>
      <c r="F125" s="53" t="s">
        <v>73</v>
      </c>
      <c r="G125" s="91">
        <f>ITE_LUC_Rates!Q114</f>
        <v>11984.3</v>
      </c>
      <c r="H125" s="55">
        <f>+FEE_1_In!H123</f>
        <v>10254.008239690709</v>
      </c>
      <c r="I125" s="91">
        <f>FEE_1_Out!$H123</f>
        <v>9973.0636530817937</v>
      </c>
      <c r="J125" s="91">
        <f>FEE_2_In!$H123</f>
        <v>12196.175584516586</v>
      </c>
      <c r="K125" s="91">
        <f>FEE_2_Out!$H123</f>
        <v>10928.447996879491</v>
      </c>
      <c r="L125" s="91">
        <f>FEE_3_In!$H123</f>
        <v>12131.80553903066</v>
      </c>
      <c r="M125" s="91">
        <f>FEE_3_Out!$H123</f>
        <v>11765.113499317198</v>
      </c>
      <c r="N125" s="91">
        <f>FEE_4_In!$H123</f>
        <v>11388.144447206889</v>
      </c>
      <c r="O125" s="91">
        <f>FEE_4_Out!$H123</f>
        <v>12623.536225053649</v>
      </c>
      <c r="P125" s="122">
        <f t="shared" si="38"/>
        <v>-0.14437987703155719</v>
      </c>
      <c r="Q125" s="120">
        <f t="shared" si="38"/>
        <v>-0.16782259680734002</v>
      </c>
      <c r="R125" s="120">
        <f t="shared" si="39"/>
        <v>-8.8102934933246724E-2</v>
      </c>
      <c r="S125" s="120">
        <f t="shared" si="40"/>
        <v>1.7679429296378446E-2</v>
      </c>
      <c r="T125" s="120">
        <f t="shared" si="41"/>
        <v>-1.8289470447402145E-2</v>
      </c>
      <c r="U125" s="120">
        <f t="shared" si="42"/>
        <v>1.2308231522129898E-2</v>
      </c>
      <c r="V125" s="120">
        <f t="shared" si="43"/>
        <v>5.3339471229329138E-2</v>
      </c>
      <c r="W125" s="120">
        <f t="shared" si="44"/>
        <v>-4.9744712064376806E-2</v>
      </c>
    </row>
    <row r="126" spans="2:23" x14ac:dyDescent="0.25">
      <c r="B126" s="116">
        <f>ITE_LUC_Rates!A115</f>
        <v>882</v>
      </c>
      <c r="C126" s="117" t="str">
        <f>ITE_LUC_Rates!B115</f>
        <v>Marijuana Dispensary</v>
      </c>
      <c r="D126" s="203" t="str">
        <f>ITE_LUC_Rates!C115</f>
        <v>1000 GSF</v>
      </c>
      <c r="E126" s="204">
        <f>ITE_LUC_Rates!G115</f>
        <v>252.7</v>
      </c>
      <c r="F126" s="118" t="s">
        <v>73</v>
      </c>
      <c r="G126" s="119">
        <f>ITE_LUC_Rates!Q115</f>
        <v>0</v>
      </c>
      <c r="H126" s="55">
        <f>+FEE_1_In!H124</f>
        <v>200407.65516610234</v>
      </c>
      <c r="I126" s="91">
        <f>FEE_1_Out!$H124</f>
        <v>194916.78325359832</v>
      </c>
      <c r="J126" s="91">
        <f>FEE_2_In!$H124</f>
        <v>238366.00222595115</v>
      </c>
      <c r="K126" s="91">
        <f>FEE_2_Out!$H124</f>
        <v>213589.12402486702</v>
      </c>
      <c r="L126" s="91">
        <f>FEE_3_In!$H124</f>
        <v>237107.93322725108</v>
      </c>
      <c r="M126" s="91">
        <f>FEE_3_Out!$H124</f>
        <v>229941.1853439603</v>
      </c>
      <c r="N126" s="91">
        <f>FEE_4_In!$H124</f>
        <v>222573.58020481179</v>
      </c>
      <c r="O126" s="91">
        <f>FEE_4_Out!$H124</f>
        <v>246718.47687569843</v>
      </c>
      <c r="P126" s="122">
        <f t="shared" si="38"/>
        <v>0</v>
      </c>
      <c r="Q126" s="120">
        <f t="shared" si="38"/>
        <v>0</v>
      </c>
      <c r="R126" s="120">
        <f t="shared" si="39"/>
        <v>0</v>
      </c>
      <c r="S126" s="120">
        <f t="shared" si="40"/>
        <v>0</v>
      </c>
      <c r="T126" s="120">
        <f t="shared" si="41"/>
        <v>0</v>
      </c>
      <c r="U126" s="120">
        <f t="shared" si="42"/>
        <v>0</v>
      </c>
      <c r="V126" s="120">
        <f t="shared" si="43"/>
        <v>0</v>
      </c>
      <c r="W126" s="120">
        <f t="shared" si="44"/>
        <v>0</v>
      </c>
    </row>
    <row r="127" spans="2:23" x14ac:dyDescent="0.25">
      <c r="B127" s="51">
        <f>ITE_LUC_Rates!A116</f>
        <v>890</v>
      </c>
      <c r="C127" s="11" t="str">
        <f>ITE_LUC_Rates!B116</f>
        <v>Furniture Store (free standing)</v>
      </c>
      <c r="D127" s="52" t="str">
        <f>ITE_LUC_Rates!C116</f>
        <v>1000 GSF</v>
      </c>
      <c r="E127" s="112">
        <f>ITE_LUC_Rates!G116</f>
        <v>6.3</v>
      </c>
      <c r="F127" s="53" t="s">
        <v>73</v>
      </c>
      <c r="G127" s="91">
        <f>ITE_LUC_Rates!Q116</f>
        <v>1656.8</v>
      </c>
      <c r="H127" s="55">
        <f>+FEE_1_In!H125</f>
        <v>2898.5374672254902</v>
      </c>
      <c r="I127" s="91">
        <f>FEE_1_Out!$H125</f>
        <v>2819.1218483314024</v>
      </c>
      <c r="J127" s="91">
        <f>FEE_2_In!$H125</f>
        <v>3447.5369106635676</v>
      </c>
      <c r="K127" s="91">
        <f>FEE_2_Out!$H125</f>
        <v>3089.1837842463083</v>
      </c>
      <c r="L127" s="91">
        <f>FEE_3_In!$H125</f>
        <v>3429.3411978996783</v>
      </c>
      <c r="M127" s="91">
        <f>FEE_3_Out!$H125</f>
        <v>3325.6870373804099</v>
      </c>
      <c r="N127" s="91">
        <f>FEE_4_In!$H125</f>
        <v>3219.1278367258983</v>
      </c>
      <c r="O127" s="91">
        <f>FEE_4_Out!$H125</f>
        <v>3568.3404832430574</v>
      </c>
      <c r="P127" s="122">
        <f t="shared" si="38"/>
        <v>0.74947939837366628</v>
      </c>
      <c r="Q127" s="120">
        <f t="shared" si="38"/>
        <v>0.70154626287506172</v>
      </c>
      <c r="R127" s="120">
        <f t="shared" si="39"/>
        <v>0.8645483970583705</v>
      </c>
      <c r="S127" s="120">
        <f t="shared" si="40"/>
        <v>1.080840723481149</v>
      </c>
      <c r="T127" s="120">
        <f t="shared" si="41"/>
        <v>1.0072954112629224</v>
      </c>
      <c r="U127" s="120">
        <f t="shared" si="42"/>
        <v>1.0698582797559624</v>
      </c>
      <c r="V127" s="120">
        <f t="shared" si="43"/>
        <v>1.1537545166846073</v>
      </c>
      <c r="W127" s="120">
        <f t="shared" si="44"/>
        <v>0.94297913853567028</v>
      </c>
    </row>
    <row r="128" spans="2:23" x14ac:dyDescent="0.25">
      <c r="B128" s="116">
        <f>ITE_LUC_Rates!A117</f>
        <v>899</v>
      </c>
      <c r="C128" s="117" t="str">
        <f>ITE_LUC_Rates!B117</f>
        <v>Liquor Store</v>
      </c>
      <c r="D128" s="203" t="str">
        <f>ITE_LUC_Rates!C117</f>
        <v>1000 GSF</v>
      </c>
      <c r="E128" s="204">
        <f>ITE_LUC_Rates!G117</f>
        <v>101.49</v>
      </c>
      <c r="F128" s="118" t="s">
        <v>73</v>
      </c>
      <c r="G128" s="119">
        <f>ITE_LUC_Rates!Q117</f>
        <v>0</v>
      </c>
      <c r="H128" s="55">
        <f>+FEE_1_In!H126</f>
        <v>57357.264251924214</v>
      </c>
      <c r="I128" s="91">
        <f>FEE_1_Out!$H126</f>
        <v>55785.760453838615</v>
      </c>
      <c r="J128" s="91">
        <f>FEE_2_In!$H126</f>
        <v>68221.055563057016</v>
      </c>
      <c r="K128" s="91">
        <f>FEE_2_Out!$H126</f>
        <v>61129.839665443469</v>
      </c>
      <c r="L128" s="91">
        <f>FEE_3_In!$H126</f>
        <v>67860.992490886521</v>
      </c>
      <c r="M128" s="91">
        <f>FEE_3_Out!$H126</f>
        <v>65809.84802822549</v>
      </c>
      <c r="N128" s="91">
        <f>FEE_4_In!$H126</f>
        <v>63701.217624263518</v>
      </c>
      <c r="O128" s="91">
        <f>FEE_4_Out!$H126</f>
        <v>70611.558536838071</v>
      </c>
      <c r="P128" s="122">
        <f t="shared" si="38"/>
        <v>0</v>
      </c>
      <c r="Q128" s="120">
        <f t="shared" si="38"/>
        <v>0</v>
      </c>
      <c r="R128" s="120">
        <f t="shared" si="39"/>
        <v>0</v>
      </c>
      <c r="S128" s="120">
        <f t="shared" si="40"/>
        <v>0</v>
      </c>
      <c r="T128" s="120">
        <f t="shared" si="41"/>
        <v>0</v>
      </c>
      <c r="U128" s="120">
        <f t="shared" si="42"/>
        <v>0</v>
      </c>
      <c r="V128" s="120">
        <f t="shared" si="43"/>
        <v>0</v>
      </c>
      <c r="W128" s="120">
        <f t="shared" si="44"/>
        <v>0</v>
      </c>
    </row>
    <row r="129" spans="1:23" x14ac:dyDescent="0.25">
      <c r="B129" s="92" t="str">
        <f>ITE_LUC_Rates!A118</f>
        <v>Services</v>
      </c>
      <c r="C129" s="93"/>
      <c r="D129" s="94"/>
      <c r="E129" s="113"/>
      <c r="F129" s="100"/>
      <c r="G129" s="96"/>
      <c r="H129" s="96"/>
      <c r="I129" s="96"/>
      <c r="J129" s="96"/>
      <c r="K129" s="96"/>
      <c r="L129" s="96"/>
      <c r="M129" s="96"/>
      <c r="N129" s="96"/>
      <c r="O129" s="96"/>
      <c r="P129" s="96"/>
      <c r="Q129" s="98"/>
      <c r="R129" s="98"/>
      <c r="S129" s="98"/>
      <c r="T129" s="98"/>
      <c r="U129" s="98"/>
      <c r="V129" s="98"/>
      <c r="W129" s="98"/>
    </row>
    <row r="130" spans="1:23" x14ac:dyDescent="0.25">
      <c r="B130" s="51">
        <f>ITE_LUC_Rates!A119</f>
        <v>911</v>
      </c>
      <c r="C130" s="11" t="str">
        <f>ITE_LUC_Rates!B119</f>
        <v>Bank (Walk-in)</v>
      </c>
      <c r="D130" s="52" t="str">
        <f>ITE_LUC_Rates!C119</f>
        <v>1000 GSF</v>
      </c>
      <c r="E130" s="112">
        <f>ITE_LUC_Rates!G119</f>
        <v>156.47999999999999</v>
      </c>
      <c r="F130" s="53" t="s">
        <v>73</v>
      </c>
      <c r="G130" s="91">
        <f>ITE_LUC_Rates!Q119</f>
        <v>16014.3</v>
      </c>
      <c r="H130" s="55">
        <f>+FEE_1_In!H128</f>
        <v>24788.925942961552</v>
      </c>
      <c r="I130" s="91">
        <f>FEE_1_Out!$H128</f>
        <v>24109.746212583803</v>
      </c>
      <c r="J130" s="91">
        <f>FEE_2_In!$H128</f>
        <v>29484.089176142177</v>
      </c>
      <c r="K130" s="91">
        <f>FEE_2_Out!$H128</f>
        <v>26419.374915025768</v>
      </c>
      <c r="L130" s="91">
        <f>FEE_3_In!$H128</f>
        <v>29328.475463611761</v>
      </c>
      <c r="M130" s="91">
        <f>FEE_3_Out!$H128</f>
        <v>28442.002427521769</v>
      </c>
      <c r="N130" s="91">
        <f>FEE_4_In!$H128</f>
        <v>27530.684853250652</v>
      </c>
      <c r="O130" s="91">
        <f>FEE_4_Out!$H128</f>
        <v>30517.227732458512</v>
      </c>
      <c r="P130" s="122">
        <f t="shared" ref="P130:Q139" si="45">IFERROR(H130/$G130-1,0)</f>
        <v>0.5479244139900934</v>
      </c>
      <c r="Q130" s="120">
        <f t="shared" si="45"/>
        <v>0.50551358551942971</v>
      </c>
      <c r="R130" s="120">
        <f t="shared" ref="R130:R139" si="46">IFERROR(K130/$G130-1,0)</f>
        <v>0.64973648020992303</v>
      </c>
      <c r="S130" s="120">
        <f>IFERROR(J130/$G130-1,0)</f>
        <v>0.8411100813736585</v>
      </c>
      <c r="T130" s="120">
        <f t="shared" ref="T130:T139" si="47">IFERROR(M130/$G130-1,0)</f>
        <v>0.77603781792034443</v>
      </c>
      <c r="U130" s="120">
        <f t="shared" ref="U130:U139" si="48">IFERROR(L130/$G130-1,0)</f>
        <v>0.83139290906325991</v>
      </c>
      <c r="V130" s="120">
        <f t="shared" ref="V130:V139" si="49">IFERROR(O130/$G130-1,0)</f>
        <v>0.90562358220206396</v>
      </c>
      <c r="W130" s="120">
        <f t="shared" ref="W130:W139" si="50">IFERROR(N130/$G130-1,0)</f>
        <v>0.71913132970224436</v>
      </c>
    </row>
    <row r="131" spans="1:23" x14ac:dyDescent="0.25">
      <c r="B131" s="51">
        <f>ITE_LUC_Rates!A120</f>
        <v>912</v>
      </c>
      <c r="C131" s="11" t="str">
        <f>ITE_LUC_Rates!B120</f>
        <v>Bank (Drive-in)</v>
      </c>
      <c r="D131" s="52" t="str">
        <f>ITE_LUC_Rates!C120</f>
        <v>1000 GSF</v>
      </c>
      <c r="E131" s="112">
        <f>ITE_LUC_Rates!G120</f>
        <v>100.03</v>
      </c>
      <c r="F131" s="53" t="s">
        <v>73</v>
      </c>
      <c r="G131" s="91">
        <f>ITE_LUC_Rates!Q120</f>
        <v>25226.6</v>
      </c>
      <c r="H131" s="55">
        <f>+FEE_1_In!H129</f>
        <v>15846.346255588216</v>
      </c>
      <c r="I131" s="91">
        <f>FEE_1_Out!$H129</f>
        <v>15412.179918486443</v>
      </c>
      <c r="J131" s="91">
        <f>FEE_2_In!$H129</f>
        <v>18847.734153179335</v>
      </c>
      <c r="K131" s="91">
        <f>FEE_2_Out!$H129</f>
        <v>16888.612428106007</v>
      </c>
      <c r="L131" s="91">
        <f>FEE_3_In!$H129</f>
        <v>18748.25792833004</v>
      </c>
      <c r="M131" s="91">
        <f>FEE_3_Out!$H129</f>
        <v>18181.579133595362</v>
      </c>
      <c r="N131" s="91">
        <f>FEE_4_In!$H129</f>
        <v>17599.018442424993</v>
      </c>
      <c r="O131" s="91">
        <f>FEE_4_Out!$H129</f>
        <v>19508.169031683447</v>
      </c>
      <c r="P131" s="122">
        <f t="shared" si="45"/>
        <v>-0.37183979388470034</v>
      </c>
      <c r="Q131" s="120">
        <f t="shared" si="45"/>
        <v>-0.3890504499819063</v>
      </c>
      <c r="R131" s="120">
        <f t="shared" si="46"/>
        <v>-0.3305236366333153</v>
      </c>
      <c r="S131" s="120">
        <f>IFERROR(J131/$G131-1,0)</f>
        <v>-0.25286268648254873</v>
      </c>
      <c r="T131" s="120">
        <f t="shared" si="47"/>
        <v>-0.27926953558563727</v>
      </c>
      <c r="U131" s="120">
        <f t="shared" si="48"/>
        <v>-0.25680599334313614</v>
      </c>
      <c r="V131" s="120">
        <f t="shared" si="49"/>
        <v>-0.2266825877572306</v>
      </c>
      <c r="W131" s="120">
        <f t="shared" si="50"/>
        <v>-0.30236264726816164</v>
      </c>
    </row>
    <row r="132" spans="1:23" x14ac:dyDescent="0.25">
      <c r="B132" s="51">
        <f>ITE_LUC_Rates!A121</f>
        <v>931</v>
      </c>
      <c r="C132" s="11" t="str">
        <f>ITE_LUC_Rates!B121</f>
        <v>Fine Dining Restaurant</v>
      </c>
      <c r="D132" s="52" t="str">
        <f>ITE_LUC_Rates!C121</f>
        <v>1000 GSF</v>
      </c>
      <c r="E132" s="112">
        <f>ITE_LUC_Rates!G121</f>
        <v>83.84</v>
      </c>
      <c r="F132" s="53" t="s">
        <v>73</v>
      </c>
      <c r="G132" s="91">
        <f>ITE_LUC_Rates!Q121</f>
        <v>68047</v>
      </c>
      <c r="H132" s="55">
        <f>+FEE_1_In!H130</f>
        <v>28144.793825073641</v>
      </c>
      <c r="I132" s="91">
        <f>FEE_1_Out!$H130</f>
        <v>27373.668302102844</v>
      </c>
      <c r="J132" s="91">
        <f>FEE_2_In!$H130</f>
        <v>33475.577477297811</v>
      </c>
      <c r="K132" s="91">
        <f>FEE_2_Out!$H130</f>
        <v>29995.969235683973</v>
      </c>
      <c r="L132" s="91">
        <f>FEE_3_In!$H130</f>
        <v>33298.897137633219</v>
      </c>
      <c r="M132" s="91">
        <f>FEE_3_Out!$H130</f>
        <v>32292.415417140433</v>
      </c>
      <c r="N132" s="91">
        <f>FEE_4_In!$H130</f>
        <v>31257.725761927311</v>
      </c>
      <c r="O132" s="91">
        <f>FEE_4_Out!$H130</f>
        <v>34648.579959420829</v>
      </c>
      <c r="P132" s="122">
        <f t="shared" si="45"/>
        <v>-0.58639184938243205</v>
      </c>
      <c r="Q132" s="120">
        <f t="shared" si="45"/>
        <v>-0.59772409801897441</v>
      </c>
      <c r="R132" s="120">
        <f t="shared" si="46"/>
        <v>-0.55918748459617662</v>
      </c>
      <c r="S132" s="120">
        <f>IFERROR(J132/$G132-1,0)</f>
        <v>-0.50805211872238587</v>
      </c>
      <c r="T132" s="120">
        <f t="shared" si="47"/>
        <v>-0.52543954300497542</v>
      </c>
      <c r="U132" s="120">
        <f t="shared" si="48"/>
        <v>-0.51064856440940498</v>
      </c>
      <c r="V132" s="120">
        <f t="shared" si="49"/>
        <v>-0.49081399680484328</v>
      </c>
      <c r="W132" s="120">
        <f t="shared" si="50"/>
        <v>-0.54064505765239745</v>
      </c>
    </row>
    <row r="133" spans="1:23" x14ac:dyDescent="0.25">
      <c r="B133" s="51">
        <f>ITE_LUC_Rates!A122</f>
        <v>931</v>
      </c>
      <c r="C133" s="11" t="str">
        <f>ITE_LUC_Rates!B122</f>
        <v>Quality Restaurant / Seats</v>
      </c>
      <c r="D133" s="52" t="str">
        <f>ITE_LUC_Rates!C122</f>
        <v>Seat</v>
      </c>
      <c r="E133" s="112">
        <f>ITE_LUC_Rates!G122</f>
        <v>2.6</v>
      </c>
      <c r="F133" s="53" t="s">
        <v>73</v>
      </c>
      <c r="G133" s="91">
        <f>ITE_LUC_Rates!Q122</f>
        <v>2163.0520000000001</v>
      </c>
      <c r="H133" s="55">
        <f>+FEE_1_In!H131</f>
        <v>872.81087720886785</v>
      </c>
      <c r="I133" s="91">
        <f>FEE_1_Out!$H131</f>
        <v>848.8971563152121</v>
      </c>
      <c r="J133" s="91">
        <f>FEE_2_In!$H131</f>
        <v>1038.126209935285</v>
      </c>
      <c r="K133" s="91">
        <f>FEE_2_Out!$H131</f>
        <v>930.21851160279482</v>
      </c>
      <c r="L133" s="91">
        <f>FEE_3_In!$H131</f>
        <v>1032.6470963483584</v>
      </c>
      <c r="M133" s="91">
        <f>FEE_3_Out!$H131</f>
        <v>1001.4346384132293</v>
      </c>
      <c r="N133" s="91">
        <f>FEE_4_In!$H131</f>
        <v>969.34741151015032</v>
      </c>
      <c r="O133" s="91">
        <f>FEE_4_Out!$H131</f>
        <v>1074.5027182072297</v>
      </c>
      <c r="P133" s="122">
        <f t="shared" si="45"/>
        <v>-0.59649103340610043</v>
      </c>
      <c r="Q133" s="120">
        <f t="shared" si="45"/>
        <v>-0.60754657940945844</v>
      </c>
      <c r="R133" s="120">
        <f t="shared" si="46"/>
        <v>-0.56995092508049061</v>
      </c>
      <c r="S133" s="120">
        <f>IFERROR(J133/$G133-1,0)</f>
        <v>-0.52006414550584779</v>
      </c>
      <c r="T133" s="120">
        <f t="shared" si="47"/>
        <v>-0.53702701626533744</v>
      </c>
      <c r="U133" s="120">
        <f t="shared" si="48"/>
        <v>-0.5225971930640787</v>
      </c>
      <c r="V133" s="120">
        <f t="shared" si="49"/>
        <v>-0.50324693155447497</v>
      </c>
      <c r="W133" s="120">
        <f t="shared" si="50"/>
        <v>-0.55186125367760441</v>
      </c>
    </row>
    <row r="134" spans="1:23" x14ac:dyDescent="0.25">
      <c r="B134" s="51">
        <f>ITE_LUC_Rates!A123</f>
        <v>932</v>
      </c>
      <c r="C134" s="11" t="str">
        <f>ITE_LUC_Rates!B123</f>
        <v>High-Turnover (Sit-Down) Restaurant</v>
      </c>
      <c r="D134" s="52" t="str">
        <f>ITE_LUC_Rates!C123</f>
        <v>1000 GSF</v>
      </c>
      <c r="E134" s="112">
        <f>ITE_LUC_Rates!G123</f>
        <v>112.18</v>
      </c>
      <c r="F134" s="53" t="s">
        <v>73</v>
      </c>
      <c r="G134" s="91">
        <f>ITE_LUC_Rates!Q123</f>
        <v>51864.5</v>
      </c>
      <c r="H134" s="55">
        <f>+FEE_1_In!H132</f>
        <v>35093.747378446293</v>
      </c>
      <c r="I134" s="91">
        <f>FEE_1_Out!$H132</f>
        <v>34132.230855411726</v>
      </c>
      <c r="J134" s="91">
        <f>FEE_2_In!$H132</f>
        <v>41740.702264065061</v>
      </c>
      <c r="K134" s="91">
        <f>FEE_2_Out!$H132</f>
        <v>37401.97825826444</v>
      </c>
      <c r="L134" s="91">
        <f>FEE_3_In!$H132</f>
        <v>41520.399523690976</v>
      </c>
      <c r="M134" s="91">
        <f>FEE_3_Out!$H132</f>
        <v>40265.417324868446</v>
      </c>
      <c r="N134" s="91">
        <f>FEE_4_In!$H132</f>
        <v>38975.262648276279</v>
      </c>
      <c r="O134" s="91">
        <f>FEE_4_Out!$H132</f>
        <v>43203.319223981889</v>
      </c>
      <c r="P134" s="122">
        <f t="shared" si="45"/>
        <v>-0.32335706738816927</v>
      </c>
      <c r="Q134" s="120">
        <f t="shared" si="45"/>
        <v>-0.34189607813799949</v>
      </c>
      <c r="R134" s="120">
        <f t="shared" si="46"/>
        <v>-0.27885204218175363</v>
      </c>
      <c r="S134" s="120">
        <f>IFERROR(#REF!/$G134-1,0)</f>
        <v>0</v>
      </c>
      <c r="T134" s="120">
        <f t="shared" si="47"/>
        <v>-0.22364204176520652</v>
      </c>
      <c r="U134" s="120">
        <f t="shared" si="48"/>
        <v>-0.19944471606414838</v>
      </c>
      <c r="V134" s="120">
        <f t="shared" si="49"/>
        <v>-0.16699632264878883</v>
      </c>
      <c r="W134" s="120">
        <f t="shared" si="50"/>
        <v>-0.24851752840042263</v>
      </c>
    </row>
    <row r="135" spans="1:23" x14ac:dyDescent="0.25">
      <c r="B135" s="51">
        <f>ITE_LUC_Rates!A124</f>
        <v>932</v>
      </c>
      <c r="C135" s="11" t="str">
        <f>ITE_LUC_Rates!B124</f>
        <v>High-Turnover (Sit-Down) Restaurant</v>
      </c>
      <c r="D135" s="52" t="str">
        <f>ITE_LUC_Rates!C124</f>
        <v>Seat</v>
      </c>
      <c r="E135" s="112">
        <f>ITE_LUC_Rates!G124</f>
        <v>4.37</v>
      </c>
      <c r="F135" s="53" t="s">
        <v>73</v>
      </c>
      <c r="G135" s="91">
        <f>ITE_LUC_Rates!Q124</f>
        <v>1581.08</v>
      </c>
      <c r="H135" s="55">
        <f>+FEE_1_In!H133</f>
        <v>1367.0857197701043</v>
      </c>
      <c r="I135" s="91">
        <f>FEE_1_Out!$H133</f>
        <v>1329.6296027647461</v>
      </c>
      <c r="J135" s="91">
        <f>FEE_2_In!$H133</f>
        <v>1626.0195123369967</v>
      </c>
      <c r="K135" s="91">
        <f>FEE_2_Out!$H133</f>
        <v>1457.003431882828</v>
      </c>
      <c r="L135" s="91">
        <f>FEE_3_In!$H133</f>
        <v>1617.4375639020286</v>
      </c>
      <c r="M135" s="91">
        <f>FEE_3_Out!$H133</f>
        <v>1568.5494179860505</v>
      </c>
      <c r="N135" s="91">
        <f>FEE_4_In!$H133</f>
        <v>1518.2911193881919</v>
      </c>
      <c r="O135" s="91">
        <f>FEE_4_Out!$H133</f>
        <v>1682.9961223818941</v>
      </c>
      <c r="P135" s="122">
        <f t="shared" si="45"/>
        <v>-0.1353469022629441</v>
      </c>
      <c r="Q135" s="120">
        <f t="shared" si="45"/>
        <v>-0.15903711212288674</v>
      </c>
      <c r="R135" s="120">
        <f t="shared" si="46"/>
        <v>-7.8475831784079242E-2</v>
      </c>
      <c r="S135" s="120">
        <f>IFERROR(#REF!/$G135-1,0)</f>
        <v>0</v>
      </c>
      <c r="T135" s="120">
        <f t="shared" si="47"/>
        <v>-7.9253307953737195E-3</v>
      </c>
      <c r="U135" s="120">
        <f t="shared" si="48"/>
        <v>2.299539802035877E-2</v>
      </c>
      <c r="V135" s="120">
        <f t="shared" si="49"/>
        <v>6.4459813786711839E-2</v>
      </c>
      <c r="W135" s="120">
        <f t="shared" si="50"/>
        <v>-3.9712652498170908E-2</v>
      </c>
    </row>
    <row r="136" spans="1:23" x14ac:dyDescent="0.25">
      <c r="B136" s="51">
        <f>ITE_LUC_Rates!A125</f>
        <v>933</v>
      </c>
      <c r="C136" s="11" t="str">
        <f>ITE_LUC_Rates!B125</f>
        <v>Fast-Food Restaurant without Drive-Through Window</v>
      </c>
      <c r="D136" s="52" t="str">
        <f>ITE_LUC_Rates!C125</f>
        <v>1000 GSF</v>
      </c>
      <c r="E136" s="112">
        <f>ITE_LUC_Rates!G125</f>
        <v>346.23</v>
      </c>
      <c r="F136" s="53" t="s">
        <v>73</v>
      </c>
      <c r="G136" s="91">
        <f>ITE_LUC_Rates!Q125</f>
        <v>73276.3</v>
      </c>
      <c r="H136" s="55">
        <f>+FEE_1_In!H134</f>
        <v>57282.097273737534</v>
      </c>
      <c r="I136" s="91">
        <f>FEE_1_Out!$H134</f>
        <v>55712.652939143634</v>
      </c>
      <c r="J136" s="91">
        <f>FEE_2_In!$H134</f>
        <v>68131.651532682445</v>
      </c>
      <c r="K136" s="91">
        <f>FEE_2_Out!$H134</f>
        <v>61049.72870853822</v>
      </c>
      <c r="L136" s="91">
        <f>FEE_3_In!$H134</f>
        <v>67772.060324946986</v>
      </c>
      <c r="M136" s="91">
        <f>FEE_3_Out!$H134</f>
        <v>65723.603897238369</v>
      </c>
      <c r="N136" s="91">
        <f>FEE_4_In!$H134</f>
        <v>63617.736863838843</v>
      </c>
      <c r="O136" s="91">
        <f>FEE_4_Out!$H134</f>
        <v>70519.021740505617</v>
      </c>
      <c r="P136" s="122">
        <f t="shared" si="45"/>
        <v>-0.21827252094145677</v>
      </c>
      <c r="Q136" s="120">
        <f t="shared" si="45"/>
        <v>-0.23969069209084481</v>
      </c>
      <c r="R136" s="120">
        <f t="shared" si="46"/>
        <v>-0.16685574041622986</v>
      </c>
      <c r="S136" s="120">
        <f>IFERROR(#REF!/$G136-1,0)</f>
        <v>0</v>
      </c>
      <c r="T136" s="120">
        <f t="shared" si="47"/>
        <v>-0.1030714719870085</v>
      </c>
      <c r="U136" s="120">
        <f t="shared" si="48"/>
        <v>-7.5116233694291545E-2</v>
      </c>
      <c r="V136" s="120">
        <f t="shared" si="49"/>
        <v>-3.7628513714453193E-2</v>
      </c>
      <c r="W136" s="120">
        <f t="shared" si="50"/>
        <v>-0.13181019151023121</v>
      </c>
    </row>
    <row r="137" spans="1:23" x14ac:dyDescent="0.25">
      <c r="B137" s="51">
        <f>ITE_LUC_Rates!A126</f>
        <v>934</v>
      </c>
      <c r="C137" s="11" t="str">
        <f>ITE_LUC_Rates!B126</f>
        <v>Fast Food Rest. w/ Drive-Thru</v>
      </c>
      <c r="D137" s="52" t="str">
        <f>ITE_LUC_Rates!C126</f>
        <v>1000 GSF</v>
      </c>
      <c r="E137" s="112">
        <f>ITE_LUC_Rates!G126</f>
        <v>470.95</v>
      </c>
      <c r="F137" s="53" t="s">
        <v>73</v>
      </c>
      <c r="G137" s="91">
        <f>ITE_LUC_Rates!Q126</f>
        <v>50772.9</v>
      </c>
      <c r="H137" s="55">
        <f>+FEE_1_In!H135</f>
        <v>77916.42466298904</v>
      </c>
      <c r="I137" s="91">
        <f>FEE_1_Out!$H135</f>
        <v>75781.630423965849</v>
      </c>
      <c r="J137" s="91">
        <f>FEE_2_In!$H135</f>
        <v>92674.237614639991</v>
      </c>
      <c r="K137" s="91">
        <f>FEE_2_Out!$H135</f>
        <v>83041.243495035291</v>
      </c>
      <c r="L137" s="91">
        <f>FEE_3_In!$H135</f>
        <v>92185.113392928921</v>
      </c>
      <c r="M137" s="91">
        <f>FEE_3_Out!$H135</f>
        <v>89398.755900425764</v>
      </c>
      <c r="N137" s="91">
        <f>FEE_4_In!$H135</f>
        <v>86534.307183158322</v>
      </c>
      <c r="O137" s="91">
        <f>FEE_4_Out!$H135</f>
        <v>95921.593416778182</v>
      </c>
      <c r="P137" s="122">
        <f t="shared" si="45"/>
        <v>0.53460654528279927</v>
      </c>
      <c r="Q137" s="120">
        <f t="shared" si="45"/>
        <v>0.49256060662215173</v>
      </c>
      <c r="R137" s="120">
        <f t="shared" si="46"/>
        <v>0.63554265159239054</v>
      </c>
      <c r="S137" s="120">
        <f>IFERROR(#REF!/$G137-1,0)</f>
        <v>0</v>
      </c>
      <c r="T137" s="120">
        <f t="shared" si="47"/>
        <v>0.76075733118308708</v>
      </c>
      <c r="U137" s="120">
        <f t="shared" si="48"/>
        <v>0.81563616403492656</v>
      </c>
      <c r="V137" s="120">
        <f t="shared" si="49"/>
        <v>0.88922817914238061</v>
      </c>
      <c r="W137" s="120">
        <f t="shared" si="50"/>
        <v>0.70434044900248605</v>
      </c>
    </row>
    <row r="138" spans="1:23" x14ac:dyDescent="0.25">
      <c r="B138" s="51">
        <f>ITE_LUC_Rates!A127</f>
        <v>937</v>
      </c>
      <c r="C138" s="11" t="str">
        <f>ITE_LUC_Rates!B127</f>
        <v>Coffee/Donut Shop with Drive Through</v>
      </c>
      <c r="D138" s="52" t="str">
        <f>ITE_LUC_Rates!C127</f>
        <v>1000 GSF</v>
      </c>
      <c r="E138" s="112">
        <f>ITE_LUC_Rates!G127</f>
        <v>820.38</v>
      </c>
      <c r="F138" s="53" t="s">
        <v>73</v>
      </c>
      <c r="G138" s="91">
        <f>ITE_LUC_Rates!Q127</f>
        <v>58641.2</v>
      </c>
      <c r="H138" s="55">
        <f>+FEE_1_In!H136</f>
        <v>135727.94662920252</v>
      </c>
      <c r="I138" s="91">
        <f>FEE_1_Out!$H136</f>
        <v>132009.2026058246</v>
      </c>
      <c r="J138" s="91">
        <f>FEE_2_In!$H136</f>
        <v>161435.58988066323</v>
      </c>
      <c r="K138" s="91">
        <f>FEE_2_Out!$H136</f>
        <v>144655.21889469598</v>
      </c>
      <c r="L138" s="91">
        <f>FEE_3_In!$H136</f>
        <v>160583.5509614418</v>
      </c>
      <c r="M138" s="91">
        <f>FEE_3_Out!$H136</f>
        <v>155729.80436477601</v>
      </c>
      <c r="N138" s="91">
        <f>FEE_4_In!$H136</f>
        <v>150740.02532523501</v>
      </c>
      <c r="O138" s="91">
        <f>FEE_4_Out!$H136</f>
        <v>167092.38094756662</v>
      </c>
      <c r="P138" s="122">
        <f t="shared" si="45"/>
        <v>1.314549269612534</v>
      </c>
      <c r="Q138" s="120">
        <f t="shared" si="45"/>
        <v>1.2511340594296265</v>
      </c>
      <c r="R138" s="120">
        <f t="shared" si="46"/>
        <v>1.4667847672744756</v>
      </c>
      <c r="S138" s="120">
        <f>IFERROR(#REF!/$G138-1,0)</f>
        <v>0</v>
      </c>
      <c r="T138" s="120">
        <f t="shared" si="47"/>
        <v>1.6556380900250338</v>
      </c>
      <c r="U138" s="120">
        <f t="shared" si="48"/>
        <v>1.7384083368253345</v>
      </c>
      <c r="V138" s="120">
        <f t="shared" si="49"/>
        <v>1.8494024840481886</v>
      </c>
      <c r="W138" s="120">
        <f t="shared" si="50"/>
        <v>1.5705481014241696</v>
      </c>
    </row>
    <row r="139" spans="1:23" x14ac:dyDescent="0.25">
      <c r="A139" s="90"/>
      <c r="B139" s="51">
        <f>ITE_LUC_Rates!A128</f>
        <v>944</v>
      </c>
      <c r="C139" s="11" t="str">
        <f>ITE_LUC_Rates!B128</f>
        <v>Gasoline/Service Station</v>
      </c>
      <c r="D139" s="52" t="str">
        <f>ITE_LUC_Rates!C128</f>
        <v>Pump</v>
      </c>
      <c r="E139" s="112">
        <f>ITE_LUC_Rates!G128</f>
        <v>172.01</v>
      </c>
      <c r="F139" s="53" t="s">
        <v>73</v>
      </c>
      <c r="G139" s="91">
        <f>ITE_LUC_Rates!Q128</f>
        <v>12075.078</v>
      </c>
      <c r="H139" s="55">
        <f>+FEE_1_In!H137</f>
        <v>35385.117988577535</v>
      </c>
      <c r="I139" s="91">
        <f>FEE_1_Out!$H137</f>
        <v>34415.618343850467</v>
      </c>
      <c r="J139" s="91">
        <f>FEE_2_In!$H137</f>
        <v>42087.260121076841</v>
      </c>
      <c r="K139" s="91">
        <f>FEE_2_Out!$H137</f>
        <v>37712.513269179777</v>
      </c>
      <c r="L139" s="91">
        <f>FEE_3_In!$H137</f>
        <v>41865.128287241059</v>
      </c>
      <c r="M139" s="91">
        <f>FEE_3_Out!$H137</f>
        <v>40599.726428043388</v>
      </c>
      <c r="N139" s="91">
        <f>FEE_4_In!$H137</f>
        <v>39298.860066796144</v>
      </c>
      <c r="O139" s="91">
        <f>FEE_4_Out!$H137</f>
        <v>43562.020657209796</v>
      </c>
      <c r="P139" s="122">
        <f t="shared" si="45"/>
        <v>1.9304256244620146</v>
      </c>
      <c r="Q139" s="120">
        <f t="shared" si="45"/>
        <v>1.8501363174507417</v>
      </c>
      <c r="R139" s="120">
        <f t="shared" si="46"/>
        <v>2.1231693301840187</v>
      </c>
      <c r="S139" s="120">
        <f>IFERROR(#REF!/$G139-1,0)</f>
        <v>0</v>
      </c>
      <c r="T139" s="120">
        <f t="shared" si="47"/>
        <v>2.3622744654770256</v>
      </c>
      <c r="U139" s="120">
        <f t="shared" si="48"/>
        <v>2.4670689735702793</v>
      </c>
      <c r="V139" s="120">
        <f t="shared" si="49"/>
        <v>2.6075974546259491</v>
      </c>
      <c r="W139" s="120">
        <f t="shared" si="50"/>
        <v>2.2545429575524185</v>
      </c>
    </row>
    <row r="140" spans="1:23" x14ac:dyDescent="0.25">
      <c r="A140" s="90"/>
      <c r="E140" s="104"/>
    </row>
    <row r="141" spans="1:23" x14ac:dyDescent="0.25">
      <c r="B141" s="661" t="s">
        <v>1002</v>
      </c>
      <c r="C141" s="93"/>
      <c r="D141" s="662"/>
      <c r="E141" s="662"/>
      <c r="F141" s="100"/>
      <c r="G141" s="93"/>
      <c r="H141" s="93"/>
      <c r="I141" s="93"/>
      <c r="J141" s="93"/>
      <c r="K141" s="93"/>
      <c r="L141" s="93"/>
      <c r="M141" s="93"/>
      <c r="N141" s="93"/>
      <c r="O141" s="93"/>
      <c r="P141" s="93"/>
      <c r="Q141" s="93"/>
      <c r="R141" s="93"/>
      <c r="S141" s="93"/>
      <c r="T141" s="93"/>
      <c r="U141" s="93"/>
      <c r="V141" s="93"/>
      <c r="W141" s="93"/>
    </row>
    <row r="142" spans="1:23" x14ac:dyDescent="0.25">
      <c r="B142" s="661"/>
      <c r="C142" s="93"/>
      <c r="D142" s="662"/>
      <c r="E142" s="662"/>
      <c r="F142" s="100"/>
      <c r="G142" s="98" t="s">
        <v>1003</v>
      </c>
      <c r="H142" s="93" t="s">
        <v>1004</v>
      </c>
      <c r="I142" s="663" t="str">
        <f>H11</f>
        <v>Ring 1</v>
      </c>
      <c r="J142" s="663" t="str">
        <f t="shared" ref="J142:N142" si="51">J11</f>
        <v>Ring 2</v>
      </c>
      <c r="K142" s="663" t="s">
        <v>662</v>
      </c>
      <c r="L142" s="663" t="str">
        <f t="shared" si="51"/>
        <v>Ring 3</v>
      </c>
      <c r="M142" s="663" t="s">
        <v>663</v>
      </c>
      <c r="N142" s="663" t="str">
        <f t="shared" si="51"/>
        <v>Ring 4</v>
      </c>
      <c r="O142" s="663" t="s">
        <v>664</v>
      </c>
      <c r="P142" s="98"/>
      <c r="Q142" s="98"/>
      <c r="R142" s="98"/>
      <c r="S142" s="93"/>
      <c r="T142" s="93"/>
      <c r="U142" s="93"/>
      <c r="V142" s="93"/>
      <c r="W142" s="93"/>
    </row>
    <row r="143" spans="1:23" x14ac:dyDescent="0.25">
      <c r="B143" s="661"/>
      <c r="C143" s="93"/>
      <c r="D143" s="662"/>
      <c r="E143" s="662"/>
      <c r="F143" s="100"/>
      <c r="G143" s="98"/>
      <c r="H143" s="664">
        <f>SUMIF($G$14:$G$139,"&gt;0",G14:G139)</f>
        <v>1444029.0079999999</v>
      </c>
      <c r="I143" s="664">
        <f>SUMIF($G$14:$G$139,"&gt;0",H14:H139)</f>
        <v>1494129.1208827775</v>
      </c>
      <c r="J143" s="664">
        <f t="shared" ref="J143:O143" si="52">SUMIF($G$14:$G$139,"&gt;0",J14:J139)</f>
        <v>1771186.0422804281</v>
      </c>
      <c r="K143" s="664">
        <f t="shared" si="52"/>
        <v>1586977.6351354572</v>
      </c>
      <c r="L143" s="664">
        <f t="shared" si="52"/>
        <v>1761234.0224840073</v>
      </c>
      <c r="M143" s="664">
        <f t="shared" si="52"/>
        <v>1708343.7607466129</v>
      </c>
      <c r="N143" s="664">
        <f t="shared" si="52"/>
        <v>1652935.3885070216</v>
      </c>
      <c r="O143" s="664">
        <f t="shared" si="52"/>
        <v>1832983.3795431945</v>
      </c>
      <c r="P143" s="93"/>
      <c r="Q143" s="93"/>
      <c r="R143" s="93"/>
      <c r="S143" s="93"/>
      <c r="T143" s="93"/>
      <c r="U143" s="93"/>
      <c r="V143" s="93"/>
      <c r="W143" s="93"/>
    </row>
    <row r="144" spans="1:23" x14ac:dyDescent="0.25">
      <c r="B144" s="661"/>
      <c r="C144" s="93"/>
      <c r="D144" s="662"/>
      <c r="E144" s="662"/>
      <c r="F144" s="100"/>
      <c r="G144" s="98"/>
      <c r="H144" s="98"/>
      <c r="I144" s="98">
        <f>SUM(H14:H139)</f>
        <v>2392964.2964943429</v>
      </c>
      <c r="J144" s="98">
        <f t="shared" ref="J144:O144" si="53">SUM(J14:J139)</f>
        <v>2837089.0815413874</v>
      </c>
      <c r="K144" s="98">
        <f t="shared" si="53"/>
        <v>2542030.6157016037</v>
      </c>
      <c r="L144" s="98">
        <f t="shared" si="53"/>
        <v>2821188.3685230915</v>
      </c>
      <c r="M144" s="98">
        <f t="shared" si="53"/>
        <v>2736444.3693104475</v>
      </c>
      <c r="N144" s="98">
        <f t="shared" si="53"/>
        <v>2647735.5557074076</v>
      </c>
      <c r="O144" s="98">
        <f t="shared" si="53"/>
        <v>2936093.9872882571</v>
      </c>
      <c r="P144" s="98"/>
      <c r="Q144" s="93"/>
      <c r="R144" s="93"/>
      <c r="S144" s="93"/>
      <c r="T144" s="93"/>
      <c r="U144" s="93"/>
      <c r="V144" s="93"/>
      <c r="W144" s="93"/>
    </row>
    <row r="145" spans="2:23" x14ac:dyDescent="0.25">
      <c r="B145" s="661"/>
      <c r="C145" s="93"/>
      <c r="D145" s="662"/>
      <c r="E145" s="662"/>
      <c r="F145" s="100"/>
      <c r="G145" s="98"/>
      <c r="H145" s="98"/>
      <c r="I145" s="93"/>
      <c r="J145" s="93"/>
      <c r="K145" s="93"/>
      <c r="L145" s="93"/>
      <c r="M145" s="93"/>
      <c r="N145" s="93"/>
      <c r="O145" s="93"/>
      <c r="P145" s="93"/>
      <c r="Q145" s="93"/>
      <c r="R145" s="93"/>
      <c r="S145" s="93"/>
      <c r="T145" s="93"/>
      <c r="U145" s="93"/>
      <c r="V145" s="93"/>
      <c r="W145" s="93"/>
    </row>
    <row r="146" spans="2:23" x14ac:dyDescent="0.25">
      <c r="B146" s="661"/>
      <c r="C146" s="93"/>
      <c r="D146" s="662"/>
      <c r="E146" s="662"/>
      <c r="F146" s="100"/>
      <c r="G146" s="98" t="s">
        <v>1003</v>
      </c>
      <c r="H146" s="98" t="s">
        <v>1005</v>
      </c>
      <c r="I146" s="93" t="s">
        <v>1006</v>
      </c>
      <c r="J146" s="93" t="s">
        <v>1007</v>
      </c>
      <c r="K146" s="93" t="s">
        <v>1008</v>
      </c>
      <c r="L146" s="93"/>
      <c r="M146" s="93"/>
      <c r="N146" s="93"/>
      <c r="O146" s="93"/>
      <c r="P146" s="93"/>
      <c r="Q146" s="93"/>
      <c r="R146" s="93"/>
      <c r="S146" s="93"/>
      <c r="T146" s="93"/>
      <c r="U146" s="93"/>
      <c r="V146" s="93"/>
      <c r="W146" s="93"/>
    </row>
    <row r="147" spans="2:23" x14ac:dyDescent="0.25">
      <c r="B147" s="661"/>
      <c r="C147" s="93"/>
      <c r="D147" s="667" t="s">
        <v>1009</v>
      </c>
      <c r="E147" s="662"/>
      <c r="F147" s="100"/>
      <c r="G147" s="98" t="s">
        <v>1010</v>
      </c>
      <c r="H147" s="664">
        <f>SUMIF($G$14:$G$139,"&gt;0",G14:G139)</f>
        <v>1444029.0079999999</v>
      </c>
      <c r="I147" s="93" t="s">
        <v>1011</v>
      </c>
      <c r="J147" s="665">
        <f>AVERAGE(I143:K143)</f>
        <v>1617430.9327662208</v>
      </c>
      <c r="K147" s="668">
        <f>(J147-H147)/(J147+H147)</f>
        <v>5.664027232798672E-2</v>
      </c>
      <c r="L147" s="93"/>
      <c r="M147" s="93"/>
      <c r="N147" s="93"/>
      <c r="O147" s="93"/>
      <c r="P147" s="93"/>
      <c r="Q147" s="93"/>
      <c r="R147" s="93"/>
      <c r="S147" s="93"/>
      <c r="T147" s="93"/>
      <c r="U147" s="93"/>
      <c r="V147" s="93"/>
      <c r="W147" s="93"/>
    </row>
    <row r="148" spans="2:23" x14ac:dyDescent="0.25">
      <c r="B148" s="661"/>
      <c r="C148" s="93"/>
      <c r="D148" s="662"/>
      <c r="E148" s="662"/>
      <c r="F148" s="100"/>
      <c r="G148" s="98" t="s">
        <v>1012</v>
      </c>
      <c r="H148" s="666">
        <f>H143*(1+'RIFvMIF (Scenario1)'!AU4)</f>
        <v>1496267.8539189959</v>
      </c>
      <c r="I148" s="93" t="s">
        <v>1013</v>
      </c>
      <c r="J148" s="665">
        <f>AVERAGE(L143:O143)</f>
        <v>1738874.1378202091</v>
      </c>
      <c r="K148" s="668">
        <f>(J148-H148)/(J148+H148)</f>
        <v>7.4990922970521179E-2</v>
      </c>
      <c r="L148" s="93"/>
      <c r="M148" s="93"/>
      <c r="N148" s="93"/>
      <c r="O148" s="93"/>
      <c r="P148" s="93"/>
      <c r="Q148" s="93"/>
      <c r="R148" s="93"/>
      <c r="S148" s="93"/>
      <c r="T148" s="93"/>
      <c r="U148" s="93"/>
      <c r="V148" s="93"/>
      <c r="W148" s="93"/>
    </row>
    <row r="149" spans="2:23" x14ac:dyDescent="0.25">
      <c r="B149" s="661"/>
      <c r="C149" s="93"/>
      <c r="D149" s="662"/>
      <c r="E149" s="662"/>
      <c r="F149" s="100"/>
      <c r="G149" s="98"/>
      <c r="H149" s="93"/>
      <c r="I149" s="93"/>
      <c r="J149" s="93"/>
      <c r="K149" s="661"/>
      <c r="L149" s="93"/>
      <c r="M149" s="93"/>
      <c r="N149" s="93"/>
      <c r="O149" s="93"/>
      <c r="P149" s="93"/>
      <c r="Q149" s="93"/>
      <c r="R149" s="93"/>
      <c r="S149" s="93"/>
      <c r="T149" s="93"/>
      <c r="U149" s="93"/>
      <c r="V149" s="93"/>
      <c r="W149" s="93"/>
    </row>
    <row r="150" spans="2:23" x14ac:dyDescent="0.25">
      <c r="B150" s="661"/>
      <c r="C150" s="93"/>
      <c r="D150" s="662"/>
      <c r="E150" s="662"/>
      <c r="F150" s="100"/>
      <c r="G150" s="98"/>
      <c r="H150" s="93"/>
      <c r="I150" s="98"/>
      <c r="J150" s="93"/>
      <c r="K150" s="661"/>
      <c r="L150" s="93"/>
      <c r="M150" s="93"/>
      <c r="N150" s="93"/>
      <c r="O150" s="93"/>
      <c r="P150" s="93"/>
      <c r="Q150" s="93"/>
      <c r="R150" s="93"/>
      <c r="S150" s="93"/>
      <c r="T150" s="93"/>
      <c r="U150" s="93"/>
      <c r="V150" s="93"/>
      <c r="W150" s="93"/>
    </row>
    <row r="151" spans="2:23" x14ac:dyDescent="0.25">
      <c r="B151" s="661"/>
      <c r="C151" s="93"/>
      <c r="D151" s="661" t="s">
        <v>1014</v>
      </c>
      <c r="E151" s="662"/>
      <c r="F151" s="100"/>
      <c r="G151" s="98" t="s">
        <v>1010</v>
      </c>
      <c r="H151" s="664">
        <f>H147/83</f>
        <v>17397.939855421686</v>
      </c>
      <c r="I151" s="93" t="s">
        <v>1011</v>
      </c>
      <c r="J151" s="665">
        <f>AVERAGE(I144:K144)/116</f>
        <v>22333.574694647508</v>
      </c>
      <c r="K151" s="668">
        <f>(J151-H151)/(J151+H151)</f>
        <v>0.12422468398495085</v>
      </c>
      <c r="L151" s="93"/>
      <c r="M151" s="93" t="s">
        <v>1015</v>
      </c>
      <c r="N151" s="93"/>
      <c r="O151" s="93"/>
      <c r="P151" s="93"/>
      <c r="Q151" s="93"/>
      <c r="R151" s="93"/>
      <c r="S151" s="93"/>
      <c r="T151" s="93"/>
      <c r="U151" s="93"/>
      <c r="V151" s="93"/>
      <c r="W151" s="93"/>
    </row>
    <row r="152" spans="2:23" x14ac:dyDescent="0.25">
      <c r="B152" s="661"/>
      <c r="C152" s="93"/>
      <c r="D152" s="662"/>
      <c r="E152" s="662"/>
      <c r="F152" s="100"/>
      <c r="G152" s="98" t="s">
        <v>1012</v>
      </c>
      <c r="H152" s="664">
        <f>H148/83</f>
        <v>18027.323541192723</v>
      </c>
      <c r="I152" s="93" t="s">
        <v>1013</v>
      </c>
      <c r="J152" s="665">
        <f>AVERAGE(L144:O144)/116</f>
        <v>24011.772156959491</v>
      </c>
      <c r="K152" s="668">
        <f>(J152-H152)/(J152+H152)</f>
        <v>0.14235436125306108</v>
      </c>
      <c r="L152" s="93"/>
      <c r="M152" s="93" t="s">
        <v>1016</v>
      </c>
      <c r="N152" s="93"/>
      <c r="O152" s="93"/>
      <c r="P152" s="93"/>
      <c r="Q152" s="93"/>
      <c r="R152" s="93"/>
      <c r="S152" s="93"/>
      <c r="T152" s="93"/>
      <c r="U152" s="93"/>
      <c r="V152" s="93"/>
      <c r="W152" s="93"/>
    </row>
    <row r="153" spans="2:23" x14ac:dyDescent="0.25">
      <c r="B153" s="661"/>
      <c r="C153" s="93"/>
      <c r="D153" s="662"/>
      <c r="E153" s="662"/>
      <c r="F153" s="100"/>
      <c r="G153" s="98" t="s">
        <v>1017</v>
      </c>
      <c r="H153" s="93"/>
      <c r="I153" s="93" t="s">
        <v>1018</v>
      </c>
      <c r="J153" s="93"/>
      <c r="K153" s="93"/>
      <c r="L153" s="93"/>
      <c r="M153" s="93"/>
      <c r="N153" s="93"/>
      <c r="O153" s="93"/>
      <c r="P153" s="93"/>
      <c r="Q153" s="93"/>
      <c r="R153" s="93"/>
      <c r="S153" s="93"/>
      <c r="T153" s="93"/>
      <c r="U153" s="93"/>
      <c r="V153" s="93"/>
      <c r="W153" s="93"/>
    </row>
    <row r="161" spans="1:50" s="30" customFormat="1" x14ac:dyDescent="0.25">
      <c r="A161" s="11"/>
      <c r="B161" s="10"/>
      <c r="C161" s="11"/>
      <c r="F161" s="60"/>
      <c r="G161" s="13"/>
      <c r="H161" s="13"/>
      <c r="I161" s="13"/>
      <c r="J161" s="13"/>
      <c r="K161" s="13"/>
      <c r="L161" s="13"/>
      <c r="M161" s="13"/>
      <c r="N161" s="13"/>
      <c r="O161" s="13"/>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row>
    <row r="162" spans="1:50" s="30" customFormat="1" x14ac:dyDescent="0.25">
      <c r="A162" s="11"/>
      <c r="B162" s="10"/>
      <c r="C162" s="11"/>
      <c r="F162" s="60"/>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sheetData>
  <mergeCells count="10">
    <mergeCell ref="H10:O10"/>
    <mergeCell ref="P10:W10"/>
    <mergeCell ref="H11:I11"/>
    <mergeCell ref="J11:K11"/>
    <mergeCell ref="L11:M11"/>
    <mergeCell ref="N11:O11"/>
    <mergeCell ref="P11:Q11"/>
    <mergeCell ref="R11:S11"/>
    <mergeCell ref="T11:U11"/>
    <mergeCell ref="V11:W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53"/>
  <sheetViews>
    <sheetView workbookViewId="0"/>
  </sheetViews>
  <sheetFormatPr defaultColWidth="4.42578125" defaultRowHeight="15.75" x14ac:dyDescent="0.25"/>
  <cols>
    <col min="1" max="1" width="1.42578125" style="11" customWidth="1"/>
    <col min="2" max="2" width="12" style="10" customWidth="1"/>
    <col min="3" max="3" width="28" style="30" customWidth="1"/>
    <col min="4" max="4" width="12.140625" style="60" customWidth="1"/>
    <col min="5" max="6" width="12.85546875" style="60" customWidth="1"/>
    <col min="7" max="7" width="12.85546875" style="13" customWidth="1"/>
    <col min="8" max="8" width="12.85546875" style="376" customWidth="1"/>
    <col min="9" max="9" width="11.42578125" style="11" customWidth="1"/>
    <col min="10" max="10" width="11.42578125" style="60" customWidth="1"/>
    <col min="11" max="11" width="11.42578125" style="12" customWidth="1"/>
    <col min="12" max="12" width="10.5703125" style="12" customWidth="1"/>
    <col min="13" max="14" width="11.5703125" style="12" customWidth="1"/>
    <col min="15" max="15" width="10" style="368" customWidth="1"/>
    <col min="16" max="16" width="8.5703125" style="12" customWidth="1"/>
    <col min="17" max="17" width="10.5703125" style="11" customWidth="1"/>
    <col min="18" max="18" width="8.5703125" style="13" customWidth="1"/>
    <col min="19" max="19" width="9.5703125" style="375" customWidth="1"/>
    <col min="20" max="20" width="8.5703125" style="14" customWidth="1"/>
    <col min="21" max="21" width="8.5703125" style="11" customWidth="1"/>
    <col min="22" max="22" width="8.5703125" style="376" customWidth="1"/>
    <col min="23" max="24" width="8.5703125" style="11" customWidth="1"/>
    <col min="25" max="25" width="8.5703125" style="376" customWidth="1"/>
    <col min="26" max="27" width="8.5703125" style="11" customWidth="1"/>
    <col min="28" max="28" width="8.5703125" style="376" customWidth="1"/>
    <col min="29" max="16384" width="4.42578125" style="11"/>
  </cols>
  <sheetData>
    <row r="1" spans="1:36" ht="17.100000000000001" customHeight="1" thickBot="1" x14ac:dyDescent="0.3">
      <c r="B1" s="10" t="s">
        <v>54</v>
      </c>
      <c r="G1" s="11"/>
      <c r="I1" s="60"/>
    </row>
    <row r="2" spans="1:36" ht="17.100000000000001" customHeight="1" x14ac:dyDescent="0.25">
      <c r="A2" s="10"/>
      <c r="B2" s="962" t="str">
        <f>+HYPERLINK(ContextAreas_Map!A1,"Context Area")</f>
        <v>Context Area</v>
      </c>
      <c r="C2" s="963"/>
      <c r="E2" s="966" t="s">
        <v>59</v>
      </c>
      <c r="F2" s="967"/>
      <c r="G2" s="967"/>
      <c r="H2" s="967"/>
      <c r="I2" s="967"/>
      <c r="J2" s="968"/>
      <c r="L2" s="390" t="s">
        <v>67</v>
      </c>
      <c r="M2" s="391"/>
      <c r="O2" s="969" t="s">
        <v>60</v>
      </c>
      <c r="P2" s="970"/>
      <c r="Q2" s="970"/>
      <c r="R2" s="970"/>
      <c r="S2" s="971"/>
    </row>
    <row r="3" spans="1:36" ht="17.100000000000001" customHeight="1" thickBot="1" x14ac:dyDescent="0.3">
      <c r="A3" s="10"/>
      <c r="B3" s="964"/>
      <c r="C3" s="965"/>
      <c r="E3" s="388" t="s">
        <v>61</v>
      </c>
      <c r="F3" s="363" t="s">
        <v>62</v>
      </c>
      <c r="G3" s="364" t="s">
        <v>63</v>
      </c>
      <c r="H3" s="405" t="s">
        <v>64</v>
      </c>
      <c r="I3" s="364" t="s">
        <v>65</v>
      </c>
      <c r="J3" s="389" t="s">
        <v>66</v>
      </c>
      <c r="K3" s="60"/>
      <c r="L3" s="394" t="s">
        <v>70</v>
      </c>
      <c r="M3" s="392">
        <f>ITECountywide!B4</f>
        <v>1.67</v>
      </c>
      <c r="O3" s="470"/>
      <c r="P3" s="363"/>
      <c r="Q3" s="475" t="s">
        <v>62</v>
      </c>
      <c r="R3" s="476" t="s">
        <v>63</v>
      </c>
      <c r="S3" s="477" t="s">
        <v>66</v>
      </c>
      <c r="T3" s="10"/>
      <c r="U3" s="10"/>
    </row>
    <row r="4" spans="1:36" ht="17.100000000000001" customHeight="1" thickBot="1" x14ac:dyDescent="0.3">
      <c r="A4" s="10"/>
      <c r="B4" s="959" t="s">
        <v>55</v>
      </c>
      <c r="C4" s="961">
        <v>1</v>
      </c>
      <c r="E4" s="396" t="s">
        <v>69</v>
      </c>
      <c r="F4" s="383">
        <f>'2045_24hr_all_productions'!$Q$35</f>
        <v>0.64369868155585797</v>
      </c>
      <c r="G4" s="383">
        <f>'2045_24hr_all_productions'!$S$35</f>
        <v>0.10364097029981702</v>
      </c>
      <c r="H4" s="464">
        <f>'2045_24hr_all_productions'!$T$35</f>
        <v>0.17642753249190635</v>
      </c>
      <c r="I4" s="383">
        <f>'2045_24hr_all_productions'!$R$35</f>
        <v>7.6232815652418712E-2</v>
      </c>
      <c r="J4" s="397">
        <f>+H4+I4</f>
        <v>0.25266034814432503</v>
      </c>
      <c r="K4" s="60"/>
      <c r="L4" s="395" t="s">
        <v>73</v>
      </c>
      <c r="M4" s="393">
        <f>ITECountywide!B4</f>
        <v>1.67</v>
      </c>
      <c r="O4" s="472" t="s">
        <v>388</v>
      </c>
      <c r="P4" s="603"/>
      <c r="Q4" s="604">
        <f>+RoadCapCost!P15</f>
        <v>261.71052631578948</v>
      </c>
      <c r="R4" s="604">
        <f>+TransitCapCost!AD13</f>
        <v>154.50490219883392</v>
      </c>
      <c r="S4" s="471">
        <f>+WalkBikeCapCost!$Z$7</f>
        <v>37.9060089869281</v>
      </c>
      <c r="T4" s="11"/>
    </row>
    <row r="5" spans="1:36" ht="17.100000000000001" customHeight="1" thickBot="1" x14ac:dyDescent="0.3">
      <c r="B5" s="960"/>
      <c r="C5" s="958"/>
      <c r="E5" s="396" t="s">
        <v>72</v>
      </c>
      <c r="F5" s="383">
        <f>'2045_24hr_all_attractions'!$Q$39</f>
        <v>0.72504937644602452</v>
      </c>
      <c r="G5" s="383">
        <f>'2045_24hr_all_attractions'!$S$39</f>
        <v>7.9476327521020254E-2</v>
      </c>
      <c r="H5" s="464">
        <f>'2045_24hr_all_attractions'!$T$39</f>
        <v>0.14009367417188645</v>
      </c>
      <c r="I5" s="383">
        <f>'2045_24hr_all_attractions'!$R$39</f>
        <v>5.5380621861068791E-2</v>
      </c>
      <c r="J5" s="397">
        <f>+H5+I5</f>
        <v>0.19547429603295524</v>
      </c>
      <c r="K5" s="60"/>
      <c r="S5" s="380"/>
      <c r="T5" s="11"/>
    </row>
    <row r="6" spans="1:36" ht="17.100000000000001" customHeight="1" x14ac:dyDescent="0.25">
      <c r="B6" s="955" t="s">
        <v>56</v>
      </c>
      <c r="C6" s="957" t="s">
        <v>393</v>
      </c>
      <c r="E6" s="396" t="s">
        <v>74</v>
      </c>
      <c r="F6" s="385">
        <f>'2045_24hr_all_productions'!$M$35</f>
        <v>7.4108296796813216</v>
      </c>
      <c r="G6" s="385">
        <f>'2045_24hr_all_productions'!$O$35</f>
        <v>6.1592704513558783</v>
      </c>
      <c r="H6" s="386">
        <f>'2045_24hr_all_productions'!$P$35</f>
        <v>0.84086591138769218</v>
      </c>
      <c r="I6" s="385">
        <f>'2045_24hr_all_productions'!$N$35</f>
        <v>3.5767890444683799</v>
      </c>
      <c r="J6" s="398">
        <f>+((H4/J4)*H6)+(I4/J4*I6)</f>
        <v>1.6663501053863081</v>
      </c>
      <c r="K6" s="60"/>
      <c r="O6" s="60"/>
      <c r="P6" s="11"/>
      <c r="S6" s="380"/>
    </row>
    <row r="7" spans="1:36" ht="17.100000000000001" customHeight="1" thickBot="1" x14ac:dyDescent="0.3">
      <c r="B7" s="956"/>
      <c r="C7" s="958"/>
      <c r="E7" s="399" t="s">
        <v>75</v>
      </c>
      <c r="F7" s="400">
        <f>'2045_24hr_all_attractions'!$M$39</f>
        <v>7.994232834705727</v>
      </c>
      <c r="G7" s="400">
        <f>'2045_24hr_all_attractions'!$O$39</f>
        <v>5.6295498437943765</v>
      </c>
      <c r="H7" s="402">
        <f>'2045_24hr_all_attractions'!$P$39</f>
        <v>0.82615080963506005</v>
      </c>
      <c r="I7" s="400">
        <f>'2045_24hr_all_attractions'!$N$39</f>
        <v>4.0010719380476871</v>
      </c>
      <c r="J7" s="401">
        <f>+((H5/J5)*H7)+(I5/J5*I7)</f>
        <v>1.7256506928406465</v>
      </c>
      <c r="K7" s="60"/>
      <c r="O7" s="60"/>
      <c r="P7" s="11"/>
      <c r="R7" s="11"/>
    </row>
    <row r="8" spans="1:36" ht="17.100000000000001" customHeight="1" thickBot="1" x14ac:dyDescent="0.3">
      <c r="H8" s="382"/>
      <c r="K8" s="60"/>
      <c r="O8" s="60"/>
      <c r="P8" s="11"/>
      <c r="R8" s="11"/>
      <c r="AB8" s="11"/>
    </row>
    <row r="9" spans="1:36" s="404" customFormat="1" ht="26.1" customHeight="1" x14ac:dyDescent="0.25">
      <c r="B9" s="943" t="s">
        <v>389</v>
      </c>
      <c r="C9" s="944"/>
      <c r="D9" s="944"/>
      <c r="E9" s="944"/>
      <c r="F9" s="944"/>
      <c r="G9" s="944"/>
      <c r="H9" s="944"/>
      <c r="I9" s="949" t="s">
        <v>76</v>
      </c>
      <c r="J9" s="950"/>
      <c r="K9" s="950"/>
      <c r="L9" s="950"/>
      <c r="M9" s="950"/>
      <c r="N9" s="950"/>
      <c r="O9" s="951"/>
      <c r="P9" s="945" t="s">
        <v>77</v>
      </c>
      <c r="Q9" s="946"/>
      <c r="R9" s="946"/>
      <c r="S9" s="947"/>
      <c r="T9" s="945" t="s">
        <v>63</v>
      </c>
      <c r="U9" s="946"/>
      <c r="V9" s="947"/>
      <c r="W9" s="945" t="s">
        <v>66</v>
      </c>
      <c r="X9" s="946"/>
      <c r="Y9" s="948"/>
    </row>
    <row r="10" spans="1:36" s="9" customFormat="1" ht="99" customHeight="1" x14ac:dyDescent="0.3">
      <c r="B10" s="737" t="s">
        <v>78</v>
      </c>
      <c r="C10" s="605" t="s">
        <v>79</v>
      </c>
      <c r="D10" s="370" t="s">
        <v>80</v>
      </c>
      <c r="E10" s="370" t="s">
        <v>82</v>
      </c>
      <c r="F10" s="370" t="s">
        <v>83</v>
      </c>
      <c r="G10" s="606" t="s">
        <v>84</v>
      </c>
      <c r="H10" s="479" t="s">
        <v>85</v>
      </c>
      <c r="I10" s="607" t="s">
        <v>86</v>
      </c>
      <c r="J10" s="370" t="s">
        <v>87</v>
      </c>
      <c r="K10" s="608" t="s">
        <v>88</v>
      </c>
      <c r="L10" s="407" t="s">
        <v>390</v>
      </c>
      <c r="M10" s="406" t="s">
        <v>391</v>
      </c>
      <c r="N10" s="609" t="s">
        <v>91</v>
      </c>
      <c r="O10" s="480" t="s">
        <v>92</v>
      </c>
      <c r="P10" s="610" t="s">
        <v>93</v>
      </c>
      <c r="Q10" s="370" t="s">
        <v>94</v>
      </c>
      <c r="R10" s="611" t="s">
        <v>95</v>
      </c>
      <c r="S10" s="469" t="s">
        <v>96</v>
      </c>
      <c r="T10" s="607" t="s">
        <v>93</v>
      </c>
      <c r="U10" s="611" t="s">
        <v>97</v>
      </c>
      <c r="V10" s="469" t="s">
        <v>96</v>
      </c>
      <c r="W10" s="612" t="s">
        <v>93</v>
      </c>
      <c r="X10" s="613" t="s">
        <v>98</v>
      </c>
      <c r="Y10" s="762" t="s">
        <v>96</v>
      </c>
    </row>
    <row r="11" spans="1:36" ht="17.100000000000001" customHeight="1" x14ac:dyDescent="0.25">
      <c r="B11" s="739" t="str">
        <f>ITE_LUC_Rates!A2</f>
        <v>Port and Terminal</v>
      </c>
      <c r="C11" s="466"/>
      <c r="D11" s="466"/>
      <c r="E11" s="466"/>
      <c r="F11" s="466"/>
      <c r="G11" s="467"/>
      <c r="H11" s="482"/>
      <c r="I11" s="483"/>
      <c r="J11" s="484"/>
      <c r="K11" s="484"/>
      <c r="L11" s="484"/>
      <c r="M11" s="484"/>
      <c r="N11" s="484"/>
      <c r="O11" s="485"/>
      <c r="P11" s="483"/>
      <c r="Q11" s="484"/>
      <c r="R11" s="484"/>
      <c r="S11" s="485"/>
      <c r="T11" s="483"/>
      <c r="U11" s="484"/>
      <c r="V11" s="485"/>
      <c r="W11" s="483"/>
      <c r="X11" s="484"/>
      <c r="Y11" s="740"/>
      <c r="Z11" s="381"/>
      <c r="AB11" s="11"/>
    </row>
    <row r="12" spans="1:36" ht="17.100000000000001" customHeight="1" x14ac:dyDescent="0.25">
      <c r="B12" s="741">
        <v>30</v>
      </c>
      <c r="C12" s="367" t="str">
        <f>+CurrentFee_RIF!C5</f>
        <v>Truck Terminal</v>
      </c>
      <c r="D12" s="366" t="s">
        <v>112</v>
      </c>
      <c r="E12" s="365">
        <f>ITE_LUC_Rates!G3</f>
        <v>9.85</v>
      </c>
      <c r="F12" s="366" t="s">
        <v>73</v>
      </c>
      <c r="G12" s="373">
        <f>ITE_LUC_Rates!Q3</f>
        <v>10080.200000000001</v>
      </c>
      <c r="H12" s="499">
        <f>+S12+V12+Y12</f>
        <v>8839.9730032134648</v>
      </c>
      <c r="I12" s="487">
        <f>ITECountywide!$B$9*E12</f>
        <v>17.853918169193626</v>
      </c>
      <c r="J12" s="488">
        <f>IF(F12="Prod",$M$3,$M$4)</f>
        <v>1.67</v>
      </c>
      <c r="K12" s="372">
        <f>IF(F12="Prod",$F$4,$F$5)</f>
        <v>0.72504937644602452</v>
      </c>
      <c r="L12" s="488">
        <f>Passby_Length_Adj!H7</f>
        <v>1</v>
      </c>
      <c r="M12" s="488">
        <f>Passby_Length_Adj!J7</f>
        <v>1</v>
      </c>
      <c r="N12" s="372">
        <v>0.5</v>
      </c>
      <c r="O12" s="481">
        <f>L12*M12*N12</f>
        <v>0.5</v>
      </c>
      <c r="P12" s="489">
        <f>IF($F12="Prod",$I12*$O12*$F$4*$F$6,$I12*O12*$F$5*$F$7)</f>
        <v>51.742561045462239</v>
      </c>
      <c r="Q12" s="490">
        <f>+P12/J12</f>
        <v>30.983569488300741</v>
      </c>
      <c r="R12" s="491">
        <f>+$Q$4</f>
        <v>261.71052631578948</v>
      </c>
      <c r="S12" s="500">
        <f>+Q12*R12</f>
        <v>8108.7262779250232</v>
      </c>
      <c r="T12" s="489">
        <f>IF($F12="Prod",$I12*$O12*$G$4*$G$6,$I12*$O12*$G$5*$G$7)</f>
        <v>3.9940638542836853</v>
      </c>
      <c r="U12" s="493">
        <f>+$R$4</f>
        <v>154.50490219883392</v>
      </c>
      <c r="V12" s="500">
        <f>+T12*U12</f>
        <v>617.10244518199841</v>
      </c>
      <c r="W12" s="489">
        <f>IF($F12="Prod",$I12*$O12*$J$4*$J$6,$I12*$O12*$J$5*$J$7)</f>
        <v>3.0112450019680872</v>
      </c>
      <c r="X12" s="493">
        <f>$S$4</f>
        <v>37.9060089869281</v>
      </c>
      <c r="Y12" s="763">
        <f>+W12*X12</f>
        <v>114.14428010644464</v>
      </c>
      <c r="Z12" s="381"/>
      <c r="AB12" s="11"/>
      <c r="AD12" s="58"/>
      <c r="AI12" s="58"/>
    </row>
    <row r="13" spans="1:36" ht="17.100000000000001" customHeight="1" x14ac:dyDescent="0.25">
      <c r="B13" s="739" t="str">
        <f>ITE_LUC_Rates!A4</f>
        <v>Industrial</v>
      </c>
      <c r="C13" s="466"/>
      <c r="D13" s="466"/>
      <c r="E13" s="466"/>
      <c r="F13" s="466"/>
      <c r="G13" s="467"/>
      <c r="H13" s="482"/>
      <c r="I13" s="483"/>
      <c r="J13" s="484"/>
      <c r="K13" s="484"/>
      <c r="L13" s="484"/>
      <c r="M13" s="484"/>
      <c r="N13" s="484"/>
      <c r="O13" s="485"/>
      <c r="P13" s="483"/>
      <c r="Q13" s="484"/>
      <c r="R13" s="484"/>
      <c r="S13" s="485"/>
      <c r="T13" s="483"/>
      <c r="U13" s="484"/>
      <c r="V13" s="485"/>
      <c r="W13" s="483"/>
      <c r="X13" s="484"/>
      <c r="Y13" s="740"/>
      <c r="Z13" s="494"/>
      <c r="AB13" s="11"/>
      <c r="AJ13" s="58"/>
    </row>
    <row r="14" spans="1:36" ht="17.100000000000001" customHeight="1" x14ac:dyDescent="0.25">
      <c r="B14" s="741">
        <f>ITE_LUC_Rates!A5</f>
        <v>110</v>
      </c>
      <c r="C14" s="367" t="str">
        <f>ITE_LUC_Rates!B5</f>
        <v>General Light Industrial</v>
      </c>
      <c r="D14" s="366" t="str">
        <f>ITE_LUC_Rates!C5</f>
        <v>1000 GSF</v>
      </c>
      <c r="E14" s="365">
        <f>ITE_LUC_Rates!G5</f>
        <v>4.96</v>
      </c>
      <c r="F14" s="366" t="s">
        <v>73</v>
      </c>
      <c r="G14" s="373">
        <f>ITE_LUC_Rates!Q5</f>
        <v>0</v>
      </c>
      <c r="H14" s="499">
        <f t="shared" ref="H14:H76" si="0">+S14+V14+Y14</f>
        <v>4451.3975731917562</v>
      </c>
      <c r="I14" s="487">
        <f>ITECountywide!$B$9*E14</f>
        <v>8.9903994029645062</v>
      </c>
      <c r="J14" s="488">
        <f t="shared" ref="J14:J20" si="1">IF(F14="Prod",$M$3,$M$4)</f>
        <v>1.67</v>
      </c>
      <c r="K14" s="372">
        <f t="shared" ref="K14:K20" si="2">IF(F14="Prod",$F$4,$F$5)</f>
        <v>0.72504937644602452</v>
      </c>
      <c r="L14" s="488">
        <f>Passby_Length_Adj!H9</f>
        <v>1</v>
      </c>
      <c r="M14" s="488">
        <f>Passby_Length_Adj!J9</f>
        <v>1</v>
      </c>
      <c r="N14" s="372">
        <v>0.5</v>
      </c>
      <c r="O14" s="481">
        <f t="shared" ref="O14:O20" si="3">L14*M14*N14</f>
        <v>0.5</v>
      </c>
      <c r="P14" s="489">
        <f t="shared" ref="P14:P20" si="4">IF($F14="Prod",$I14*$O14*$F$4*$F$6,$I14*O14*$F$5*$F$7)</f>
        <v>26.055137338628704</v>
      </c>
      <c r="Q14" s="490">
        <f t="shared" ref="Q14:Q20" si="5">+P14/J14</f>
        <v>15.601878645885453</v>
      </c>
      <c r="R14" s="491">
        <f t="shared" ref="R14:R20" si="6">+$Q$4</f>
        <v>261.71052631578948</v>
      </c>
      <c r="S14" s="500">
        <f t="shared" ref="S14:S20" si="7">+Q14*R14</f>
        <v>4083.1758719297586</v>
      </c>
      <c r="T14" s="489">
        <f t="shared" ref="T14:T20" si="8">IF($F14="Prod",$I14*$O14*$G$4*$G$6,$I14*$O14*$G$5*$G$7)</f>
        <v>2.0112240322078256</v>
      </c>
      <c r="U14" s="493">
        <f t="shared" ref="U14:U20" si="9">+$R$4</f>
        <v>154.50490219883392</v>
      </c>
      <c r="V14" s="500">
        <f t="shared" ref="V14:V20" si="10">+T14*U14</f>
        <v>310.74397239621447</v>
      </c>
      <c r="W14" s="489">
        <f t="shared" ref="W14:W20" si="11">IF($F14="Prod",$I14*$O14*$J$4*$J$6,$I14*$O14*$J$5*$J$7)</f>
        <v>1.516322356320986</v>
      </c>
      <c r="X14" s="493">
        <f t="shared" ref="X14:X20" si="12">$S$4</f>
        <v>37.9060089869281</v>
      </c>
      <c r="Y14" s="763">
        <f t="shared" ref="Y14:Y20" si="13">+W14*X14</f>
        <v>57.477728865783291</v>
      </c>
      <c r="Z14" s="381"/>
      <c r="AA14" s="59"/>
      <c r="AB14" s="11"/>
    </row>
    <row r="15" spans="1:36" ht="17.100000000000001" customHeight="1" x14ac:dyDescent="0.25">
      <c r="B15" s="741">
        <f>ITE_LUC_Rates!A6</f>
        <v>130</v>
      </c>
      <c r="C15" s="367" t="str">
        <f>ITE_LUC_Rates!B6</f>
        <v>Industrial Park</v>
      </c>
      <c r="D15" s="366" t="str">
        <f>ITE_LUC_Rates!C6</f>
        <v>1000 GSF</v>
      </c>
      <c r="E15" s="365">
        <f>ITE_LUC_Rates!G6</f>
        <v>3.37</v>
      </c>
      <c r="F15" s="366" t="s">
        <v>73</v>
      </c>
      <c r="G15" s="373">
        <f>ITE_LUC_Rates!Q6</f>
        <v>7020.7</v>
      </c>
      <c r="H15" s="499">
        <f t="shared" si="0"/>
        <v>3024.4374640435917</v>
      </c>
      <c r="I15" s="487">
        <f>ITECountywide!$B$9*E15</f>
        <v>6.1083963685464484</v>
      </c>
      <c r="J15" s="488">
        <f t="shared" si="1"/>
        <v>1.67</v>
      </c>
      <c r="K15" s="372">
        <f t="shared" si="2"/>
        <v>0.72504937644602452</v>
      </c>
      <c r="L15" s="488">
        <f>Passby_Length_Adj!H10</f>
        <v>1</v>
      </c>
      <c r="M15" s="488">
        <f>Passby_Length_Adj!J10</f>
        <v>1</v>
      </c>
      <c r="N15" s="372">
        <v>0.5</v>
      </c>
      <c r="O15" s="481">
        <f t="shared" si="3"/>
        <v>0.5</v>
      </c>
      <c r="P15" s="489">
        <f t="shared" si="4"/>
        <v>17.702784844995708</v>
      </c>
      <c r="Q15" s="490">
        <f t="shared" si="5"/>
        <v>10.600469967063299</v>
      </c>
      <c r="R15" s="491">
        <f t="shared" si="6"/>
        <v>261.71052631578948</v>
      </c>
      <c r="S15" s="500">
        <f t="shared" si="7"/>
        <v>2774.2545742748557</v>
      </c>
      <c r="T15" s="489">
        <f t="shared" si="8"/>
        <v>1.3664969734960426</v>
      </c>
      <c r="U15" s="493">
        <f t="shared" si="9"/>
        <v>154.50490219883392</v>
      </c>
      <c r="V15" s="500">
        <f t="shared" si="10"/>
        <v>211.13048124500861</v>
      </c>
      <c r="W15" s="489">
        <f t="shared" si="11"/>
        <v>1.0302432138713149</v>
      </c>
      <c r="X15" s="493">
        <f t="shared" si="12"/>
        <v>37.9060089869281</v>
      </c>
      <c r="Y15" s="763">
        <f t="shared" si="13"/>
        <v>39.052408523727749</v>
      </c>
      <c r="Z15" s="381"/>
      <c r="AB15" s="11"/>
    </row>
    <row r="16" spans="1:36" ht="17.100000000000001" customHeight="1" x14ac:dyDescent="0.25">
      <c r="B16" s="741">
        <f>ITE_LUC_Rates!A7</f>
        <v>140</v>
      </c>
      <c r="C16" s="367" t="str">
        <f>ITE_LUC_Rates!B7</f>
        <v>Manufacturing</v>
      </c>
      <c r="D16" s="366" t="str">
        <f>ITE_LUC_Rates!C7</f>
        <v>1000 GSF</v>
      </c>
      <c r="E16" s="365">
        <f>ITE_LUC_Rates!G7</f>
        <v>3.93</v>
      </c>
      <c r="F16" s="366" t="s">
        <v>73</v>
      </c>
      <c r="G16" s="373">
        <f>ITE_LUC_Rates!Q7</f>
        <v>3853.5</v>
      </c>
      <c r="H16" s="499">
        <f t="shared" si="0"/>
        <v>3527.0146094039519</v>
      </c>
      <c r="I16" s="487">
        <f>ITECountywide!$B$9*E16</f>
        <v>7.1234414624295379</v>
      </c>
      <c r="J16" s="488">
        <f t="shared" si="1"/>
        <v>1.67</v>
      </c>
      <c r="K16" s="372">
        <f t="shared" si="2"/>
        <v>0.72504937644602452</v>
      </c>
      <c r="L16" s="488">
        <f>Passby_Length_Adj!H11</f>
        <v>1</v>
      </c>
      <c r="M16" s="488">
        <f>Passby_Length_Adj!J11</f>
        <v>1</v>
      </c>
      <c r="N16" s="372">
        <v>0.5</v>
      </c>
      <c r="O16" s="481">
        <f t="shared" si="3"/>
        <v>0.5</v>
      </c>
      <c r="P16" s="489">
        <f t="shared" si="4"/>
        <v>20.644493899357016</v>
      </c>
      <c r="Q16" s="490">
        <f t="shared" si="5"/>
        <v>12.36197239482456</v>
      </c>
      <c r="R16" s="491">
        <f t="shared" si="6"/>
        <v>261.71052631578948</v>
      </c>
      <c r="S16" s="500">
        <f t="shared" si="7"/>
        <v>3235.2583017507964</v>
      </c>
      <c r="T16" s="489">
        <f t="shared" si="8"/>
        <v>1.5935706545517649</v>
      </c>
      <c r="U16" s="493">
        <f t="shared" si="9"/>
        <v>154.50490219883392</v>
      </c>
      <c r="V16" s="500">
        <f t="shared" si="10"/>
        <v>246.21447812845219</v>
      </c>
      <c r="W16" s="489">
        <f t="shared" si="11"/>
        <v>1.2014408992623939</v>
      </c>
      <c r="X16" s="493">
        <f t="shared" si="12"/>
        <v>37.9060089869281</v>
      </c>
      <c r="Y16" s="763">
        <f t="shared" si="13"/>
        <v>45.541829524703282</v>
      </c>
      <c r="Z16" s="381"/>
      <c r="AB16" s="11"/>
      <c r="AD16" s="59"/>
    </row>
    <row r="17" spans="2:26" s="11" customFormat="1" ht="17.100000000000001" customHeight="1" x14ac:dyDescent="0.25">
      <c r="B17" s="741">
        <f>ITE_LUC_Rates!A8</f>
        <v>150</v>
      </c>
      <c r="C17" s="367" t="str">
        <f>ITE_LUC_Rates!B8</f>
        <v>Warehousing</v>
      </c>
      <c r="D17" s="366" t="str">
        <f>ITE_LUC_Rates!C8</f>
        <v>1000 GSF</v>
      </c>
      <c r="E17" s="365">
        <f>ITE_LUC_Rates!G8</f>
        <v>1.74</v>
      </c>
      <c r="F17" s="366" t="s">
        <v>73</v>
      </c>
      <c r="G17" s="373">
        <f>ITE_LUC_Rates!Q8</f>
        <v>5002.3</v>
      </c>
      <c r="H17" s="499">
        <f t="shared" si="0"/>
        <v>1561.5789873696881</v>
      </c>
      <c r="I17" s="487">
        <f>ITECountywide!$B$9*E17</f>
        <v>3.1538901131367418</v>
      </c>
      <c r="J17" s="488">
        <f t="shared" si="1"/>
        <v>1.67</v>
      </c>
      <c r="K17" s="372">
        <f t="shared" si="2"/>
        <v>0.72504937644602452</v>
      </c>
      <c r="L17" s="488">
        <f>Passby_Length_Adj!H12</f>
        <v>1</v>
      </c>
      <c r="M17" s="488">
        <f>Passby_Length_Adj!J12</f>
        <v>1</v>
      </c>
      <c r="N17" s="372">
        <v>0.5</v>
      </c>
      <c r="O17" s="481">
        <f t="shared" si="3"/>
        <v>0.5</v>
      </c>
      <c r="P17" s="489">
        <f t="shared" si="4"/>
        <v>9.1403102760511956</v>
      </c>
      <c r="Q17" s="490">
        <f t="shared" si="5"/>
        <v>5.4732396862582009</v>
      </c>
      <c r="R17" s="491">
        <f t="shared" si="6"/>
        <v>261.71052631578948</v>
      </c>
      <c r="S17" s="500">
        <f t="shared" si="7"/>
        <v>1432.4044389431003</v>
      </c>
      <c r="T17" s="489">
        <f t="shared" si="8"/>
        <v>0.70555036613742261</v>
      </c>
      <c r="U17" s="493">
        <f t="shared" si="9"/>
        <v>154.50490219883392</v>
      </c>
      <c r="V17" s="500">
        <f t="shared" si="10"/>
        <v>109.01099031641394</v>
      </c>
      <c r="W17" s="489">
        <f t="shared" si="11"/>
        <v>0.53193566532228131</v>
      </c>
      <c r="X17" s="493">
        <f t="shared" si="12"/>
        <v>37.9060089869281</v>
      </c>
      <c r="Y17" s="763">
        <f t="shared" si="13"/>
        <v>20.163558110173973</v>
      </c>
      <c r="Z17" s="381"/>
    </row>
    <row r="18" spans="2:26" s="11" customFormat="1" ht="17.100000000000001" customHeight="1" x14ac:dyDescent="0.25">
      <c r="B18" s="741">
        <f>ITE_LUC_Rates!A9</f>
        <v>151</v>
      </c>
      <c r="C18" s="367" t="str">
        <f>ITE_LUC_Rates!B9</f>
        <v>Mini-Warehousing</v>
      </c>
      <c r="D18" s="366" t="str">
        <f>ITE_LUC_Rates!C9</f>
        <v>1000 GSF</v>
      </c>
      <c r="E18" s="365">
        <f>ITE_LUC_Rates!G9</f>
        <v>1.51</v>
      </c>
      <c r="F18" s="366" t="s">
        <v>73</v>
      </c>
      <c r="G18" s="373">
        <f>ITE_LUC_Rates!Q9</f>
        <v>2415.4</v>
      </c>
      <c r="H18" s="499">
        <f t="shared" si="0"/>
        <v>1355.1633740966836</v>
      </c>
      <c r="I18" s="487">
        <f>ITECountywide!$B$9*E18</f>
        <v>2.736996592434759</v>
      </c>
      <c r="J18" s="495">
        <f t="shared" si="1"/>
        <v>1.67</v>
      </c>
      <c r="K18" s="372">
        <f t="shared" si="2"/>
        <v>0.72504937644602452</v>
      </c>
      <c r="L18" s="488">
        <f>Passby_Length_Adj!H13</f>
        <v>1</v>
      </c>
      <c r="M18" s="488">
        <f>Passby_Length_Adj!J13</f>
        <v>1</v>
      </c>
      <c r="N18" s="372">
        <v>0.5</v>
      </c>
      <c r="O18" s="481">
        <f t="shared" si="3"/>
        <v>0.5</v>
      </c>
      <c r="P18" s="489">
        <f t="shared" si="4"/>
        <v>7.932108343009947</v>
      </c>
      <c r="Q18" s="490">
        <f t="shared" si="5"/>
        <v>4.7497654748562557</v>
      </c>
      <c r="R18" s="491">
        <f t="shared" si="6"/>
        <v>261.71052631578948</v>
      </c>
      <c r="S18" s="500">
        <f t="shared" si="7"/>
        <v>1243.0636223011963</v>
      </c>
      <c r="T18" s="489">
        <f t="shared" si="8"/>
        <v>0.61228796141810815</v>
      </c>
      <c r="U18" s="493">
        <f t="shared" si="9"/>
        <v>154.50490219883392</v>
      </c>
      <c r="V18" s="500">
        <f t="shared" si="10"/>
        <v>94.60149159642819</v>
      </c>
      <c r="W18" s="489">
        <f t="shared" si="11"/>
        <v>0.46162233025094529</v>
      </c>
      <c r="X18" s="493">
        <f t="shared" si="12"/>
        <v>37.9060089869281</v>
      </c>
      <c r="Y18" s="763">
        <f t="shared" si="13"/>
        <v>17.498260199059022</v>
      </c>
      <c r="Z18" s="381"/>
    </row>
    <row r="19" spans="2:26" s="11" customFormat="1" ht="17.100000000000001" customHeight="1" x14ac:dyDescent="0.25">
      <c r="B19" s="741">
        <f>ITE_LUC_Rates!A10</f>
        <v>160</v>
      </c>
      <c r="C19" s="367" t="str">
        <f>ITE_LUC_Rates!B10</f>
        <v>Data Center</v>
      </c>
      <c r="D19" s="366" t="str">
        <f>ITE_LUC_Rates!C10</f>
        <v>1000 GSF</v>
      </c>
      <c r="E19" s="365">
        <f>ITE_LUC_Rates!G10</f>
        <v>0.99</v>
      </c>
      <c r="F19" s="366" t="s">
        <v>73</v>
      </c>
      <c r="G19" s="373">
        <f>ITE_LUC_Rates!Q10</f>
        <v>0</v>
      </c>
      <c r="H19" s="499">
        <f t="shared" si="0"/>
        <v>888.48459626206397</v>
      </c>
      <c r="I19" s="487">
        <f>ITECountywide!$B$9*E19</f>
        <v>1.7944547195433187</v>
      </c>
      <c r="J19" s="488">
        <f t="shared" si="1"/>
        <v>1.67</v>
      </c>
      <c r="K19" s="372">
        <f t="shared" si="2"/>
        <v>0.72504937644602452</v>
      </c>
      <c r="L19" s="488">
        <f>Passby_Length_Adj!H14</f>
        <v>1</v>
      </c>
      <c r="M19" s="488">
        <f>Passby_Length_Adj!J14</f>
        <v>1</v>
      </c>
      <c r="N19" s="372">
        <v>0.5</v>
      </c>
      <c r="O19" s="481">
        <f t="shared" si="3"/>
        <v>0.5</v>
      </c>
      <c r="P19" s="489">
        <f t="shared" si="4"/>
        <v>5.2005213639601635</v>
      </c>
      <c r="Q19" s="490">
        <f t="shared" si="5"/>
        <v>3.1140846490779421</v>
      </c>
      <c r="R19" s="491">
        <f t="shared" si="6"/>
        <v>261.71052631578948</v>
      </c>
      <c r="S19" s="500">
        <f t="shared" si="7"/>
        <v>814.98873250210886</v>
      </c>
      <c r="T19" s="489">
        <f t="shared" si="8"/>
        <v>0.40143382900922325</v>
      </c>
      <c r="U19" s="493">
        <f t="shared" si="9"/>
        <v>154.50490219883392</v>
      </c>
      <c r="V19" s="500">
        <f t="shared" si="10"/>
        <v>62.023494490373459</v>
      </c>
      <c r="W19" s="489">
        <f t="shared" si="11"/>
        <v>0.30265305095922906</v>
      </c>
      <c r="X19" s="493">
        <f t="shared" si="12"/>
        <v>37.9060089869281</v>
      </c>
      <c r="Y19" s="763">
        <f t="shared" si="13"/>
        <v>11.472369269581746</v>
      </c>
      <c r="Z19" s="381"/>
    </row>
    <row r="20" spans="2:26" s="11" customFormat="1" ht="17.100000000000001" customHeight="1" x14ac:dyDescent="0.25">
      <c r="B20" s="741">
        <f>ITE_LUC_Rates!A11</f>
        <v>170</v>
      </c>
      <c r="C20" s="367" t="str">
        <f>ITE_LUC_Rates!B11</f>
        <v>Utility</v>
      </c>
      <c r="D20" s="366" t="str">
        <f>ITE_LUC_Rates!C11</f>
        <v>1000 GSF</v>
      </c>
      <c r="E20" s="365">
        <f>ITE_LUC_Rates!G11</f>
        <v>13.24</v>
      </c>
      <c r="F20" s="366" t="s">
        <v>73</v>
      </c>
      <c r="G20" s="373">
        <f>ITE_LUC_Rates!Q11</f>
        <v>0</v>
      </c>
      <c r="H20" s="499">
        <f t="shared" si="0"/>
        <v>11882.359651019931</v>
      </c>
      <c r="I20" s="487">
        <f>ITECountywide!$B$9*E20</f>
        <v>23.998566148235899</v>
      </c>
      <c r="J20" s="488">
        <f t="shared" si="1"/>
        <v>1.67</v>
      </c>
      <c r="K20" s="372">
        <f t="shared" si="2"/>
        <v>0.72504937644602452</v>
      </c>
      <c r="L20" s="488">
        <f>Passby_Length_Adj!H15</f>
        <v>1</v>
      </c>
      <c r="M20" s="488">
        <f>Passby_Length_Adj!J15</f>
        <v>1</v>
      </c>
      <c r="N20" s="372">
        <v>0.5</v>
      </c>
      <c r="O20" s="481">
        <f t="shared" si="3"/>
        <v>0.5</v>
      </c>
      <c r="P20" s="489">
        <f t="shared" si="4"/>
        <v>69.550406928113716</v>
      </c>
      <c r="Q20" s="490">
        <f t="shared" si="5"/>
        <v>41.646950256355524</v>
      </c>
      <c r="R20" s="491">
        <f t="shared" si="6"/>
        <v>261.71052631578948</v>
      </c>
      <c r="S20" s="500">
        <f t="shared" si="7"/>
        <v>10899.445271038308</v>
      </c>
      <c r="T20" s="489">
        <f t="shared" si="8"/>
        <v>5.3686706021031467</v>
      </c>
      <c r="U20" s="493">
        <f t="shared" si="9"/>
        <v>154.50490219883392</v>
      </c>
      <c r="V20" s="500">
        <f t="shared" si="10"/>
        <v>829.48592631570148</v>
      </c>
      <c r="W20" s="489">
        <f t="shared" si="11"/>
        <v>4.0476024188890829</v>
      </c>
      <c r="X20" s="493">
        <f t="shared" si="12"/>
        <v>37.9060089869281</v>
      </c>
      <c r="Y20" s="763">
        <f t="shared" si="13"/>
        <v>153.4284536659215</v>
      </c>
      <c r="Z20" s="381"/>
    </row>
    <row r="21" spans="2:26" s="11" customFormat="1" ht="17.100000000000001" customHeight="1" x14ac:dyDescent="0.25">
      <c r="B21" s="739" t="str">
        <f>ITE_LUC_Rates!A12</f>
        <v>Residential</v>
      </c>
      <c r="C21" s="466"/>
      <c r="D21" s="466"/>
      <c r="E21" s="466"/>
      <c r="F21" s="466"/>
      <c r="G21" s="467"/>
      <c r="H21" s="482"/>
      <c r="I21" s="483"/>
      <c r="J21" s="484"/>
      <c r="K21" s="484"/>
      <c r="L21" s="484"/>
      <c r="M21" s="484"/>
      <c r="N21" s="484"/>
      <c r="O21" s="485"/>
      <c r="P21" s="483"/>
      <c r="Q21" s="484"/>
      <c r="R21" s="484"/>
      <c r="S21" s="485"/>
      <c r="T21" s="483"/>
      <c r="U21" s="484"/>
      <c r="V21" s="485"/>
      <c r="W21" s="483"/>
      <c r="X21" s="484"/>
      <c r="Y21" s="740"/>
      <c r="Z21" s="381"/>
    </row>
    <row r="22" spans="2:26" s="11" customFormat="1" ht="17.100000000000001" customHeight="1" x14ac:dyDescent="0.25">
      <c r="B22" s="741">
        <f>ITE_LUC_Rates!A13</f>
        <v>210</v>
      </c>
      <c r="C22" s="367" t="str">
        <f>ITE_LUC_Rates!B13</f>
        <v>Single Family Detached</v>
      </c>
      <c r="D22" s="366" t="str">
        <f>ITE_LUC_Rates!C13</f>
        <v>Dwelling unit</v>
      </c>
      <c r="E22" s="365">
        <f>ITE_LUC_Rates!G13</f>
        <v>9.44</v>
      </c>
      <c r="F22" s="366" t="s">
        <v>70</v>
      </c>
      <c r="G22" s="373">
        <f>ITE_LUC_Rates!Q13</f>
        <v>9543.67</v>
      </c>
      <c r="H22" s="499">
        <f t="shared" si="0"/>
        <v>7376.1219959648506</v>
      </c>
      <c r="I22" s="487">
        <f>ITECountywide!$B$9*E22</f>
        <v>17.110760154029219</v>
      </c>
      <c r="J22" s="488">
        <f t="shared" ref="J22:J35" si="14">IF(F22="Prod",$M$3,$M$4)</f>
        <v>1.67</v>
      </c>
      <c r="K22" s="372">
        <f t="shared" ref="K22:K35" si="15">IF(F22="Prod",$F$4,$F$5)</f>
        <v>0.64369868155585797</v>
      </c>
      <c r="L22" s="488">
        <f>Passby_Length_Adj!H17</f>
        <v>1</v>
      </c>
      <c r="M22" s="488">
        <f>Passby_Length_Adj!J17</f>
        <v>1</v>
      </c>
      <c r="N22" s="372">
        <v>0.5</v>
      </c>
      <c r="O22" s="481">
        <f t="shared" ref="O22:O35" si="16">L22*M22*N22</f>
        <v>0.5</v>
      </c>
      <c r="P22" s="489">
        <f t="shared" ref="P22:P35" si="17">IF($F22="Prod",$I22*$O22*$F$4*$F$6,$I22*O22*$F$5*$F$7)</f>
        <v>40.812082867640278</v>
      </c>
      <c r="Q22" s="490">
        <f t="shared" ref="Q22:Q35" si="18">+P22/J22</f>
        <v>24.438372974634898</v>
      </c>
      <c r="R22" s="491">
        <f t="shared" ref="R22:R35" si="19">+$Q$4</f>
        <v>261.71052631578948</v>
      </c>
      <c r="S22" s="500">
        <f t="shared" ref="S22:S35" si="20">+Q22*R22</f>
        <v>6395.7794534932646</v>
      </c>
      <c r="T22" s="489">
        <f t="shared" ref="T22:T35" si="21">IF($F22="Prod",$I22*$O22*$G$4*$G$6,$I22*$O22*$G$5*$G$7)</f>
        <v>5.4613505356378793</v>
      </c>
      <c r="U22" s="493">
        <f t="shared" ref="U22:U35" si="22">+$R$4</f>
        <v>154.50490219883392</v>
      </c>
      <c r="V22" s="500">
        <f t="shared" ref="V22:V35" si="23">+T22*U22</f>
        <v>843.80543038227972</v>
      </c>
      <c r="W22" s="489">
        <f t="shared" ref="W22:W35" si="24">IF($F22="Prod",$I22*$O22*$J$4*$J$6,$I22*$O22*$J$5*$J$7)</f>
        <v>3.6019912340650495</v>
      </c>
      <c r="X22" s="493">
        <f t="shared" ref="X22:X35" si="25">$S$4</f>
        <v>37.9060089869281</v>
      </c>
      <c r="Y22" s="763">
        <f t="shared" ref="Y22:Y35" si="26">+W22*X22</f>
        <v>136.53711208930599</v>
      </c>
      <c r="Z22" s="381"/>
    </row>
    <row r="23" spans="2:26" s="11" customFormat="1" ht="17.100000000000001" customHeight="1" x14ac:dyDescent="0.25">
      <c r="B23" s="741">
        <f>ITE_LUC_Rates!A14</f>
        <v>220</v>
      </c>
      <c r="C23" s="367" t="str">
        <f>ITE_LUC_Rates!B14</f>
        <v>Multi-family Housing (Low-Rise)</v>
      </c>
      <c r="D23" s="366" t="str">
        <f>ITE_LUC_Rates!C14</f>
        <v>Dwelling unit</v>
      </c>
      <c r="E23" s="365">
        <f>ITE_LUC_Rates!G14</f>
        <v>7.32</v>
      </c>
      <c r="F23" s="366" t="s">
        <v>70</v>
      </c>
      <c r="G23" s="373">
        <f>ITE_LUC_Rates!Q14</f>
        <v>6701.09</v>
      </c>
      <c r="H23" s="499">
        <f t="shared" si="0"/>
        <v>5719.6200222947791</v>
      </c>
      <c r="I23" s="487">
        <f>ITECountywide!$B$9*E23</f>
        <v>13.268089441471812</v>
      </c>
      <c r="J23" s="488">
        <f t="shared" si="14"/>
        <v>1.67</v>
      </c>
      <c r="K23" s="372">
        <f t="shared" si="15"/>
        <v>0.64369868155585797</v>
      </c>
      <c r="L23" s="488">
        <f>Passby_Length_Adj!H18</f>
        <v>1</v>
      </c>
      <c r="M23" s="488">
        <f>Passby_Length_Adj!J18</f>
        <v>1</v>
      </c>
      <c r="N23" s="372">
        <v>0.5</v>
      </c>
      <c r="O23" s="481">
        <f t="shared" si="16"/>
        <v>0.5</v>
      </c>
      <c r="P23" s="489">
        <f t="shared" si="17"/>
        <v>31.646657477873614</v>
      </c>
      <c r="Q23" s="490">
        <f t="shared" si="18"/>
        <v>18.950094298127912</v>
      </c>
      <c r="R23" s="491">
        <f t="shared" si="19"/>
        <v>261.71052631578948</v>
      </c>
      <c r="S23" s="500">
        <f t="shared" si="20"/>
        <v>4959.4391524968969</v>
      </c>
      <c r="T23" s="489">
        <f t="shared" si="21"/>
        <v>4.2348607967022547</v>
      </c>
      <c r="U23" s="493">
        <f t="shared" si="22"/>
        <v>154.50490219883392</v>
      </c>
      <c r="V23" s="500">
        <f t="shared" si="23"/>
        <v>654.3067532201577</v>
      </c>
      <c r="W23" s="489">
        <f t="shared" si="24"/>
        <v>2.7930694738724755</v>
      </c>
      <c r="X23" s="493">
        <f t="shared" si="25"/>
        <v>37.9060089869281</v>
      </c>
      <c r="Y23" s="763">
        <f t="shared" si="26"/>
        <v>105.87411657772459</v>
      </c>
      <c r="Z23" s="381"/>
    </row>
    <row r="24" spans="2:26" s="11" customFormat="1" ht="17.100000000000001" customHeight="1" x14ac:dyDescent="0.25">
      <c r="B24" s="741">
        <f>ITE_LUC_Rates!A15</f>
        <v>221</v>
      </c>
      <c r="C24" s="367" t="str">
        <f>ITE_LUC_Rates!B15</f>
        <v>Multi-family Housing (Mid-Rise)</v>
      </c>
      <c r="D24" s="366" t="str">
        <f>ITE_LUC_Rates!C15</f>
        <v>Dwelling unit</v>
      </c>
      <c r="E24" s="365">
        <f>ITE_LUC_Rates!G15</f>
        <v>5.44</v>
      </c>
      <c r="F24" s="366" t="s">
        <v>70</v>
      </c>
      <c r="G24" s="373">
        <f>ITE_LUC_Rates!Q15</f>
        <v>0</v>
      </c>
      <c r="H24" s="499">
        <f t="shared" si="0"/>
        <v>4250.6465739458472</v>
      </c>
      <c r="I24" s="487">
        <f>ITECountywide!$B$9*E24</f>
        <v>9.8604380548642965</v>
      </c>
      <c r="J24" s="488">
        <f t="shared" si="14"/>
        <v>1.67</v>
      </c>
      <c r="K24" s="372">
        <f t="shared" si="15"/>
        <v>0.64369868155585797</v>
      </c>
      <c r="L24" s="488">
        <f>Passby_Length_Adj!H19</f>
        <v>1</v>
      </c>
      <c r="M24" s="488">
        <f>Passby_Length_Adj!J19</f>
        <v>1</v>
      </c>
      <c r="N24" s="372">
        <v>0.5</v>
      </c>
      <c r="O24" s="481">
        <f t="shared" si="16"/>
        <v>0.5</v>
      </c>
      <c r="P24" s="489">
        <f t="shared" si="17"/>
        <v>23.518827415250332</v>
      </c>
      <c r="Q24" s="490">
        <f t="shared" si="18"/>
        <v>14.083130188772655</v>
      </c>
      <c r="R24" s="491">
        <f t="shared" si="19"/>
        <v>261.71052631578948</v>
      </c>
      <c r="S24" s="500">
        <f t="shared" si="20"/>
        <v>3685.7034138774752</v>
      </c>
      <c r="T24" s="489">
        <f t="shared" si="21"/>
        <v>3.1472189527404733</v>
      </c>
      <c r="U24" s="493">
        <f t="shared" si="22"/>
        <v>154.50490219883392</v>
      </c>
      <c r="V24" s="500">
        <f t="shared" si="23"/>
        <v>486.26075649148333</v>
      </c>
      <c r="W24" s="489">
        <f t="shared" si="24"/>
        <v>2.0757237620035882</v>
      </c>
      <c r="X24" s="493">
        <f t="shared" si="25"/>
        <v>37.9060089869281</v>
      </c>
      <c r="Y24" s="763">
        <f t="shared" si="26"/>
        <v>78.68240357688822</v>
      </c>
      <c r="Z24" s="381"/>
    </row>
    <row r="25" spans="2:26" s="11" customFormat="1" ht="17.100000000000001" customHeight="1" x14ac:dyDescent="0.25">
      <c r="B25" s="741">
        <f>ITE_LUC_Rates!A16</f>
        <v>222</v>
      </c>
      <c r="C25" s="367" t="str">
        <f>ITE_LUC_Rates!B16</f>
        <v>Multi-family Housing (High-Rise)</v>
      </c>
      <c r="D25" s="366" t="str">
        <f>ITE_LUC_Rates!C16</f>
        <v>Dwelling unit</v>
      </c>
      <c r="E25" s="365">
        <f>ITE_LUC_Rates!G16</f>
        <v>4.45</v>
      </c>
      <c r="F25" s="366" t="s">
        <v>70</v>
      </c>
      <c r="G25" s="373">
        <f>ITE_LUC_Rates!Q16</f>
        <v>4188.18</v>
      </c>
      <c r="H25" s="499">
        <f t="shared" si="0"/>
        <v>3477.0914069961432</v>
      </c>
      <c r="I25" s="487">
        <f>ITECountywide!$B$9*E25</f>
        <v>8.0659833353209791</v>
      </c>
      <c r="J25" s="488">
        <f t="shared" si="14"/>
        <v>1.67</v>
      </c>
      <c r="K25" s="372">
        <f t="shared" si="15"/>
        <v>0.64369868155585797</v>
      </c>
      <c r="L25" s="488">
        <f>Passby_Length_Adj!H20</f>
        <v>1</v>
      </c>
      <c r="M25" s="488">
        <f>Passby_Length_Adj!J20</f>
        <v>1</v>
      </c>
      <c r="N25" s="372">
        <v>0.5</v>
      </c>
      <c r="O25" s="481">
        <f t="shared" si="16"/>
        <v>0.5</v>
      </c>
      <c r="P25" s="489">
        <f t="shared" si="17"/>
        <v>19.23874669078382</v>
      </c>
      <c r="Q25" s="490">
        <f t="shared" si="18"/>
        <v>11.52020759927175</v>
      </c>
      <c r="R25" s="491">
        <f t="shared" si="19"/>
        <v>261.71052631578948</v>
      </c>
      <c r="S25" s="500">
        <f t="shared" si="20"/>
        <v>3014.9595940725671</v>
      </c>
      <c r="T25" s="489">
        <f t="shared" si="21"/>
        <v>2.5744713859733652</v>
      </c>
      <c r="U25" s="493">
        <f t="shared" si="22"/>
        <v>154.50490219883392</v>
      </c>
      <c r="V25" s="500">
        <f t="shared" si="23"/>
        <v>397.76844970351118</v>
      </c>
      <c r="W25" s="489">
        <f t="shared" si="24"/>
        <v>1.6979725626683768</v>
      </c>
      <c r="X25" s="493">
        <f t="shared" si="25"/>
        <v>37.9060089869281</v>
      </c>
      <c r="Y25" s="763">
        <f t="shared" si="26"/>
        <v>64.363363220064826</v>
      </c>
      <c r="Z25" s="381"/>
    </row>
    <row r="26" spans="2:26" s="11" customFormat="1" ht="17.100000000000001" customHeight="1" x14ac:dyDescent="0.25">
      <c r="B26" s="741">
        <f>ITE_LUC_Rates!A17</f>
        <v>230</v>
      </c>
      <c r="C26" s="367" t="str">
        <f>ITE_LUC_Rates!B17</f>
        <v>Low Rise Residential w/ 1st Commercial (up to 25ksf)</v>
      </c>
      <c r="D26" s="366" t="str">
        <f>ITE_LUC_Rates!C17</f>
        <v>Dwelling unit</v>
      </c>
      <c r="E26" s="365">
        <f>ITE_LUC_Rates!G17</f>
        <v>5.86</v>
      </c>
      <c r="F26" s="366" t="s">
        <v>70</v>
      </c>
      <c r="G26" s="373">
        <f>ITE_LUC_Rates!Q17</f>
        <v>5843.27</v>
      </c>
      <c r="H26" s="499">
        <f t="shared" si="0"/>
        <v>4578.8214932578421</v>
      </c>
      <c r="I26" s="487">
        <f>ITECountywide!$B$9*E26</f>
        <v>10.621721875276615</v>
      </c>
      <c r="J26" s="488">
        <f t="shared" si="14"/>
        <v>1.67</v>
      </c>
      <c r="K26" s="372">
        <f t="shared" si="15"/>
        <v>0.64369868155585797</v>
      </c>
      <c r="L26" s="488">
        <f>Passby_Length_Adj!H22</f>
        <v>1</v>
      </c>
      <c r="M26" s="488">
        <f>Passby_Length_Adj!J22</f>
        <v>1</v>
      </c>
      <c r="N26" s="372">
        <v>0.5</v>
      </c>
      <c r="O26" s="481">
        <f t="shared" si="16"/>
        <v>0.5</v>
      </c>
      <c r="P26" s="489">
        <f t="shared" si="17"/>
        <v>25.33461923775128</v>
      </c>
      <c r="Q26" s="490">
        <f t="shared" si="18"/>
        <v>15.170430681288192</v>
      </c>
      <c r="R26" s="491">
        <f t="shared" si="19"/>
        <v>261.71052631578948</v>
      </c>
      <c r="S26" s="500">
        <f t="shared" si="20"/>
        <v>3970.2613980371334</v>
      </c>
      <c r="T26" s="489">
        <f t="shared" si="21"/>
        <v>3.3902027689447012</v>
      </c>
      <c r="U26" s="493">
        <f t="shared" si="22"/>
        <v>154.50490219883392</v>
      </c>
      <c r="V26" s="500">
        <f t="shared" si="23"/>
        <v>523.80294725001704</v>
      </c>
      <c r="W26" s="489">
        <f t="shared" si="24"/>
        <v>2.2359818465700418</v>
      </c>
      <c r="X26" s="493">
        <f t="shared" si="25"/>
        <v>37.9060089869281</v>
      </c>
      <c r="Y26" s="763">
        <f t="shared" si="26"/>
        <v>84.757147970692088</v>
      </c>
      <c r="Z26" s="381"/>
    </row>
    <row r="27" spans="2:26" s="11" customFormat="1" ht="17.100000000000001" customHeight="1" x14ac:dyDescent="0.25">
      <c r="B27" s="741">
        <f>ITE_LUC_Rates!A18</f>
        <v>231</v>
      </c>
      <c r="C27" s="367" t="str">
        <f>ITE_LUC_Rates!B18</f>
        <v>Mid Rise Residential w/ 1st Commercial</v>
      </c>
      <c r="D27" s="366" t="str">
        <f>ITE_LUC_Rates!C18</f>
        <v>Dwelling unit</v>
      </c>
      <c r="E27" s="365">
        <f>ITE_LUC_Rates!G18</f>
        <v>3.44</v>
      </c>
      <c r="F27" s="366" t="s">
        <v>70</v>
      </c>
      <c r="G27" s="373">
        <f>ITE_LUC_Rates!Q18</f>
        <v>0</v>
      </c>
      <c r="H27" s="499">
        <f t="shared" si="0"/>
        <v>2687.9088629363441</v>
      </c>
      <c r="I27" s="487">
        <f>ITECountywide!$B$9*E27</f>
        <v>6.2352770052818345</v>
      </c>
      <c r="J27" s="488">
        <f t="shared" si="14"/>
        <v>1.67</v>
      </c>
      <c r="K27" s="372">
        <f t="shared" si="15"/>
        <v>0.64369868155585797</v>
      </c>
      <c r="L27" s="488">
        <f>Passby_Length_Adj!H22</f>
        <v>1</v>
      </c>
      <c r="M27" s="488">
        <f>Passby_Length_Adj!J22</f>
        <v>1</v>
      </c>
      <c r="N27" s="372">
        <v>0.5</v>
      </c>
      <c r="O27" s="481">
        <f t="shared" si="16"/>
        <v>0.5</v>
      </c>
      <c r="P27" s="489">
        <f t="shared" si="17"/>
        <v>14.872199689055355</v>
      </c>
      <c r="Q27" s="490">
        <f t="shared" si="18"/>
        <v>8.9055087958415307</v>
      </c>
      <c r="R27" s="491">
        <f t="shared" si="19"/>
        <v>261.71052631578948</v>
      </c>
      <c r="S27" s="500">
        <f t="shared" si="20"/>
        <v>2330.6653940695796</v>
      </c>
      <c r="T27" s="489">
        <f t="shared" si="21"/>
        <v>1.9901531612917698</v>
      </c>
      <c r="U27" s="493">
        <f t="shared" si="22"/>
        <v>154.50490219883392</v>
      </c>
      <c r="V27" s="500">
        <f t="shared" si="23"/>
        <v>307.48841954608503</v>
      </c>
      <c r="W27" s="489">
        <f t="shared" si="24"/>
        <v>1.3125900259728573</v>
      </c>
      <c r="X27" s="493">
        <f t="shared" si="25"/>
        <v>37.9060089869281</v>
      </c>
      <c r="Y27" s="763">
        <f t="shared" si="26"/>
        <v>49.755049320679319</v>
      </c>
      <c r="Z27" s="381"/>
    </row>
    <row r="28" spans="2:26" s="11" customFormat="1" ht="17.100000000000001" customHeight="1" x14ac:dyDescent="0.25">
      <c r="B28" s="741">
        <f>ITE_LUC_Rates!A19</f>
        <v>240</v>
      </c>
      <c r="C28" s="367" t="str">
        <f>ITE_LUC_Rates!B19</f>
        <v>Mobile Home Park</v>
      </c>
      <c r="D28" s="366" t="str">
        <f>ITE_LUC_Rates!C19</f>
        <v>Dwelling unit</v>
      </c>
      <c r="E28" s="365">
        <f>ITE_LUC_Rates!G19</f>
        <v>5</v>
      </c>
      <c r="F28" s="366" t="s">
        <v>70</v>
      </c>
      <c r="G28" s="373">
        <f>ITE_LUC_Rates!Q19</f>
        <v>4975.3599999999997</v>
      </c>
      <c r="H28" s="499">
        <f t="shared" si="0"/>
        <v>3906.8442775237563</v>
      </c>
      <c r="I28" s="487">
        <f>ITECountywide!$B$9*E28</f>
        <v>9.0629026239561554</v>
      </c>
      <c r="J28" s="488">
        <f t="shared" si="14"/>
        <v>1.67</v>
      </c>
      <c r="K28" s="372">
        <f t="shared" si="15"/>
        <v>0.64369868155585797</v>
      </c>
      <c r="L28" s="488">
        <f>Passby_Length_Adj!H23</f>
        <v>1</v>
      </c>
      <c r="M28" s="488">
        <f>Passby_Length_Adj!J23</f>
        <v>1</v>
      </c>
      <c r="N28" s="372">
        <v>0.5</v>
      </c>
      <c r="O28" s="481">
        <f t="shared" si="16"/>
        <v>0.5</v>
      </c>
      <c r="P28" s="489">
        <f t="shared" si="17"/>
        <v>21.616569315487439</v>
      </c>
      <c r="Q28" s="490">
        <f t="shared" si="18"/>
        <v>12.944053482327808</v>
      </c>
      <c r="R28" s="491">
        <f t="shared" si="19"/>
        <v>261.71052631578948</v>
      </c>
      <c r="S28" s="500">
        <f t="shared" si="20"/>
        <v>3387.5950495197385</v>
      </c>
      <c r="T28" s="489">
        <f t="shared" si="21"/>
        <v>2.8926644786217586</v>
      </c>
      <c r="U28" s="493">
        <f t="shared" si="22"/>
        <v>154.50490219883392</v>
      </c>
      <c r="V28" s="500">
        <f t="shared" si="23"/>
        <v>446.93084236349574</v>
      </c>
      <c r="W28" s="489">
        <f t="shared" si="24"/>
        <v>1.9078343400768274</v>
      </c>
      <c r="X28" s="493">
        <f t="shared" si="25"/>
        <v>37.9060089869281</v>
      </c>
      <c r="Y28" s="763">
        <f t="shared" si="26"/>
        <v>72.318385640522266</v>
      </c>
      <c r="Z28" s="381"/>
    </row>
    <row r="29" spans="2:26" s="11" customFormat="1" ht="17.100000000000001" customHeight="1" x14ac:dyDescent="0.25">
      <c r="B29" s="741">
        <f>ITE_LUC_Rates!A20</f>
        <v>251</v>
      </c>
      <c r="C29" s="367" t="str">
        <f>ITE_LUC_Rates!B20</f>
        <v>Senior Adult Housing - Single-Family</v>
      </c>
      <c r="D29" s="366" t="str">
        <f>ITE_LUC_Rates!C20</f>
        <v>Dwelling unit</v>
      </c>
      <c r="E29" s="365">
        <f>ITE_LUC_Rates!G20</f>
        <v>4.2699999999999996</v>
      </c>
      <c r="F29" s="366" t="s">
        <v>70</v>
      </c>
      <c r="G29" s="373">
        <f>ITE_LUC_Rates!Q20</f>
        <v>3670.12</v>
      </c>
      <c r="H29" s="499">
        <f t="shared" si="0"/>
        <v>3336.4450130052874</v>
      </c>
      <c r="I29" s="487">
        <f>ITECountywide!$B$9*E29</f>
        <v>7.739718840858556</v>
      </c>
      <c r="J29" s="488">
        <f t="shared" si="14"/>
        <v>1.67</v>
      </c>
      <c r="K29" s="372">
        <f t="shared" si="15"/>
        <v>0.64369868155585797</v>
      </c>
      <c r="L29" s="488">
        <f>Passby_Length_Adj!H24</f>
        <v>1</v>
      </c>
      <c r="M29" s="488">
        <f>Passby_Length_Adj!J24</f>
        <v>1</v>
      </c>
      <c r="N29" s="372">
        <v>0.5</v>
      </c>
      <c r="O29" s="481">
        <f t="shared" si="16"/>
        <v>0.5</v>
      </c>
      <c r="P29" s="489">
        <f t="shared" si="17"/>
        <v>18.460550195426272</v>
      </c>
      <c r="Q29" s="490">
        <f t="shared" si="18"/>
        <v>11.054221673907948</v>
      </c>
      <c r="R29" s="491">
        <f t="shared" si="19"/>
        <v>261.71052631578948</v>
      </c>
      <c r="S29" s="500">
        <f t="shared" si="20"/>
        <v>2893.0061722898563</v>
      </c>
      <c r="T29" s="489">
        <f t="shared" si="21"/>
        <v>2.4703354647429818</v>
      </c>
      <c r="U29" s="493">
        <f t="shared" si="22"/>
        <v>154.50490219883392</v>
      </c>
      <c r="V29" s="500">
        <f t="shared" si="23"/>
        <v>381.67893937842535</v>
      </c>
      <c r="W29" s="489">
        <f t="shared" si="24"/>
        <v>1.6292905264256106</v>
      </c>
      <c r="X29" s="493">
        <f t="shared" si="25"/>
        <v>37.9060089869281</v>
      </c>
      <c r="Y29" s="763">
        <f t="shared" si="26"/>
        <v>61.759901337006006</v>
      </c>
      <c r="Z29" s="381"/>
    </row>
    <row r="30" spans="2:26" s="11" customFormat="1" ht="17.100000000000001" customHeight="1" x14ac:dyDescent="0.25">
      <c r="B30" s="741">
        <f>ITE_LUC_Rates!A21</f>
        <v>252</v>
      </c>
      <c r="C30" s="367" t="str">
        <f>ITE_LUC_Rates!B21</f>
        <v>Senior Adult Housing - Multifamily</v>
      </c>
      <c r="D30" s="366" t="str">
        <f>ITE_LUC_Rates!C21</f>
        <v>Dwelling unit</v>
      </c>
      <c r="E30" s="365">
        <f>ITE_LUC_Rates!G21</f>
        <v>3.7</v>
      </c>
      <c r="F30" s="366" t="s">
        <v>70</v>
      </c>
      <c r="G30" s="373">
        <f>ITE_LUC_Rates!Q21</f>
        <v>3429.6</v>
      </c>
      <c r="H30" s="499">
        <f t="shared" si="0"/>
        <v>2891.0647653675796</v>
      </c>
      <c r="I30" s="487">
        <f>ITECountywide!$B$9*E30</f>
        <v>6.7065479417275551</v>
      </c>
      <c r="J30" s="488">
        <f t="shared" si="14"/>
        <v>1.67</v>
      </c>
      <c r="K30" s="372">
        <f t="shared" si="15"/>
        <v>0.64369868155585797</v>
      </c>
      <c r="L30" s="488">
        <f>Passby_Length_Adj!H25</f>
        <v>1</v>
      </c>
      <c r="M30" s="488">
        <f>Passby_Length_Adj!J25</f>
        <v>1</v>
      </c>
      <c r="N30" s="372">
        <v>0.5</v>
      </c>
      <c r="O30" s="481">
        <f t="shared" si="16"/>
        <v>0.5</v>
      </c>
      <c r="P30" s="489">
        <f t="shared" si="17"/>
        <v>15.996261293460705</v>
      </c>
      <c r="Q30" s="490">
        <f t="shared" si="18"/>
        <v>9.5785995769225778</v>
      </c>
      <c r="R30" s="491">
        <f t="shared" si="19"/>
        <v>261.71052631578948</v>
      </c>
      <c r="S30" s="500">
        <f t="shared" si="20"/>
        <v>2506.8203366446064</v>
      </c>
      <c r="T30" s="489">
        <f t="shared" si="21"/>
        <v>2.1405717141801013</v>
      </c>
      <c r="U30" s="493">
        <f t="shared" si="22"/>
        <v>154.50490219883392</v>
      </c>
      <c r="V30" s="500">
        <f t="shared" si="23"/>
        <v>330.72882334898679</v>
      </c>
      <c r="W30" s="489">
        <f t="shared" si="24"/>
        <v>1.4117974116568524</v>
      </c>
      <c r="X30" s="493">
        <f t="shared" si="25"/>
        <v>37.9060089869281</v>
      </c>
      <c r="Y30" s="763">
        <f t="shared" si="26"/>
        <v>53.515605373986475</v>
      </c>
      <c r="Z30" s="381"/>
    </row>
    <row r="31" spans="2:26" s="11" customFormat="1" ht="17.100000000000001" customHeight="1" x14ac:dyDescent="0.25">
      <c r="B31" s="741">
        <f>ITE_LUC_Rates!A22</f>
        <v>253</v>
      </c>
      <c r="C31" s="367" t="str">
        <f>ITE_LUC_Rates!B22</f>
        <v>Congregate Care Facility</v>
      </c>
      <c r="D31" s="366" t="str">
        <f>ITE_LUC_Rates!C22</f>
        <v>Dwelling unit</v>
      </c>
      <c r="E31" s="365">
        <f>ITE_LUC_Rates!G22</f>
        <v>2.02</v>
      </c>
      <c r="F31" s="366" t="s">
        <v>70</v>
      </c>
      <c r="G31" s="373">
        <f>ITE_LUC_Rates!Q22</f>
        <v>2050.3000000000002</v>
      </c>
      <c r="H31" s="499">
        <f t="shared" si="0"/>
        <v>525.79108180187097</v>
      </c>
      <c r="I31" s="487">
        <f>ITECountywide!$B$9*E31</f>
        <v>3.6614126600782866</v>
      </c>
      <c r="J31" s="488">
        <f t="shared" si="14"/>
        <v>1.67</v>
      </c>
      <c r="K31" s="372">
        <f t="shared" si="15"/>
        <v>0.64369868155585797</v>
      </c>
      <c r="L31" s="488">
        <f>Passby_Length_Adj!H26</f>
        <v>0.46525679758308158</v>
      </c>
      <c r="M31" s="488">
        <f>Passby_Length_Adj!J26</f>
        <v>0.71599999999999997</v>
      </c>
      <c r="N31" s="372">
        <v>0.5</v>
      </c>
      <c r="O31" s="481">
        <f t="shared" si="16"/>
        <v>0.16656193353474319</v>
      </c>
      <c r="P31" s="489">
        <f t="shared" si="17"/>
        <v>2.9092020459129135</v>
      </c>
      <c r="Q31" s="490">
        <f t="shared" si="18"/>
        <v>1.7420371532412657</v>
      </c>
      <c r="R31" s="491">
        <f t="shared" si="19"/>
        <v>261.71052631578948</v>
      </c>
      <c r="S31" s="500">
        <f t="shared" si="20"/>
        <v>455.90946023643124</v>
      </c>
      <c r="T31" s="489">
        <f t="shared" si="21"/>
        <v>0.38930069321022004</v>
      </c>
      <c r="U31" s="493">
        <f t="shared" si="22"/>
        <v>154.50490219883392</v>
      </c>
      <c r="V31" s="500">
        <f t="shared" si="23"/>
        <v>60.148865530383297</v>
      </c>
      <c r="W31" s="489">
        <f t="shared" si="24"/>
        <v>0.2567602418501192</v>
      </c>
      <c r="X31" s="493">
        <f t="shared" si="25"/>
        <v>37.9060089869281</v>
      </c>
      <c r="Y31" s="763">
        <f t="shared" si="26"/>
        <v>9.7327560350564504</v>
      </c>
      <c r="Z31" s="381"/>
    </row>
    <row r="32" spans="2:26" s="11" customFormat="1" ht="17.100000000000001" customHeight="1" x14ac:dyDescent="0.25">
      <c r="B32" s="741">
        <f>ITE_LUC_Rates!A23</f>
        <v>254</v>
      </c>
      <c r="C32" s="367" t="str">
        <f>ITE_LUC_Rates!B23</f>
        <v>Assisted Living Facility</v>
      </c>
      <c r="D32" s="366" t="str">
        <f>ITE_LUC_Rates!C23</f>
        <v>Bed</v>
      </c>
      <c r="E32" s="365">
        <f>ITE_LUC_Rates!G23</f>
        <v>2.6</v>
      </c>
      <c r="F32" s="366" t="s">
        <v>70</v>
      </c>
      <c r="G32" s="373">
        <f>ITE_LUC_Rates!Q23</f>
        <v>2701.29</v>
      </c>
      <c r="H32" s="499">
        <f t="shared" si="0"/>
        <v>676.760798358844</v>
      </c>
      <c r="I32" s="487">
        <f>ITECountywide!$B$9*E32</f>
        <v>4.7127093644572007</v>
      </c>
      <c r="J32" s="495">
        <f t="shared" si="14"/>
        <v>1.67</v>
      </c>
      <c r="K32" s="372">
        <f t="shared" si="15"/>
        <v>0.64369868155585797</v>
      </c>
      <c r="L32" s="488">
        <f>Passby_Length_Adj!H27</f>
        <v>0.46525679758308158</v>
      </c>
      <c r="M32" s="488">
        <f>Passby_Length_Adj!J27</f>
        <v>0.71599999999999997</v>
      </c>
      <c r="N32" s="372">
        <v>0.5</v>
      </c>
      <c r="O32" s="481">
        <f t="shared" si="16"/>
        <v>0.16656193353474319</v>
      </c>
      <c r="P32" s="489">
        <f t="shared" si="17"/>
        <v>3.7445174848384042</v>
      </c>
      <c r="Q32" s="490">
        <f t="shared" si="18"/>
        <v>2.2422260388253918</v>
      </c>
      <c r="R32" s="491">
        <f t="shared" si="19"/>
        <v>261.71052631578948</v>
      </c>
      <c r="S32" s="500">
        <f t="shared" si="20"/>
        <v>586.81415673996116</v>
      </c>
      <c r="T32" s="489">
        <f t="shared" si="21"/>
        <v>0.50108010017157034</v>
      </c>
      <c r="U32" s="493">
        <f t="shared" si="22"/>
        <v>154.50490219883392</v>
      </c>
      <c r="V32" s="500">
        <f t="shared" si="23"/>
        <v>77.419331870790373</v>
      </c>
      <c r="W32" s="489">
        <f t="shared" si="24"/>
        <v>0.33048347960906427</v>
      </c>
      <c r="X32" s="493">
        <f t="shared" si="25"/>
        <v>37.9060089869281</v>
      </c>
      <c r="Y32" s="763">
        <f t="shared" si="26"/>
        <v>12.52730974809246</v>
      </c>
      <c r="Z32" s="381"/>
    </row>
    <row r="33" spans="2:26" s="11" customFormat="1" ht="17.100000000000001" customHeight="1" x14ac:dyDescent="0.25">
      <c r="B33" s="741">
        <f>ITE_LUC_Rates!A24</f>
        <v>255</v>
      </c>
      <c r="C33" s="367" t="str">
        <f>ITE_LUC_Rates!B24</f>
        <v>Continuing Care Retirement Community</v>
      </c>
      <c r="D33" s="366" t="str">
        <f>ITE_LUC_Rates!C24</f>
        <v>Dwelling unit</v>
      </c>
      <c r="E33" s="365">
        <f>ITE_LUC_Rates!G24</f>
        <v>2.4</v>
      </c>
      <c r="F33" s="366" t="s">
        <v>70</v>
      </c>
      <c r="G33" s="373">
        <f>ITE_LUC_Rates!Q24</f>
        <v>2437.2199999999998</v>
      </c>
      <c r="H33" s="499">
        <f t="shared" si="0"/>
        <v>624.70227540816347</v>
      </c>
      <c r="I33" s="487">
        <f>ITECountywide!$B$9*E33</f>
        <v>4.3501932594989539</v>
      </c>
      <c r="J33" s="495">
        <f t="shared" si="14"/>
        <v>1.67</v>
      </c>
      <c r="K33" s="372">
        <f t="shared" si="15"/>
        <v>0.64369868155585797</v>
      </c>
      <c r="L33" s="488">
        <f>Passby_Length_Adj!H28</f>
        <v>0.46525679758308158</v>
      </c>
      <c r="M33" s="488">
        <f>Passby_Length_Adj!J28</f>
        <v>0.71599999999999997</v>
      </c>
      <c r="N33" s="372">
        <v>0.5</v>
      </c>
      <c r="O33" s="481">
        <f t="shared" si="16"/>
        <v>0.16656193353474319</v>
      </c>
      <c r="P33" s="489">
        <f t="shared" si="17"/>
        <v>3.4564776783123721</v>
      </c>
      <c r="Q33" s="490">
        <f t="shared" si="18"/>
        <v>2.0697471127618994</v>
      </c>
      <c r="R33" s="491">
        <f t="shared" si="19"/>
        <v>261.71052631578948</v>
      </c>
      <c r="S33" s="500">
        <f t="shared" si="20"/>
        <v>541.67460622150236</v>
      </c>
      <c r="T33" s="489">
        <f t="shared" si="21"/>
        <v>0.46253547708144949</v>
      </c>
      <c r="U33" s="493">
        <f t="shared" si="22"/>
        <v>154.50490219883392</v>
      </c>
      <c r="V33" s="500">
        <f t="shared" si="23"/>
        <v>71.463998649960345</v>
      </c>
      <c r="W33" s="489">
        <f t="shared" si="24"/>
        <v>0.30506167348529006</v>
      </c>
      <c r="X33" s="493">
        <f t="shared" si="25"/>
        <v>37.9060089869281</v>
      </c>
      <c r="Y33" s="763">
        <f t="shared" si="26"/>
        <v>11.56367053670073</v>
      </c>
      <c r="Z33" s="381"/>
    </row>
    <row r="34" spans="2:26" s="11" customFormat="1" ht="17.100000000000001" customHeight="1" x14ac:dyDescent="0.25">
      <c r="B34" s="741">
        <f>ITE_LUC_Rates!A25</f>
        <v>265</v>
      </c>
      <c r="C34" s="367" t="str">
        <f>ITE_LUC_Rates!B25</f>
        <v xml:space="preserve">Timeshare </v>
      </c>
      <c r="D34" s="366" t="str">
        <f>ITE_LUC_Rates!C25</f>
        <v>Dwelling unit</v>
      </c>
      <c r="E34" s="365">
        <f>ITE_LUC_Rates!G25</f>
        <v>8.6300000000000008</v>
      </c>
      <c r="F34" s="366" t="s">
        <v>70</v>
      </c>
      <c r="G34" s="373">
        <f>ITE_LUC_Rates!Q25</f>
        <v>0</v>
      </c>
      <c r="H34" s="499">
        <f t="shared" si="0"/>
        <v>6743.2132230060033</v>
      </c>
      <c r="I34" s="487">
        <f>ITECountywide!$B$9*E34</f>
        <v>15.642569928948324</v>
      </c>
      <c r="J34" s="495">
        <f t="shared" si="14"/>
        <v>1.67</v>
      </c>
      <c r="K34" s="372">
        <f t="shared" si="15"/>
        <v>0.64369868155585797</v>
      </c>
      <c r="L34" s="488">
        <f>Passby_Length_Adj!H29</f>
        <v>1</v>
      </c>
      <c r="M34" s="488">
        <f>Passby_Length_Adj!J29</f>
        <v>1</v>
      </c>
      <c r="N34" s="372">
        <v>0.5</v>
      </c>
      <c r="O34" s="481">
        <f t="shared" si="16"/>
        <v>0.5</v>
      </c>
      <c r="P34" s="489">
        <f t="shared" si="17"/>
        <v>37.310198638531318</v>
      </c>
      <c r="Q34" s="490">
        <f t="shared" si="18"/>
        <v>22.341436310497798</v>
      </c>
      <c r="R34" s="491">
        <f t="shared" si="19"/>
        <v>261.71052631578948</v>
      </c>
      <c r="S34" s="500">
        <f t="shared" si="20"/>
        <v>5846.9890554710682</v>
      </c>
      <c r="T34" s="489">
        <f t="shared" si="21"/>
        <v>4.9927388901011556</v>
      </c>
      <c r="U34" s="493">
        <f t="shared" si="22"/>
        <v>154.50490219883392</v>
      </c>
      <c r="V34" s="500">
        <f t="shared" si="23"/>
        <v>771.40263391939368</v>
      </c>
      <c r="W34" s="489">
        <f t="shared" si="24"/>
        <v>3.2929220709726046</v>
      </c>
      <c r="X34" s="493">
        <f t="shared" si="25"/>
        <v>37.9060089869281</v>
      </c>
      <c r="Y34" s="763">
        <f t="shared" si="26"/>
        <v>124.82153361554144</v>
      </c>
      <c r="Z34" s="381"/>
    </row>
    <row r="35" spans="2:26" s="11" customFormat="1" ht="17.100000000000001" customHeight="1" x14ac:dyDescent="0.25">
      <c r="B35" s="741">
        <f>ITE_LUC_Rates!A26</f>
        <v>270</v>
      </c>
      <c r="C35" s="367" t="str">
        <f>ITE_LUC_Rates!B26</f>
        <v>Residential PUD</v>
      </c>
      <c r="D35" s="366" t="str">
        <f>ITE_LUC_Rates!C26</f>
        <v>Dwelling unit</v>
      </c>
      <c r="E35" s="365">
        <f>ITE_LUC_Rates!G26</f>
        <v>7.83</v>
      </c>
      <c r="F35" s="366" t="s">
        <v>70</v>
      </c>
      <c r="G35" s="373">
        <f>ITE_LUC_Rates!Q26</f>
        <v>0</v>
      </c>
      <c r="H35" s="499">
        <f t="shared" si="0"/>
        <v>6118.1181386022017</v>
      </c>
      <c r="I35" s="487">
        <f>ITECountywide!$B$9*E35</f>
        <v>14.192505509115339</v>
      </c>
      <c r="J35" s="495">
        <f t="shared" si="14"/>
        <v>1.67</v>
      </c>
      <c r="K35" s="372">
        <f t="shared" si="15"/>
        <v>0.64369868155585797</v>
      </c>
      <c r="L35" s="488">
        <f>Passby_Length_Adj!H30</f>
        <v>1</v>
      </c>
      <c r="M35" s="488">
        <f>Passby_Length_Adj!J30</f>
        <v>1</v>
      </c>
      <c r="N35" s="372">
        <v>0.5</v>
      </c>
      <c r="O35" s="481">
        <f t="shared" si="16"/>
        <v>0.5</v>
      </c>
      <c r="P35" s="489">
        <f t="shared" si="17"/>
        <v>33.851547548053325</v>
      </c>
      <c r="Q35" s="490">
        <f t="shared" si="18"/>
        <v>20.270387753325345</v>
      </c>
      <c r="R35" s="491">
        <f t="shared" si="19"/>
        <v>261.71052631578948</v>
      </c>
      <c r="S35" s="500">
        <f t="shared" si="20"/>
        <v>5304.9738475479098</v>
      </c>
      <c r="T35" s="489">
        <f t="shared" si="21"/>
        <v>4.5299125735216741</v>
      </c>
      <c r="U35" s="493">
        <f t="shared" si="22"/>
        <v>154.50490219883392</v>
      </c>
      <c r="V35" s="500">
        <f t="shared" si="23"/>
        <v>699.89369914123426</v>
      </c>
      <c r="W35" s="489">
        <f t="shared" si="24"/>
        <v>2.9876685765603117</v>
      </c>
      <c r="X35" s="493">
        <f t="shared" si="25"/>
        <v>37.9060089869281</v>
      </c>
      <c r="Y35" s="763">
        <f t="shared" si="26"/>
        <v>113.25059191305786</v>
      </c>
      <c r="Z35" s="381"/>
    </row>
    <row r="36" spans="2:26" s="11" customFormat="1" ht="17.100000000000001" customHeight="1" x14ac:dyDescent="0.25">
      <c r="B36" s="739" t="str">
        <f>ITE_LUC_Rates!A27</f>
        <v>Lodging</v>
      </c>
      <c r="C36" s="466"/>
      <c r="D36" s="466"/>
      <c r="E36" s="466"/>
      <c r="F36" s="466"/>
      <c r="G36" s="467"/>
      <c r="H36" s="482"/>
      <c r="I36" s="483"/>
      <c r="J36" s="484"/>
      <c r="K36" s="484"/>
      <c r="L36" s="484"/>
      <c r="M36" s="484"/>
      <c r="N36" s="484"/>
      <c r="O36" s="485"/>
      <c r="P36" s="483"/>
      <c r="Q36" s="484"/>
      <c r="R36" s="484"/>
      <c r="S36" s="485"/>
      <c r="T36" s="483"/>
      <c r="U36" s="484"/>
      <c r="V36" s="485"/>
      <c r="W36" s="483"/>
      <c r="X36" s="484"/>
      <c r="Y36" s="740"/>
      <c r="Z36" s="381"/>
    </row>
    <row r="37" spans="2:26" s="11" customFormat="1" ht="17.100000000000001" customHeight="1" x14ac:dyDescent="0.25">
      <c r="B37" s="741">
        <f>ITE_LUC_Rates!A28</f>
        <v>310</v>
      </c>
      <c r="C37" s="367" t="str">
        <f>ITE_LUC_Rates!B28</f>
        <v>Hotel</v>
      </c>
      <c r="D37" s="366" t="str">
        <f>ITE_LUC_Rates!C28</f>
        <v>Hotel room</v>
      </c>
      <c r="E37" s="365">
        <f>ITE_LUC_Rates!G28</f>
        <v>8.36</v>
      </c>
      <c r="F37" s="366" t="s">
        <v>70</v>
      </c>
      <c r="G37" s="373">
        <f>ITE_LUC_Rates!Q28</f>
        <v>8894.4159999999993</v>
      </c>
      <c r="H37" s="499">
        <f t="shared" si="0"/>
        <v>4088.8194184564527</v>
      </c>
      <c r="I37" s="487">
        <f>ITECountywide!$B$9*E37</f>
        <v>15.153173187254691</v>
      </c>
      <c r="J37" s="495">
        <f>IF(F37="Prod",$M$3,$M$4)</f>
        <v>1.67</v>
      </c>
      <c r="K37" s="372">
        <f>IF(F37="Prod",$F$4,$F$5)</f>
        <v>0.64369868155585797</v>
      </c>
      <c r="L37" s="488">
        <f>Passby_Length_Adj!H32</f>
        <v>0.9441087613293051</v>
      </c>
      <c r="M37" s="488">
        <f>Passby_Length_Adj!J32</f>
        <v>0.66300000000000003</v>
      </c>
      <c r="N37" s="372">
        <v>0.5</v>
      </c>
      <c r="O37" s="481">
        <f>L37*M37*N37</f>
        <v>0.31297205438066467</v>
      </c>
      <c r="P37" s="489">
        <f>IF($F37="Prod",$I37*$O37*$F$4*$F$6,$I37*O37*$F$5*$F$7)</f>
        <v>22.623437766911994</v>
      </c>
      <c r="Q37" s="490">
        <f>+P37/J37</f>
        <v>13.546968722701793</v>
      </c>
      <c r="R37" s="491">
        <f>+$Q$4</f>
        <v>261.71052631578948</v>
      </c>
      <c r="S37" s="500">
        <f>+Q37*R37</f>
        <v>3545.3843144018247</v>
      </c>
      <c r="T37" s="489">
        <f>IF($F37="Prod",$I37*$O37*$G$4*$G$6,$I37*$O37*$G$5*$G$7)</f>
        <v>3.0274005952355076</v>
      </c>
      <c r="U37" s="493">
        <f>+$R$4</f>
        <v>154.50490219883392</v>
      </c>
      <c r="V37" s="500">
        <f>+T37*U37</f>
        <v>467.74823288355367</v>
      </c>
      <c r="W37" s="489">
        <f>IF($F37="Prod",$I37*$O37*$J$4*$J$6,$I37*$O37*$J$5*$J$7)</f>
        <v>1.9966984969896204</v>
      </c>
      <c r="X37" s="493">
        <f>$S$4</f>
        <v>37.9060089869281</v>
      </c>
      <c r="Y37" s="763">
        <f>+W37*X37</f>
        <v>75.686871171074387</v>
      </c>
      <c r="Z37" s="381"/>
    </row>
    <row r="38" spans="2:26" s="11" customFormat="1" ht="17.100000000000001" customHeight="1" x14ac:dyDescent="0.25">
      <c r="B38" s="741">
        <f>ITE_LUC_Rates!A29</f>
        <v>311</v>
      </c>
      <c r="C38" s="367" t="str">
        <f>ITE_LUC_Rates!B29</f>
        <v>All Suites Hotel</v>
      </c>
      <c r="D38" s="366" t="str">
        <f>ITE_LUC_Rates!C29</f>
        <v>Hotel room</v>
      </c>
      <c r="E38" s="365">
        <f>ITE_LUC_Rates!G29</f>
        <v>4.46</v>
      </c>
      <c r="F38" s="366" t="s">
        <v>70</v>
      </c>
      <c r="G38" s="373">
        <f>ITE_LUC_Rates!Q29</f>
        <v>6221.7179999999998</v>
      </c>
      <c r="H38" s="499">
        <f t="shared" si="0"/>
        <v>2181.355814152605</v>
      </c>
      <c r="I38" s="487">
        <f>ITECountywide!$B$9*E38</f>
        <v>8.0841091405688896</v>
      </c>
      <c r="J38" s="495">
        <f>IF(F38="Prod",$M$3,$M$4)</f>
        <v>1.67</v>
      </c>
      <c r="K38" s="372">
        <f>IF(F38="Prod",$F$4,$F$5)</f>
        <v>0.64369868155585797</v>
      </c>
      <c r="L38" s="488">
        <f>Passby_Length_Adj!H33</f>
        <v>0.9441087613293051</v>
      </c>
      <c r="M38" s="488">
        <f>Passby_Length_Adj!J33</f>
        <v>0.66300000000000003</v>
      </c>
      <c r="N38" s="372">
        <v>0.5</v>
      </c>
      <c r="O38" s="481">
        <f>L38*M38*N38</f>
        <v>0.31297205438066467</v>
      </c>
      <c r="P38" s="489">
        <f>IF($F38="Prod",$I38*$O38*$F$4*$F$6,$I38*O38*$F$5*$F$7)</f>
        <v>12.069441679476972</v>
      </c>
      <c r="Q38" s="490">
        <f>+P38/J38</f>
        <v>7.2272105865131575</v>
      </c>
      <c r="R38" s="491">
        <f>+$Q$4</f>
        <v>261.71052631578948</v>
      </c>
      <c r="S38" s="500">
        <f>+Q38*R38</f>
        <v>1891.4370863914041</v>
      </c>
      <c r="T38" s="489">
        <f>IF($F38="Prod",$I38*$O38*$G$4*$G$6,$I38*$O38*$G$5*$G$7)</f>
        <v>1.6150964898026752</v>
      </c>
      <c r="U38" s="493">
        <f>+$R$4</f>
        <v>154.50490219883392</v>
      </c>
      <c r="V38" s="500">
        <f>+T38*U38</f>
        <v>249.54032519864228</v>
      </c>
      <c r="W38" s="489">
        <f>IF($F38="Prod",$I38*$O38*$J$4*$J$6,$I38*$O38*$J$5*$J$7)</f>
        <v>1.0652243177719745</v>
      </c>
      <c r="X38" s="493">
        <f>$S$4</f>
        <v>37.9060089869281</v>
      </c>
      <c r="Y38" s="763">
        <f>+W38*X38</f>
        <v>40.378402562558819</v>
      </c>
      <c r="Z38" s="381"/>
    </row>
    <row r="39" spans="2:26" s="11" customFormat="1" ht="17.100000000000001" customHeight="1" x14ac:dyDescent="0.25">
      <c r="B39" s="741">
        <f>ITE_LUC_Rates!A30</f>
        <v>320</v>
      </c>
      <c r="C39" s="367" t="str">
        <f>ITE_LUC_Rates!B30</f>
        <v>Motel</v>
      </c>
      <c r="D39" s="366" t="str">
        <f>ITE_LUC_Rates!C30</f>
        <v>Hotel room</v>
      </c>
      <c r="E39" s="365">
        <f>ITE_LUC_Rates!G30</f>
        <v>3.35</v>
      </c>
      <c r="F39" s="366" t="s">
        <v>70</v>
      </c>
      <c r="G39" s="373">
        <f>ITE_LUC_Rates!Q30</f>
        <v>9084.482</v>
      </c>
      <c r="H39" s="499">
        <f t="shared" si="0"/>
        <v>1314.5024911300029</v>
      </c>
      <c r="I39" s="487">
        <f>ITECountywide!$B$9*E39</f>
        <v>6.0721447580506238</v>
      </c>
      <c r="J39" s="495">
        <f>IF(F39="Prod",$M$3,$M$4)</f>
        <v>1.67</v>
      </c>
      <c r="K39" s="372">
        <f>IF(F39="Prod",$F$4,$F$5)</f>
        <v>0.64369868155585797</v>
      </c>
      <c r="L39" s="488">
        <f>Passby_Length_Adj!H34</f>
        <v>0.65558912386706947</v>
      </c>
      <c r="M39" s="488">
        <f>Passby_Length_Adj!J34</f>
        <v>0.76600000000000001</v>
      </c>
      <c r="N39" s="372">
        <v>0.5</v>
      </c>
      <c r="O39" s="481">
        <f>L39*M39*N39</f>
        <v>0.25109063444108759</v>
      </c>
      <c r="P39" s="489">
        <f>IF($F39="Prod",$I39*$O39*$F$4*$F$6,$I39*O39*$F$5*$F$7)</f>
        <v>7.2731422591797532</v>
      </c>
      <c r="Q39" s="490">
        <f>+P39/J39</f>
        <v>4.3551750054968581</v>
      </c>
      <c r="R39" s="491">
        <f>+$Q$4</f>
        <v>261.71052631578948</v>
      </c>
      <c r="S39" s="500">
        <f>+Q39*R39</f>
        <v>1139.795142885954</v>
      </c>
      <c r="T39" s="489">
        <f>IF($F39="Prod",$I39*$O39*$G$4*$G$6,$I39*$O39*$G$5*$G$7)</f>
        <v>0.97327008527752912</v>
      </c>
      <c r="U39" s="493">
        <f>+$R$4</f>
        <v>154.50490219883392</v>
      </c>
      <c r="V39" s="500">
        <f>+T39*U39</f>
        <v>150.37499933885539</v>
      </c>
      <c r="W39" s="489">
        <f>IF($F39="Prod",$I39*$O39*$J$4*$J$6,$I39*$O39*$J$5*$J$7)</f>
        <v>0.64191270871023487</v>
      </c>
      <c r="X39" s="493">
        <f>$S$4</f>
        <v>37.9060089869281</v>
      </c>
      <c r="Y39" s="763">
        <f>+W39*X39</f>
        <v>24.332348905193523</v>
      </c>
      <c r="Z39" s="381"/>
    </row>
    <row r="40" spans="2:26" s="11" customFormat="1" ht="17.100000000000001" customHeight="1" x14ac:dyDescent="0.25">
      <c r="B40" s="741">
        <f>ITE_LUC_Rates!A31</f>
        <v>312</v>
      </c>
      <c r="C40" s="367" t="str">
        <f>ITE_LUC_Rates!B31</f>
        <v>Business Hotel</v>
      </c>
      <c r="D40" s="366" t="str">
        <f>ITE_LUC_Rates!C31</f>
        <v>Hotel room</v>
      </c>
      <c r="E40" s="365">
        <f>ITE_LUC_Rates!G31</f>
        <v>4.0199999999999996</v>
      </c>
      <c r="F40" s="366" t="s">
        <v>70</v>
      </c>
      <c r="G40" s="373">
        <f>ITE_LUC_Rates!Q31</f>
        <v>0</v>
      </c>
      <c r="H40" s="499">
        <f t="shared" si="0"/>
        <v>1966.154792128581</v>
      </c>
      <c r="I40" s="487">
        <f>ITECountywide!$B$9*E40</f>
        <v>7.2865737096607477</v>
      </c>
      <c r="J40" s="495">
        <f>IF(F40="Prod",$M$3,$M$4)</f>
        <v>1.67</v>
      </c>
      <c r="K40" s="372">
        <f>IF(F40="Prod",$F$4,$F$5)</f>
        <v>0.64369868155585797</v>
      </c>
      <c r="L40" s="488">
        <f>Passby_Length_Adj!H35</f>
        <v>0.9441087613293051</v>
      </c>
      <c r="M40" s="488">
        <f>Passby_Length_Adj!J35</f>
        <v>0.66300000000000003</v>
      </c>
      <c r="N40" s="372">
        <v>0.5</v>
      </c>
      <c r="O40" s="481">
        <f>L40*M40*N40</f>
        <v>0.31297205438066467</v>
      </c>
      <c r="P40" s="489">
        <f>IF($F40="Prod",$I40*$O40*$F$4*$F$6,$I40*O40*$F$5*$F$7)</f>
        <v>10.878734428586865</v>
      </c>
      <c r="Q40" s="490">
        <f>+P40/J40</f>
        <v>6.514212232686746</v>
      </c>
      <c r="R40" s="491">
        <f>+$Q$4</f>
        <v>261.71052631578948</v>
      </c>
      <c r="S40" s="500">
        <f>+Q40*R40</f>
        <v>1704.8379119492024</v>
      </c>
      <c r="T40" s="489">
        <f>IF($F40="Prod",$I40*$O40*$G$4*$G$6,$I40*$O40*$G$5*$G$7)</f>
        <v>1.4557596163692272</v>
      </c>
      <c r="U40" s="493">
        <f>+$R$4</f>
        <v>154.50490219883392</v>
      </c>
      <c r="V40" s="500">
        <f>+T40*U40</f>
        <v>224.92199715213943</v>
      </c>
      <c r="W40" s="489">
        <f>IF($F40="Prod",$I40*$O40*$J$4*$J$6,$I40*$O40*$J$5*$J$7)</f>
        <v>0.9601349231935733</v>
      </c>
      <c r="X40" s="493">
        <f>$S$4</f>
        <v>37.9060089869281</v>
      </c>
      <c r="Y40" s="763">
        <f>+W40*X40</f>
        <v>36.394883027239111</v>
      </c>
      <c r="Z40" s="381"/>
    </row>
    <row r="41" spans="2:26" s="11" customFormat="1" ht="17.100000000000001" customHeight="1" x14ac:dyDescent="0.25">
      <c r="B41" s="739" t="str">
        <f>ITE_LUC_Rates!A32</f>
        <v>Recreational</v>
      </c>
      <c r="C41" s="466"/>
      <c r="D41" s="466"/>
      <c r="E41" s="466"/>
      <c r="F41" s="466"/>
      <c r="G41" s="467"/>
      <c r="H41" s="482"/>
      <c r="I41" s="483"/>
      <c r="J41" s="484"/>
      <c r="K41" s="484"/>
      <c r="L41" s="484"/>
      <c r="M41" s="484"/>
      <c r="N41" s="484"/>
      <c r="O41" s="485"/>
      <c r="P41" s="483"/>
      <c r="Q41" s="484"/>
      <c r="R41" s="484"/>
      <c r="S41" s="485"/>
      <c r="T41" s="483"/>
      <c r="U41" s="484"/>
      <c r="V41" s="485"/>
      <c r="W41" s="483"/>
      <c r="X41" s="484"/>
      <c r="Y41" s="740"/>
      <c r="Z41" s="381"/>
    </row>
    <row r="42" spans="2:26" s="11" customFormat="1" ht="17.100000000000001" customHeight="1" x14ac:dyDescent="0.25">
      <c r="B42" s="741">
        <f>ITE_LUC_Rates!A33</f>
        <v>420</v>
      </c>
      <c r="C42" s="367" t="str">
        <f>ITE_LUC_Rates!B33</f>
        <v>Marina</v>
      </c>
      <c r="D42" s="366" t="str">
        <f>ITE_LUC_Rates!C33</f>
        <v>Berth</v>
      </c>
      <c r="E42" s="365">
        <f>ITE_LUC_Rates!G33</f>
        <v>2.41</v>
      </c>
      <c r="F42" s="366" t="s">
        <v>73</v>
      </c>
      <c r="G42" s="373">
        <f>ITE_LUC_Rates!Q33</f>
        <v>3052.83</v>
      </c>
      <c r="H42" s="499">
        <f t="shared" si="0"/>
        <v>2041.9907887328486</v>
      </c>
      <c r="I42" s="487">
        <f>ITECountywide!$B$9*E42</f>
        <v>4.368319064746867</v>
      </c>
      <c r="J42" s="495">
        <f t="shared" ref="J42:J50" si="27">IF(F42="Prod",$M$3,$M$4)</f>
        <v>1.67</v>
      </c>
      <c r="K42" s="372">
        <f t="shared" ref="K42:K50" si="28">IF(F42="Prod",$F$4,$F$5)</f>
        <v>0.72504937644602452</v>
      </c>
      <c r="L42" s="488">
        <f>Passby_Length_Adj!H37</f>
        <v>0.9441087613293051</v>
      </c>
      <c r="M42" s="488">
        <f>Passby_Length_Adj!J37</f>
        <v>1</v>
      </c>
      <c r="N42" s="372">
        <v>0.5</v>
      </c>
      <c r="O42" s="481">
        <f t="shared" ref="O42:O50" si="29">L42*M42*N42</f>
        <v>0.47205438066465255</v>
      </c>
      <c r="P42" s="489">
        <f t="shared" ref="P42:P50" si="30">IF($F42="Prod",$I42*$O42*$F$4*$F$6,$I42*O42*$F$5*$F$7)</f>
        <v>11.952280058080804</v>
      </c>
      <c r="Q42" s="490">
        <f t="shared" ref="Q42:Q50" si="31">+P42/J42</f>
        <v>7.1570539269944939</v>
      </c>
      <c r="R42" s="491">
        <f t="shared" ref="R42:R50" si="32">+$Q$4</f>
        <v>261.71052631578948</v>
      </c>
      <c r="S42" s="500">
        <f t="shared" ref="S42:S50" si="33">+Q42*R42</f>
        <v>1873.076350104217</v>
      </c>
      <c r="T42" s="489">
        <f t="shared" ref="T42:T50" si="34">IF($F42="Prod",$I42*$O42*$G$4*$G$6,$I42*$O42*$G$5*$G$7)</f>
        <v>0.92260933343272988</v>
      </c>
      <c r="U42" s="493">
        <f t="shared" ref="U42:U50" si="35">+$R$4</f>
        <v>154.50490219883392</v>
      </c>
      <c r="V42" s="500">
        <f t="shared" ref="V42:V50" si="36">+T42*U42</f>
        <v>142.54766482975529</v>
      </c>
      <c r="W42" s="489">
        <f t="shared" ref="W42:W50" si="37">IF($F42="Prod",$I42*$O42*$J$4*$J$6,$I42*$O42*$J$5*$J$7)</f>
        <v>0.69558295646394275</v>
      </c>
      <c r="X42" s="493">
        <f t="shared" ref="X42:X50" si="38">$S$4</f>
        <v>37.9060089869281</v>
      </c>
      <c r="Y42" s="763">
        <f t="shared" ref="Y42:Y50" si="39">+W42*X42</f>
        <v>26.366773798876231</v>
      </c>
      <c r="Z42" s="381"/>
    </row>
    <row r="43" spans="2:26" s="11" customFormat="1" ht="17.100000000000001" customHeight="1" x14ac:dyDescent="0.25">
      <c r="B43" s="741">
        <f>ITE_LUC_Rates!A34</f>
        <v>430</v>
      </c>
      <c r="C43" s="367" t="str">
        <f>ITE_LUC_Rates!B34</f>
        <v>Golf Course</v>
      </c>
      <c r="D43" s="366" t="str">
        <f>ITE_LUC_Rates!C34</f>
        <v>Hole</v>
      </c>
      <c r="E43" s="365">
        <f>ITE_LUC_Rates!G34</f>
        <v>30.38</v>
      </c>
      <c r="F43" s="366" t="s">
        <v>73</v>
      </c>
      <c r="G43" s="373">
        <f>ITE_LUC_Rates!Q34</f>
        <v>36869.440000000002</v>
      </c>
      <c r="H43" s="499">
        <f t="shared" si="0"/>
        <v>17403.007207142477</v>
      </c>
      <c r="I43" s="487">
        <f>ITECountywide!$B$9*E43</f>
        <v>55.066196343157593</v>
      </c>
      <c r="J43" s="495">
        <f t="shared" si="27"/>
        <v>1.67</v>
      </c>
      <c r="K43" s="372">
        <f t="shared" si="28"/>
        <v>0.72504937644602452</v>
      </c>
      <c r="L43" s="488">
        <f>Passby_Length_Adj!H38</f>
        <v>0.63829555828418605</v>
      </c>
      <c r="M43" s="488">
        <f>Passby_Length_Adj!J38</f>
        <v>1</v>
      </c>
      <c r="N43" s="372">
        <v>0.5</v>
      </c>
      <c r="O43" s="481">
        <f t="shared" si="29"/>
        <v>0.31914777914209302</v>
      </c>
      <c r="P43" s="489">
        <f t="shared" si="30"/>
        <v>101.86413040660328</v>
      </c>
      <c r="Q43" s="490">
        <f t="shared" si="31"/>
        <v>60.996485273415139</v>
      </c>
      <c r="R43" s="491">
        <f t="shared" si="32"/>
        <v>261.71052631578948</v>
      </c>
      <c r="S43" s="500">
        <f t="shared" si="33"/>
        <v>15963.422264318779</v>
      </c>
      <c r="T43" s="489">
        <f t="shared" si="34"/>
        <v>7.8630016196450772</v>
      </c>
      <c r="U43" s="493">
        <f t="shared" si="35"/>
        <v>154.50490219883392</v>
      </c>
      <c r="V43" s="500">
        <f t="shared" si="36"/>
        <v>1214.8722962325353</v>
      </c>
      <c r="W43" s="489">
        <f t="shared" si="37"/>
        <v>5.9281536779210144</v>
      </c>
      <c r="X43" s="493">
        <f t="shared" si="38"/>
        <v>37.9060089869281</v>
      </c>
      <c r="Y43" s="763">
        <f t="shared" si="39"/>
        <v>224.71264659116486</v>
      </c>
      <c r="Z43" s="381"/>
    </row>
    <row r="44" spans="2:26" s="11" customFormat="1" ht="17.100000000000001" customHeight="1" x14ac:dyDescent="0.25">
      <c r="B44" s="741">
        <f>ITE_LUC_Rates!A35</f>
        <v>444</v>
      </c>
      <c r="C44" s="367" t="str">
        <f>ITE_LUC_Rates!B35</f>
        <v>Movie Theater</v>
      </c>
      <c r="D44" s="366" t="str">
        <f>ITE_LUC_Rates!C35</f>
        <v>1000 GSF</v>
      </c>
      <c r="E44" s="365">
        <f>ITE_LUC_Rates!G35</f>
        <v>78.09</v>
      </c>
      <c r="F44" s="366" t="s">
        <v>73</v>
      </c>
      <c r="G44" s="373">
        <f>ITE_LUC_Rates!Q35</f>
        <v>0</v>
      </c>
      <c r="H44" s="499">
        <f t="shared" si="0"/>
        <v>20634.769974354025</v>
      </c>
      <c r="I44" s="487">
        <f>ITECountywide!$B$9*E44</f>
        <v>141.54441318094723</v>
      </c>
      <c r="J44" s="495">
        <f t="shared" si="27"/>
        <v>1.67</v>
      </c>
      <c r="K44" s="372">
        <f t="shared" si="28"/>
        <v>0.72504937644602452</v>
      </c>
      <c r="L44" s="488">
        <f>Passby_Length_Adj!H39</f>
        <v>0.33534743202416922</v>
      </c>
      <c r="M44" s="488">
        <f>Passby_Length_Adj!J39</f>
        <v>0.878</v>
      </c>
      <c r="N44" s="372">
        <v>0.5</v>
      </c>
      <c r="O44" s="481">
        <f t="shared" si="29"/>
        <v>0.14721752265861029</v>
      </c>
      <c r="P44" s="489">
        <f t="shared" si="30"/>
        <v>120.78044182589251</v>
      </c>
      <c r="Q44" s="490">
        <f t="shared" si="31"/>
        <v>72.323617859815883</v>
      </c>
      <c r="R44" s="491">
        <f t="shared" si="32"/>
        <v>261.71052631578948</v>
      </c>
      <c r="S44" s="500">
        <f t="shared" si="33"/>
        <v>18927.852095154445</v>
      </c>
      <c r="T44" s="489">
        <f t="shared" si="34"/>
        <v>9.3231720126369169</v>
      </c>
      <c r="U44" s="493">
        <f t="shared" si="35"/>
        <v>154.50490219883392</v>
      </c>
      <c r="V44" s="500">
        <f t="shared" si="36"/>
        <v>1440.4757799953725</v>
      </c>
      <c r="W44" s="489">
        <f t="shared" si="37"/>
        <v>7.0290201032794082</v>
      </c>
      <c r="X44" s="493">
        <f t="shared" si="38"/>
        <v>37.9060089869281</v>
      </c>
      <c r="Y44" s="763">
        <f t="shared" si="39"/>
        <v>266.44209920420752</v>
      </c>
      <c r="Z44" s="381"/>
    </row>
    <row r="45" spans="2:26" s="11" customFormat="1" ht="17.100000000000001" customHeight="1" x14ac:dyDescent="0.25">
      <c r="B45" s="741">
        <f>ITE_LUC_Rates!A36</f>
        <v>444</v>
      </c>
      <c r="C45" s="367" t="str">
        <f>ITE_LUC_Rates!B36</f>
        <v>Movie Theater</v>
      </c>
      <c r="D45" s="366" t="str">
        <f>ITE_LUC_Rates!C36</f>
        <v>Screens</v>
      </c>
      <c r="E45" s="365">
        <f>ITE_LUC_Rates!G36</f>
        <v>220</v>
      </c>
      <c r="F45" s="366" t="s">
        <v>73</v>
      </c>
      <c r="G45" s="373">
        <f>ITE_LUC_Rates!Q36</f>
        <v>0</v>
      </c>
      <c r="H45" s="499">
        <f t="shared" si="0"/>
        <v>58133.556080905182</v>
      </c>
      <c r="I45" s="487">
        <f>ITECountywide!$B$9*E45</f>
        <v>398.76771545407081</v>
      </c>
      <c r="J45" s="495">
        <f t="shared" si="27"/>
        <v>1.67</v>
      </c>
      <c r="K45" s="372">
        <f t="shared" si="28"/>
        <v>0.72504937644602452</v>
      </c>
      <c r="L45" s="488">
        <f>Passby_Length_Adj!H40</f>
        <v>0.33534743202416922</v>
      </c>
      <c r="M45" s="488">
        <f>Passby_Length_Adj!J40</f>
        <v>0.878</v>
      </c>
      <c r="N45" s="372">
        <v>0.5</v>
      </c>
      <c r="O45" s="481">
        <f t="shared" si="29"/>
        <v>0.14721752265861029</v>
      </c>
      <c r="P45" s="489">
        <f t="shared" si="30"/>
        <v>340.27016521572995</v>
      </c>
      <c r="Q45" s="490">
        <f t="shared" si="31"/>
        <v>203.75458994953891</v>
      </c>
      <c r="R45" s="491">
        <f t="shared" si="32"/>
        <v>261.71052631578948</v>
      </c>
      <c r="S45" s="500">
        <f t="shared" si="33"/>
        <v>53324.720974951699</v>
      </c>
      <c r="T45" s="489">
        <f t="shared" si="34"/>
        <v>26.265819474710224</v>
      </c>
      <c r="U45" s="493">
        <f t="shared" si="35"/>
        <v>154.50490219883392</v>
      </c>
      <c r="V45" s="500">
        <f t="shared" si="36"/>
        <v>4058.1978691123304</v>
      </c>
      <c r="W45" s="489">
        <f t="shared" si="37"/>
        <v>19.802592172127927</v>
      </c>
      <c r="X45" s="493">
        <f t="shared" si="38"/>
        <v>37.9060089869281</v>
      </c>
      <c r="Y45" s="763">
        <f t="shared" si="39"/>
        <v>750.63723684115325</v>
      </c>
      <c r="Z45" s="381"/>
    </row>
    <row r="46" spans="2:26" s="11" customFormat="1" ht="17.100000000000001" customHeight="1" x14ac:dyDescent="0.25">
      <c r="B46" s="741">
        <f>ITE_LUC_Rates!A37</f>
        <v>480</v>
      </c>
      <c r="C46" s="367" t="str">
        <f>ITE_LUC_Rates!B37</f>
        <v>Amusement Park</v>
      </c>
      <c r="D46" s="366" t="str">
        <f>ITE_LUC_Rates!C37</f>
        <v>Acre</v>
      </c>
      <c r="E46" s="365">
        <f>ITE_LUC_Rates!G37</f>
        <v>53.41</v>
      </c>
      <c r="F46" s="366" t="s">
        <v>73</v>
      </c>
      <c r="G46" s="373">
        <f>ITE_LUC_Rates!Q37</f>
        <v>78154.13</v>
      </c>
      <c r="H46" s="499">
        <f t="shared" si="0"/>
        <v>30595.609444815003</v>
      </c>
      <c r="I46" s="487">
        <f>ITECountywide!$B$9*E46</f>
        <v>96.80992582909964</v>
      </c>
      <c r="J46" s="495">
        <f t="shared" si="27"/>
        <v>1.67</v>
      </c>
      <c r="K46" s="372">
        <f t="shared" si="28"/>
        <v>0.72504937644602452</v>
      </c>
      <c r="L46" s="488">
        <f>Passby_Length_Adj!H41</f>
        <v>0.63829555828418605</v>
      </c>
      <c r="M46" s="488">
        <f>Passby_Length_Adj!J41</f>
        <v>1</v>
      </c>
      <c r="N46" s="372">
        <v>0.5</v>
      </c>
      <c r="O46" s="481">
        <f t="shared" si="29"/>
        <v>0.31914777914209302</v>
      </c>
      <c r="P46" s="489">
        <f t="shared" si="30"/>
        <v>179.08371313418962</v>
      </c>
      <c r="Q46" s="490">
        <f t="shared" si="31"/>
        <v>107.23575636777822</v>
      </c>
      <c r="R46" s="491">
        <f t="shared" si="32"/>
        <v>261.71052631578948</v>
      </c>
      <c r="S46" s="500">
        <f t="shared" si="33"/>
        <v>28064.726238883013</v>
      </c>
      <c r="T46" s="489">
        <f t="shared" si="34"/>
        <v>13.823664137763119</v>
      </c>
      <c r="U46" s="493">
        <f t="shared" si="35"/>
        <v>154.50490219883392</v>
      </c>
      <c r="V46" s="500">
        <f t="shared" si="36"/>
        <v>2135.8238756346186</v>
      </c>
      <c r="W46" s="489">
        <f t="shared" si="37"/>
        <v>10.42207662731275</v>
      </c>
      <c r="X46" s="493">
        <f t="shared" si="38"/>
        <v>37.9060089869281</v>
      </c>
      <c r="Y46" s="763">
        <f t="shared" si="39"/>
        <v>395.05933029737042</v>
      </c>
      <c r="Z46" s="381"/>
    </row>
    <row r="47" spans="2:26" s="11" customFormat="1" ht="17.100000000000001" customHeight="1" x14ac:dyDescent="0.25">
      <c r="B47" s="741">
        <f>ITE_LUC_Rates!A38</f>
        <v>490</v>
      </c>
      <c r="C47" s="367" t="str">
        <f>ITE_LUC_Rates!B38</f>
        <v>Tennis Courts</v>
      </c>
      <c r="D47" s="366" t="str">
        <f>ITE_LUC_Rates!C38</f>
        <v>Court</v>
      </c>
      <c r="E47" s="365">
        <f>ITE_LUC_Rates!G38</f>
        <v>30.32</v>
      </c>
      <c r="F47" s="366" t="s">
        <v>73</v>
      </c>
      <c r="G47" s="373">
        <f>ITE_LUC_Rates!Q38</f>
        <v>32020.234</v>
      </c>
      <c r="H47" s="499">
        <f t="shared" si="0"/>
        <v>17368.636554330478</v>
      </c>
      <c r="I47" s="487">
        <f>ITECountywide!$B$9*E47</f>
        <v>54.957441511670126</v>
      </c>
      <c r="J47" s="495">
        <f t="shared" si="27"/>
        <v>1.67</v>
      </c>
      <c r="K47" s="372">
        <f t="shared" si="28"/>
        <v>0.72504937644602452</v>
      </c>
      <c r="L47" s="488">
        <f>Passby_Length_Adj!H42</f>
        <v>0.63829555828418605</v>
      </c>
      <c r="M47" s="488">
        <f>Passby_Length_Adj!J42</f>
        <v>1</v>
      </c>
      <c r="N47" s="372">
        <v>0.5</v>
      </c>
      <c r="O47" s="481">
        <f t="shared" si="29"/>
        <v>0.31914777914209302</v>
      </c>
      <c r="P47" s="489">
        <f t="shared" si="30"/>
        <v>101.66295042555008</v>
      </c>
      <c r="Q47" s="490">
        <f t="shared" si="31"/>
        <v>60.876018218892263</v>
      </c>
      <c r="R47" s="491">
        <f t="shared" si="32"/>
        <v>261.71052631578948</v>
      </c>
      <c r="S47" s="500">
        <f t="shared" si="33"/>
        <v>15931.894768075883</v>
      </c>
      <c r="T47" s="489">
        <f t="shared" si="34"/>
        <v>7.8474723208571016</v>
      </c>
      <c r="U47" s="493">
        <f t="shared" si="35"/>
        <v>154.50490219883392</v>
      </c>
      <c r="V47" s="500">
        <f t="shared" si="36"/>
        <v>1212.4729434420826</v>
      </c>
      <c r="W47" s="489">
        <f t="shared" si="37"/>
        <v>5.9164456719738361</v>
      </c>
      <c r="X47" s="493">
        <f t="shared" si="38"/>
        <v>37.9060089869281</v>
      </c>
      <c r="Y47" s="763">
        <f t="shared" si="39"/>
        <v>224.2688428125121</v>
      </c>
      <c r="Z47" s="381"/>
    </row>
    <row r="48" spans="2:26" s="11" customFormat="1" ht="17.100000000000001" customHeight="1" x14ac:dyDescent="0.25">
      <c r="B48" s="741">
        <f>ITE_LUC_Rates!A39</f>
        <v>491</v>
      </c>
      <c r="C48" s="367" t="str">
        <f>ITE_LUC_Rates!B39</f>
        <v>Racquet/Tennis Club</v>
      </c>
      <c r="D48" s="366" t="str">
        <f>ITE_LUC_Rates!C39</f>
        <v>Court</v>
      </c>
      <c r="E48" s="365">
        <f>ITE_LUC_Rates!G39</f>
        <v>38.700000000000003</v>
      </c>
      <c r="F48" s="366" t="s">
        <v>73</v>
      </c>
      <c r="G48" s="373">
        <f>ITE_LUC_Rates!Q39</f>
        <v>39922.269999999997</v>
      </c>
      <c r="H48" s="499">
        <f t="shared" si="0"/>
        <v>22169.071063739764</v>
      </c>
      <c r="I48" s="487">
        <f>ITECountywide!$B$9*E48</f>
        <v>70.146866309420645</v>
      </c>
      <c r="J48" s="495">
        <f t="shared" si="27"/>
        <v>1.67</v>
      </c>
      <c r="K48" s="372">
        <f t="shared" si="28"/>
        <v>0.72504937644602452</v>
      </c>
      <c r="L48" s="488">
        <f>Passby_Length_Adj!H43</f>
        <v>0.63829555828418605</v>
      </c>
      <c r="M48" s="488">
        <f>Passby_Length_Adj!J43</f>
        <v>1</v>
      </c>
      <c r="N48" s="372">
        <v>0.5</v>
      </c>
      <c r="O48" s="481">
        <f t="shared" si="29"/>
        <v>0.31914777914209302</v>
      </c>
      <c r="P48" s="489">
        <f t="shared" si="30"/>
        <v>129.76108777931361</v>
      </c>
      <c r="Q48" s="490">
        <f t="shared" si="31"/>
        <v>77.701250167253662</v>
      </c>
      <c r="R48" s="491">
        <f t="shared" si="32"/>
        <v>261.71052631578948</v>
      </c>
      <c r="S48" s="500">
        <f t="shared" si="33"/>
        <v>20335.235076666781</v>
      </c>
      <c r="T48" s="489">
        <f t="shared" si="34"/>
        <v>10.016397718244388</v>
      </c>
      <c r="U48" s="493">
        <f t="shared" si="35"/>
        <v>154.50490219883392</v>
      </c>
      <c r="V48" s="500">
        <f t="shared" si="36"/>
        <v>1547.5825498419724</v>
      </c>
      <c r="W48" s="489">
        <f t="shared" si="37"/>
        <v>7.5516638359296664</v>
      </c>
      <c r="X48" s="493">
        <f t="shared" si="38"/>
        <v>37.9060089869281</v>
      </c>
      <c r="Y48" s="763">
        <f t="shared" si="39"/>
        <v>286.25343723100985</v>
      </c>
      <c r="Z48" s="381"/>
    </row>
    <row r="49" spans="2:26" s="11" customFormat="1" ht="17.100000000000001" customHeight="1" x14ac:dyDescent="0.25">
      <c r="B49" s="741">
        <f>ITE_LUC_Rates!A40</f>
        <v>492</v>
      </c>
      <c r="C49" s="367" t="str">
        <f>ITE_LUC_Rates!B40</f>
        <v>Health/Fitness</v>
      </c>
      <c r="D49" s="366" t="str">
        <f>ITE_LUC_Rates!C40</f>
        <v>1000 GSF</v>
      </c>
      <c r="E49" s="365">
        <f>ITE_LUC_Rates!G40</f>
        <v>4.0199999999999996</v>
      </c>
      <c r="F49" s="366" t="s">
        <v>73</v>
      </c>
      <c r="G49" s="373">
        <f>ITE_LUC_Rates!Q40</f>
        <v>4147.8</v>
      </c>
      <c r="H49" s="499">
        <f t="shared" si="0"/>
        <v>2164.6637140997364</v>
      </c>
      <c r="I49" s="487">
        <f>ITECountywide!$B$9*E49</f>
        <v>7.2865737096607477</v>
      </c>
      <c r="J49" s="495">
        <f t="shared" si="27"/>
        <v>1.67</v>
      </c>
      <c r="K49" s="372">
        <f t="shared" si="28"/>
        <v>0.72504937644602452</v>
      </c>
      <c r="L49" s="488">
        <f>Passby_Length_Adj!H44</f>
        <v>0.63829555828418605</v>
      </c>
      <c r="M49" s="488">
        <f>Passby_Length_Adj!J44</f>
        <v>0.94</v>
      </c>
      <c r="N49" s="372">
        <v>0.5</v>
      </c>
      <c r="O49" s="481">
        <f t="shared" si="29"/>
        <v>0.29999891239356741</v>
      </c>
      <c r="P49" s="489">
        <f t="shared" si="30"/>
        <v>12.670315206730493</v>
      </c>
      <c r="Q49" s="490">
        <f t="shared" si="31"/>
        <v>7.5870150938505949</v>
      </c>
      <c r="R49" s="491">
        <f t="shared" si="32"/>
        <v>261.71052631578948</v>
      </c>
      <c r="S49" s="500">
        <f t="shared" si="33"/>
        <v>1985.6017133774781</v>
      </c>
      <c r="T49" s="489">
        <f t="shared" si="34"/>
        <v>0.9780352376667153</v>
      </c>
      <c r="U49" s="493">
        <f t="shared" si="35"/>
        <v>154.50490219883392</v>
      </c>
      <c r="V49" s="500">
        <f t="shared" si="36"/>
        <v>151.11123874270913</v>
      </c>
      <c r="W49" s="489">
        <f t="shared" si="37"/>
        <v>0.73737021455325613</v>
      </c>
      <c r="X49" s="493">
        <f t="shared" si="38"/>
        <v>37.9060089869281</v>
      </c>
      <c r="Y49" s="763">
        <f t="shared" si="39"/>
        <v>27.95076197954883</v>
      </c>
      <c r="Z49" s="381"/>
    </row>
    <row r="50" spans="2:26" s="11" customFormat="1" ht="17.100000000000001" customHeight="1" x14ac:dyDescent="0.25">
      <c r="B50" s="741">
        <f>ITE_LUC_Rates!A41</f>
        <v>495</v>
      </c>
      <c r="C50" s="367" t="str">
        <f>ITE_LUC_Rates!B41</f>
        <v>Recreational Community Center</v>
      </c>
      <c r="D50" s="366" t="str">
        <f>ITE_LUC_Rates!C41</f>
        <v>1000 GSF</v>
      </c>
      <c r="E50" s="365">
        <f>ITE_LUC_Rates!G41</f>
        <v>28.82</v>
      </c>
      <c r="F50" s="366" t="s">
        <v>73</v>
      </c>
      <c r="G50" s="373">
        <f>ITE_LUC_Rates!Q41</f>
        <v>0</v>
      </c>
      <c r="H50" s="499">
        <f t="shared" si="0"/>
        <v>16509.370234030488</v>
      </c>
      <c r="I50" s="487">
        <f>ITECountywide!$B$9*E50</f>
        <v>52.238570724483274</v>
      </c>
      <c r="J50" s="495">
        <f t="shared" si="27"/>
        <v>1.67</v>
      </c>
      <c r="K50" s="372">
        <f t="shared" si="28"/>
        <v>0.72504937644602452</v>
      </c>
      <c r="L50" s="488">
        <f>Passby_Length_Adj!H45</f>
        <v>0.63829555828418605</v>
      </c>
      <c r="M50" s="488">
        <f>Passby_Length_Adj!J45</f>
        <v>1</v>
      </c>
      <c r="N50" s="372">
        <v>0.5</v>
      </c>
      <c r="O50" s="481">
        <f t="shared" si="29"/>
        <v>0.31914777914209302</v>
      </c>
      <c r="P50" s="489">
        <f t="shared" si="30"/>
        <v>96.633450899220094</v>
      </c>
      <c r="Q50" s="490">
        <f t="shared" si="31"/>
        <v>57.86434185582042</v>
      </c>
      <c r="R50" s="491">
        <f t="shared" si="32"/>
        <v>261.71052631578948</v>
      </c>
      <c r="S50" s="500">
        <f t="shared" si="33"/>
        <v>15143.707362003528</v>
      </c>
      <c r="T50" s="489">
        <f t="shared" si="34"/>
        <v>7.4592398511577054</v>
      </c>
      <c r="U50" s="493">
        <f t="shared" si="35"/>
        <v>154.50490219883392</v>
      </c>
      <c r="V50" s="500">
        <f t="shared" si="36"/>
        <v>1152.4891236807657</v>
      </c>
      <c r="W50" s="489">
        <f t="shared" si="37"/>
        <v>5.6237455232943914</v>
      </c>
      <c r="X50" s="493">
        <f t="shared" si="38"/>
        <v>37.9060089869281</v>
      </c>
      <c r="Y50" s="763">
        <f t="shared" si="39"/>
        <v>213.17374834619386</v>
      </c>
      <c r="Z50" s="381"/>
    </row>
    <row r="51" spans="2:26" s="11" customFormat="1" ht="17.100000000000001" customHeight="1" x14ac:dyDescent="0.25">
      <c r="B51" s="739" t="str">
        <f>ITE_LUC_Rates!A42</f>
        <v>Institutional</v>
      </c>
      <c r="C51" s="466"/>
      <c r="D51" s="466"/>
      <c r="E51" s="466"/>
      <c r="F51" s="466"/>
      <c r="G51" s="467"/>
      <c r="H51" s="482"/>
      <c r="I51" s="483"/>
      <c r="J51" s="484"/>
      <c r="K51" s="484"/>
      <c r="L51" s="484"/>
      <c r="M51" s="484"/>
      <c r="N51" s="484"/>
      <c r="O51" s="485"/>
      <c r="P51" s="483"/>
      <c r="Q51" s="484"/>
      <c r="R51" s="484"/>
      <c r="S51" s="485"/>
      <c r="T51" s="483"/>
      <c r="U51" s="484"/>
      <c r="V51" s="485"/>
      <c r="W51" s="483"/>
      <c r="X51" s="484"/>
      <c r="Y51" s="740"/>
      <c r="Z51" s="381"/>
    </row>
    <row r="52" spans="2:26" s="11" customFormat="1" ht="17.100000000000001" customHeight="1" x14ac:dyDescent="0.25">
      <c r="B52" s="741">
        <f>ITE_LUC_Rates!A43</f>
        <v>520</v>
      </c>
      <c r="C52" s="367" t="str">
        <f>ITE_LUC_Rates!B43</f>
        <v>Elementary School (30 FT/St)</v>
      </c>
      <c r="D52" s="366" t="str">
        <f>ITE_LUC_Rates!C43</f>
        <v>Student</v>
      </c>
      <c r="E52" s="365">
        <f>ITE_LUC_Rates!G43</f>
        <v>1.89</v>
      </c>
      <c r="F52" s="366" t="s">
        <v>73</v>
      </c>
      <c r="G52" s="373">
        <f>ITE_LUC_Rates!Q43</f>
        <v>198.476</v>
      </c>
      <c r="H52" s="499">
        <f t="shared" si="0"/>
        <v>790.52587624526154</v>
      </c>
      <c r="I52" s="487">
        <f>ITECountywide!$B$9*E52</f>
        <v>3.4257771918554263</v>
      </c>
      <c r="J52" s="495">
        <f t="shared" ref="J52:J60" si="40">IF(F52="Prod",$M$3,$M$4)</f>
        <v>1.67</v>
      </c>
      <c r="K52" s="372">
        <f t="shared" ref="K52:K60" si="41">IF(F52="Prod",$F$4,$F$5)</f>
        <v>0.72504937644602452</v>
      </c>
      <c r="L52" s="488">
        <f>Passby_Length_Adj!H47</f>
        <v>0.87013619005702103</v>
      </c>
      <c r="M52" s="488">
        <f>Passby_Length_Adj!J47</f>
        <v>0.53561452513966479</v>
      </c>
      <c r="N52" s="372">
        <v>0.5</v>
      </c>
      <c r="O52" s="481">
        <f t="shared" ref="O52:O60" si="42">L52*M52*N52</f>
        <v>0.23302879112211422</v>
      </c>
      <c r="P52" s="489">
        <f t="shared" ref="P52:P60" si="43">IF($F52="Prod",$I52*$O52*$F$4*$F$6,$I52*O52*$F$5*$F$7)</f>
        <v>4.6271446072028501</v>
      </c>
      <c r="Q52" s="490">
        <f t="shared" ref="Q52:Q60" si="44">+P52/J52</f>
        <v>2.7707452737741618</v>
      </c>
      <c r="R52" s="491">
        <f t="shared" ref="R52:R60" si="45">+$Q$4</f>
        <v>261.71052631578948</v>
      </c>
      <c r="S52" s="500">
        <f t="shared" ref="S52:S60" si="46">+Q52*R52</f>
        <v>725.13320388642205</v>
      </c>
      <c r="T52" s="489">
        <f t="shared" ref="T52:T60" si="47">IF($F52="Prod",$I52*$O52*$G$4*$G$6,$I52*$O52*$G$5*$G$7)</f>
        <v>0.35717426139642849</v>
      </c>
      <c r="U52" s="493">
        <f t="shared" ref="U52:U60" si="48">+$R$4</f>
        <v>154.50490219883392</v>
      </c>
      <c r="V52" s="500">
        <f t="shared" ref="V52:V60" si="49">+T52*U52</f>
        <v>55.185174324995927</v>
      </c>
      <c r="W52" s="489">
        <f t="shared" ref="W52:W60" si="50">IF($F52="Prod",$I52*$O52*$J$4*$J$6,$I52*$O52*$J$5*$J$7)</f>
        <v>0.26928443026971344</v>
      </c>
      <c r="X52" s="493">
        <f t="shared" ref="X52:X60" si="51">$S$4</f>
        <v>37.9060089869281</v>
      </c>
      <c r="Y52" s="763">
        <f t="shared" ref="Y52:Y60" si="52">+W52*X52</f>
        <v>10.207498033843571</v>
      </c>
      <c r="Z52" s="381"/>
    </row>
    <row r="53" spans="2:26" s="11" customFormat="1" ht="17.100000000000001" customHeight="1" x14ac:dyDescent="0.25">
      <c r="B53" s="741">
        <f>ITE_LUC_Rates!A44</f>
        <v>530</v>
      </c>
      <c r="C53" s="367" t="str">
        <f>ITE_LUC_Rates!B44</f>
        <v>High School (25 SF/St)</v>
      </c>
      <c r="D53" s="366" t="str">
        <f>ITE_LUC_Rates!C44</f>
        <v>Student</v>
      </c>
      <c r="E53" s="365">
        <f>ITE_LUC_Rates!G44</f>
        <v>2.0299999999999998</v>
      </c>
      <c r="F53" s="366" t="s">
        <v>73</v>
      </c>
      <c r="G53" s="373">
        <f>ITE_LUC_Rates!Q44</f>
        <v>1120.212</v>
      </c>
      <c r="H53" s="499">
        <f t="shared" si="0"/>
        <v>849.08334855972532</v>
      </c>
      <c r="I53" s="487">
        <f>ITECountywide!$B$9*E53</f>
        <v>3.6795384653261984</v>
      </c>
      <c r="J53" s="495">
        <f t="shared" si="40"/>
        <v>1.67</v>
      </c>
      <c r="K53" s="372">
        <f t="shared" si="41"/>
        <v>0.72504937644602452</v>
      </c>
      <c r="L53" s="488">
        <f>Passby_Length_Adj!H48</f>
        <v>0.87013619005702103</v>
      </c>
      <c r="M53" s="488">
        <f>Passby_Length_Adj!J48</f>
        <v>0.53561452513966479</v>
      </c>
      <c r="N53" s="372">
        <v>0.5</v>
      </c>
      <c r="O53" s="481">
        <f t="shared" si="42"/>
        <v>0.23302879112211422</v>
      </c>
      <c r="P53" s="489">
        <f t="shared" si="43"/>
        <v>4.9698960595882458</v>
      </c>
      <c r="Q53" s="490">
        <f t="shared" si="44"/>
        <v>2.9759856644240994</v>
      </c>
      <c r="R53" s="491">
        <f t="shared" si="45"/>
        <v>261.71052631578948</v>
      </c>
      <c r="S53" s="500">
        <f t="shared" si="46"/>
        <v>778.84677454467555</v>
      </c>
      <c r="T53" s="489">
        <f t="shared" si="47"/>
        <v>0.38363161409246016</v>
      </c>
      <c r="U53" s="493">
        <f t="shared" si="48"/>
        <v>154.50490219883392</v>
      </c>
      <c r="V53" s="500">
        <f t="shared" si="49"/>
        <v>59.272965015736354</v>
      </c>
      <c r="W53" s="489">
        <f t="shared" si="50"/>
        <v>0.28923142510450706</v>
      </c>
      <c r="X53" s="493">
        <f t="shared" si="51"/>
        <v>37.9060089869281</v>
      </c>
      <c r="Y53" s="763">
        <f t="shared" si="52"/>
        <v>10.963608999313466</v>
      </c>
      <c r="Z53" s="381"/>
    </row>
    <row r="54" spans="2:26" s="11" customFormat="1" ht="17.100000000000001" customHeight="1" x14ac:dyDescent="0.25">
      <c r="B54" s="741">
        <f>ITE_LUC_Rates!A45</f>
        <v>534</v>
      </c>
      <c r="C54" s="367" t="str">
        <f>ITE_LUC_Rates!B45</f>
        <v>Private School (K-8)</v>
      </c>
      <c r="D54" s="366" t="str">
        <f>ITE_LUC_Rates!C45</f>
        <v>Student</v>
      </c>
      <c r="E54" s="365">
        <f>ITE_LUC_Rates!G45</f>
        <v>4.1100000000000003</v>
      </c>
      <c r="F54" s="366" t="s">
        <v>73</v>
      </c>
      <c r="G54" s="373">
        <f>ITE_LUC_Rates!Q45</f>
        <v>0</v>
      </c>
      <c r="H54" s="499">
        <f t="shared" si="0"/>
        <v>1513.8282665466595</v>
      </c>
      <c r="I54" s="487">
        <f>ITECountywide!$B$9*E54</f>
        <v>7.4497059568919601</v>
      </c>
      <c r="J54" s="495">
        <f t="shared" si="40"/>
        <v>1.67</v>
      </c>
      <c r="K54" s="372">
        <f t="shared" si="41"/>
        <v>0.72504937644602452</v>
      </c>
      <c r="L54" s="488">
        <f>Passby_Length_Adj!H49</f>
        <v>0.76624514210263772</v>
      </c>
      <c r="M54" s="488">
        <f>Passby_Length_Adj!J49</f>
        <v>0.53561452513966479</v>
      </c>
      <c r="N54" s="372">
        <v>0.5</v>
      </c>
      <c r="O54" s="481">
        <f t="shared" si="42"/>
        <v>0.20520601396393964</v>
      </c>
      <c r="P54" s="489">
        <f t="shared" si="43"/>
        <v>8.860813428464418</v>
      </c>
      <c r="Q54" s="490">
        <f t="shared" si="44"/>
        <v>5.3058763044697113</v>
      </c>
      <c r="R54" s="491">
        <f t="shared" si="45"/>
        <v>261.71052631578948</v>
      </c>
      <c r="S54" s="500">
        <f t="shared" si="46"/>
        <v>1388.6036802092442</v>
      </c>
      <c r="T54" s="489">
        <f t="shared" si="47"/>
        <v>0.68397570431595311</v>
      </c>
      <c r="U54" s="493">
        <f t="shared" si="48"/>
        <v>154.50490219883392</v>
      </c>
      <c r="V54" s="500">
        <f t="shared" si="49"/>
        <v>105.67759930171488</v>
      </c>
      <c r="W54" s="489">
        <f t="shared" si="50"/>
        <v>0.51566987815681731</v>
      </c>
      <c r="X54" s="493">
        <f t="shared" si="51"/>
        <v>37.9060089869281</v>
      </c>
      <c r="Y54" s="763">
        <f t="shared" si="52"/>
        <v>19.546987035700436</v>
      </c>
      <c r="Z54" s="381"/>
    </row>
    <row r="55" spans="2:26" s="11" customFormat="1" ht="17.100000000000001" customHeight="1" x14ac:dyDescent="0.25">
      <c r="B55" s="741">
        <f>ITE_LUC_Rates!A46</f>
        <v>536</v>
      </c>
      <c r="C55" s="367" t="str">
        <f>ITE_LUC_Rates!B46</f>
        <v>Private School (K-12)</v>
      </c>
      <c r="D55" s="366" t="str">
        <f>ITE_LUC_Rates!C46</f>
        <v>Student</v>
      </c>
      <c r="E55" s="365">
        <f>ITE_LUC_Rates!G46</f>
        <v>2.48</v>
      </c>
      <c r="F55" s="366" t="s">
        <v>73</v>
      </c>
      <c r="G55" s="373">
        <f>ITE_LUC_Rates!Q46</f>
        <v>0</v>
      </c>
      <c r="H55" s="499">
        <f t="shared" si="0"/>
        <v>913.45355256343453</v>
      </c>
      <c r="I55" s="487">
        <f>ITECountywide!$B$9*E55</f>
        <v>4.4951997014822531</v>
      </c>
      <c r="J55" s="495">
        <f t="shared" si="40"/>
        <v>1.67</v>
      </c>
      <c r="K55" s="372">
        <f t="shared" si="41"/>
        <v>0.72504937644602452</v>
      </c>
      <c r="L55" s="488">
        <f>Passby_Length_Adj!H50</f>
        <v>0.76624514210263772</v>
      </c>
      <c r="M55" s="488">
        <f>Passby_Length_Adj!J50</f>
        <v>0.53561452513966479</v>
      </c>
      <c r="N55" s="372">
        <v>0.5</v>
      </c>
      <c r="O55" s="481">
        <f t="shared" si="42"/>
        <v>0.20520601396393964</v>
      </c>
      <c r="P55" s="489">
        <f t="shared" si="43"/>
        <v>5.3466708765430067</v>
      </c>
      <c r="Q55" s="490">
        <f t="shared" si="44"/>
        <v>3.2015993272712615</v>
      </c>
      <c r="R55" s="491">
        <f t="shared" si="45"/>
        <v>261.71052631578948</v>
      </c>
      <c r="S55" s="500">
        <f t="shared" si="46"/>
        <v>837.89224499243937</v>
      </c>
      <c r="T55" s="489">
        <f t="shared" si="47"/>
        <v>0.41271526683785004</v>
      </c>
      <c r="U55" s="493">
        <f t="shared" si="48"/>
        <v>154.50490219883392</v>
      </c>
      <c r="V55" s="500">
        <f t="shared" si="49"/>
        <v>63.766531938747661</v>
      </c>
      <c r="W55" s="489">
        <f t="shared" si="50"/>
        <v>0.3111584666250381</v>
      </c>
      <c r="X55" s="493">
        <f t="shared" si="51"/>
        <v>37.9060089869281</v>
      </c>
      <c r="Y55" s="763">
        <f t="shared" si="52"/>
        <v>11.794775632247461</v>
      </c>
      <c r="Z55" s="381"/>
    </row>
    <row r="56" spans="2:26" s="11" customFormat="1" ht="17.100000000000001" customHeight="1" x14ac:dyDescent="0.25">
      <c r="B56" s="741">
        <f>ITE_LUC_Rates!A47</f>
        <v>537</v>
      </c>
      <c r="C56" s="367" t="str">
        <f>ITE_LUC_Rates!B47</f>
        <v>Charter Elementary School</v>
      </c>
      <c r="D56" s="366" t="str">
        <f>ITE_LUC_Rates!C47</f>
        <v>Student</v>
      </c>
      <c r="E56" s="365">
        <f>ITE_LUC_Rates!G47</f>
        <v>1.85</v>
      </c>
      <c r="F56" s="366" t="s">
        <v>73</v>
      </c>
      <c r="G56" s="373">
        <f>ITE_LUC_Rates!Q47</f>
        <v>0</v>
      </c>
      <c r="H56" s="499">
        <f t="shared" si="0"/>
        <v>1660.2994980654732</v>
      </c>
      <c r="I56" s="487">
        <f>ITECountywide!$B$9*E56</f>
        <v>3.3532739708637775</v>
      </c>
      <c r="J56" s="495">
        <f t="shared" si="40"/>
        <v>1.67</v>
      </c>
      <c r="K56" s="372">
        <f t="shared" si="41"/>
        <v>0.72504937644602452</v>
      </c>
      <c r="L56" s="488">
        <f>Passby_Length_Adj!H51</f>
        <v>1</v>
      </c>
      <c r="M56" s="488">
        <f>Passby_Length_Adj!J51</f>
        <v>1</v>
      </c>
      <c r="N56" s="372">
        <v>0.5</v>
      </c>
      <c r="O56" s="481">
        <f t="shared" si="42"/>
        <v>0.5</v>
      </c>
      <c r="P56" s="489">
        <f t="shared" si="43"/>
        <v>9.718145983157882</v>
      </c>
      <c r="Q56" s="490">
        <f t="shared" si="44"/>
        <v>5.8192490917113071</v>
      </c>
      <c r="R56" s="491">
        <f t="shared" si="45"/>
        <v>261.71052631578948</v>
      </c>
      <c r="S56" s="500">
        <f t="shared" si="46"/>
        <v>1522.958742554446</v>
      </c>
      <c r="T56" s="489">
        <f t="shared" si="47"/>
        <v>0.75015412491622535</v>
      </c>
      <c r="U56" s="493">
        <f t="shared" si="48"/>
        <v>154.50490219883392</v>
      </c>
      <c r="V56" s="500">
        <f t="shared" si="49"/>
        <v>115.90248970423323</v>
      </c>
      <c r="W56" s="489">
        <f t="shared" si="50"/>
        <v>0.56556378209552916</v>
      </c>
      <c r="X56" s="493">
        <f t="shared" si="51"/>
        <v>37.9060089869281</v>
      </c>
      <c r="Y56" s="763">
        <f t="shared" si="52"/>
        <v>21.438265806794174</v>
      </c>
      <c r="Z56" s="381"/>
    </row>
    <row r="57" spans="2:26" s="11" customFormat="1" ht="17.100000000000001" customHeight="1" x14ac:dyDescent="0.25">
      <c r="B57" s="741">
        <f>ITE_LUC_Rates!A48</f>
        <v>540</v>
      </c>
      <c r="C57" s="367" t="str">
        <f>ITE_LUC_Rates!B48</f>
        <v>Jr./Community Co</v>
      </c>
      <c r="D57" s="366" t="str">
        <f>ITE_LUC_Rates!C48</f>
        <v>Student</v>
      </c>
      <c r="E57" s="365">
        <f>ITE_LUC_Rates!G48</f>
        <v>1.1499999999999999</v>
      </c>
      <c r="F57" s="366" t="s">
        <v>73</v>
      </c>
      <c r="G57" s="373">
        <f>ITE_LUC_Rates!Q48</f>
        <v>1192.538</v>
      </c>
      <c r="H57" s="499">
        <f t="shared" si="0"/>
        <v>423.57725219675388</v>
      </c>
      <c r="I57" s="487">
        <f>ITECountywide!$B$9*E57</f>
        <v>2.0844676035099154</v>
      </c>
      <c r="J57" s="495">
        <f t="shared" si="40"/>
        <v>1.67</v>
      </c>
      <c r="K57" s="372">
        <f t="shared" si="41"/>
        <v>0.72504937644602452</v>
      </c>
      <c r="L57" s="488">
        <f>Passby_Length_Adj!H52</f>
        <v>0.76624514210263772</v>
      </c>
      <c r="M57" s="488">
        <f>Passby_Length_Adj!J52</f>
        <v>0.53561452513966479</v>
      </c>
      <c r="N57" s="372">
        <v>0.5</v>
      </c>
      <c r="O57" s="481">
        <f t="shared" si="42"/>
        <v>0.20520601396393964</v>
      </c>
      <c r="P57" s="489">
        <f t="shared" si="43"/>
        <v>2.4793030274292165</v>
      </c>
      <c r="Q57" s="490">
        <f t="shared" si="44"/>
        <v>1.4846125912749799</v>
      </c>
      <c r="R57" s="491">
        <f t="shared" si="45"/>
        <v>261.71052631578948</v>
      </c>
      <c r="S57" s="500">
        <f t="shared" si="46"/>
        <v>388.53874263762305</v>
      </c>
      <c r="T57" s="489">
        <f t="shared" si="47"/>
        <v>0.1913800632514224</v>
      </c>
      <c r="U57" s="493">
        <f t="shared" si="48"/>
        <v>154.50490219883392</v>
      </c>
      <c r="V57" s="500">
        <f t="shared" si="49"/>
        <v>29.569157955467666</v>
      </c>
      <c r="W57" s="489">
        <f t="shared" si="50"/>
        <v>0.1442871921849975</v>
      </c>
      <c r="X57" s="493">
        <f t="shared" si="51"/>
        <v>37.9060089869281</v>
      </c>
      <c r="Y57" s="763">
        <f t="shared" si="52"/>
        <v>5.4693516036631369</v>
      </c>
      <c r="Z57" s="381"/>
    </row>
    <row r="58" spans="2:26" s="11" customFormat="1" ht="17.100000000000001" customHeight="1" x14ac:dyDescent="0.25">
      <c r="B58" s="741">
        <f>ITE_LUC_Rates!A49</f>
        <v>550</v>
      </c>
      <c r="C58" s="367" t="str">
        <f>ITE_LUC_Rates!B49</f>
        <v>University (20SF/st)</v>
      </c>
      <c r="D58" s="366" t="str">
        <f>ITE_LUC_Rates!C49</f>
        <v>Student</v>
      </c>
      <c r="E58" s="365">
        <f>ITE_LUC_Rates!G49</f>
        <v>1.56</v>
      </c>
      <c r="F58" s="366" t="s">
        <v>73</v>
      </c>
      <c r="G58" s="373">
        <f>ITE_LUC_Rates!Q49</f>
        <v>2364.8919999999998</v>
      </c>
      <c r="H58" s="499">
        <f t="shared" si="0"/>
        <v>574.59175080603143</v>
      </c>
      <c r="I58" s="487">
        <f>ITECountywide!$B$9*E58</f>
        <v>2.8276256186743205</v>
      </c>
      <c r="J58" s="495">
        <f t="shared" si="40"/>
        <v>1.67</v>
      </c>
      <c r="K58" s="372">
        <f t="shared" si="41"/>
        <v>0.72504937644602452</v>
      </c>
      <c r="L58" s="488">
        <f>Passby_Length_Adj!H53</f>
        <v>0.76624514210263772</v>
      </c>
      <c r="M58" s="488">
        <f>Passby_Length_Adj!J53</f>
        <v>0.53561452513966479</v>
      </c>
      <c r="N58" s="372">
        <v>0.5</v>
      </c>
      <c r="O58" s="481">
        <f t="shared" si="42"/>
        <v>0.20520601396393964</v>
      </c>
      <c r="P58" s="489">
        <f t="shared" si="43"/>
        <v>3.3632284545996329</v>
      </c>
      <c r="Q58" s="490">
        <f t="shared" si="44"/>
        <v>2.0139092542512773</v>
      </c>
      <c r="R58" s="491">
        <f t="shared" si="45"/>
        <v>261.71052631578948</v>
      </c>
      <c r="S58" s="500">
        <f t="shared" si="46"/>
        <v>527.06125088234091</v>
      </c>
      <c r="T58" s="489">
        <f t="shared" si="47"/>
        <v>0.25961121623671213</v>
      </c>
      <c r="U58" s="493">
        <f t="shared" si="48"/>
        <v>154.50490219883392</v>
      </c>
      <c r="V58" s="500">
        <f t="shared" si="49"/>
        <v>40.111205574373528</v>
      </c>
      <c r="W58" s="489">
        <f t="shared" si="50"/>
        <v>0.19572871287704011</v>
      </c>
      <c r="X58" s="493">
        <f t="shared" si="51"/>
        <v>37.9060089869281</v>
      </c>
      <c r="Y58" s="763">
        <f t="shared" si="52"/>
        <v>7.4192943493169521</v>
      </c>
      <c r="Z58" s="381"/>
    </row>
    <row r="59" spans="2:26" s="11" customFormat="1" ht="17.100000000000001" customHeight="1" x14ac:dyDescent="0.25">
      <c r="B59" s="741">
        <f>ITE_LUC_Rates!A50</f>
        <v>560</v>
      </c>
      <c r="C59" s="367" t="str">
        <f>ITE_LUC_Rates!B50</f>
        <v>Church</v>
      </c>
      <c r="D59" s="366" t="str">
        <f>ITE_LUC_Rates!C50</f>
        <v>1000 GSF</v>
      </c>
      <c r="E59" s="365">
        <f>ITE_LUC_Rates!G50</f>
        <v>6.95</v>
      </c>
      <c r="F59" s="366" t="s">
        <v>73</v>
      </c>
      <c r="G59" s="373">
        <f>ITE_LUC_Rates!Q50</f>
        <v>5966.1</v>
      </c>
      <c r="H59" s="499">
        <f t="shared" si="0"/>
        <v>5619.8675328551035</v>
      </c>
      <c r="I59" s="487">
        <f>ITECountywide!$B$9*E59</f>
        <v>12.597434647299055</v>
      </c>
      <c r="J59" s="495">
        <f t="shared" si="40"/>
        <v>1.67</v>
      </c>
      <c r="K59" s="372">
        <f t="shared" si="41"/>
        <v>0.72504937644602452</v>
      </c>
      <c r="L59" s="488">
        <f>Passby_Length_Adj!H54</f>
        <v>0.90100368260427022</v>
      </c>
      <c r="M59" s="488">
        <f>Passby_Length_Adj!J54</f>
        <v>1</v>
      </c>
      <c r="N59" s="372">
        <v>0.5</v>
      </c>
      <c r="O59" s="481">
        <f t="shared" si="42"/>
        <v>0.45050184130213511</v>
      </c>
      <c r="P59" s="489">
        <f t="shared" si="43"/>
        <v>32.894482684558099</v>
      </c>
      <c r="Q59" s="490">
        <f t="shared" si="44"/>
        <v>19.697295020693474</v>
      </c>
      <c r="R59" s="491">
        <f t="shared" si="45"/>
        <v>261.71052631578948</v>
      </c>
      <c r="S59" s="500">
        <f t="shared" si="46"/>
        <v>5154.9894468630682</v>
      </c>
      <c r="T59" s="489">
        <f t="shared" si="47"/>
        <v>2.5391604443451912</v>
      </c>
      <c r="U59" s="493">
        <f t="shared" si="48"/>
        <v>154.50490219883392</v>
      </c>
      <c r="V59" s="500">
        <f t="shared" si="49"/>
        <v>392.31273612070146</v>
      </c>
      <c r="W59" s="489">
        <f t="shared" si="50"/>
        <v>1.9143495137237356</v>
      </c>
      <c r="X59" s="493">
        <f t="shared" si="51"/>
        <v>37.9060089869281</v>
      </c>
      <c r="Y59" s="763">
        <f t="shared" si="52"/>
        <v>72.565349871333368</v>
      </c>
      <c r="Z59" s="381"/>
    </row>
    <row r="60" spans="2:26" s="11" customFormat="1" ht="17.100000000000001" customHeight="1" x14ac:dyDescent="0.25">
      <c r="B60" s="741">
        <f>ITE_LUC_Rates!A51</f>
        <v>565</v>
      </c>
      <c r="C60" s="367" t="str">
        <f>ITE_LUC_Rates!B51</f>
        <v>Day Care Center</v>
      </c>
      <c r="D60" s="366" t="str">
        <f>ITE_LUC_Rates!C51</f>
        <v>1000 GSF</v>
      </c>
      <c r="E60" s="365">
        <f>ITE_LUC_Rates!G51</f>
        <v>47.62</v>
      </c>
      <c r="F60" s="366" t="s">
        <v>73</v>
      </c>
      <c r="G60" s="373">
        <f>ITE_LUC_Rates!Q51</f>
        <v>8112.3</v>
      </c>
      <c r="H60" s="499">
        <f t="shared" si="0"/>
        <v>9592.973147624929</v>
      </c>
      <c r="I60" s="487">
        <f>ITECountywide!$B$9*E60</f>
        <v>86.315084590558413</v>
      </c>
      <c r="J60" s="495">
        <f t="shared" si="40"/>
        <v>1.67</v>
      </c>
      <c r="K60" s="372">
        <f t="shared" si="41"/>
        <v>0.72504937644602452</v>
      </c>
      <c r="L60" s="488">
        <f>Passby_Length_Adj!H55</f>
        <v>0.30664652567975825</v>
      </c>
      <c r="M60" s="488">
        <f>Passby_Length_Adj!J55</f>
        <v>0.73199999999999998</v>
      </c>
      <c r="N60" s="372">
        <v>0.5</v>
      </c>
      <c r="O60" s="481">
        <f t="shared" si="42"/>
        <v>0.11223262839879151</v>
      </c>
      <c r="P60" s="489">
        <f t="shared" si="43"/>
        <v>56.150058209230572</v>
      </c>
      <c r="Q60" s="490">
        <f t="shared" si="44"/>
        <v>33.622789346844655</v>
      </c>
      <c r="R60" s="491">
        <f t="shared" si="45"/>
        <v>261.71052631578948</v>
      </c>
      <c r="S60" s="500">
        <f t="shared" si="46"/>
        <v>8799.4378961676339</v>
      </c>
      <c r="T60" s="489">
        <f t="shared" si="47"/>
        <v>4.3342832936384141</v>
      </c>
      <c r="U60" s="493">
        <f t="shared" si="48"/>
        <v>154.50490219883392</v>
      </c>
      <c r="V60" s="500">
        <f t="shared" si="49"/>
        <v>669.66801638564289</v>
      </c>
      <c r="W60" s="489">
        <f t="shared" si="50"/>
        <v>3.2677466813867917</v>
      </c>
      <c r="X60" s="493">
        <f t="shared" si="51"/>
        <v>37.9060089869281</v>
      </c>
      <c r="Y60" s="763">
        <f t="shared" si="52"/>
        <v>123.8672350716522</v>
      </c>
      <c r="Z60" s="381"/>
    </row>
    <row r="61" spans="2:26" s="11" customFormat="1" ht="17.100000000000001" customHeight="1" x14ac:dyDescent="0.25">
      <c r="B61" s="739" t="str">
        <f>ITE_LUC_Rates!A52</f>
        <v>Medical</v>
      </c>
      <c r="C61" s="466"/>
      <c r="D61" s="466"/>
      <c r="E61" s="466"/>
      <c r="F61" s="466"/>
      <c r="G61" s="467"/>
      <c r="H61" s="482"/>
      <c r="I61" s="483"/>
      <c r="J61" s="484"/>
      <c r="K61" s="484"/>
      <c r="L61" s="484"/>
      <c r="M61" s="484"/>
      <c r="N61" s="484"/>
      <c r="O61" s="485"/>
      <c r="P61" s="483"/>
      <c r="Q61" s="484"/>
      <c r="R61" s="484"/>
      <c r="S61" s="485"/>
      <c r="T61" s="483"/>
      <c r="U61" s="484"/>
      <c r="V61" s="485"/>
      <c r="W61" s="483"/>
      <c r="X61" s="484"/>
      <c r="Y61" s="740"/>
      <c r="Z61" s="381"/>
    </row>
    <row r="62" spans="2:26" s="11" customFormat="1" ht="17.100000000000001" customHeight="1" x14ac:dyDescent="0.25">
      <c r="B62" s="741">
        <f>ITE_LUC_Rates!A53</f>
        <v>610</v>
      </c>
      <c r="C62" s="367" t="str">
        <f>ITE_LUC_Rates!B53</f>
        <v>Hospital</v>
      </c>
      <c r="D62" s="366" t="str">
        <f>ITE_LUC_Rates!C53</f>
        <v>1000 GSF</v>
      </c>
      <c r="E62" s="365">
        <f>ITE_LUC_Rates!G53</f>
        <v>10.72</v>
      </c>
      <c r="F62" s="366" t="s">
        <v>73</v>
      </c>
      <c r="G62" s="373">
        <f>ITE_LUC_Rates!Q53</f>
        <v>17837.599999999999</v>
      </c>
      <c r="H62" s="499">
        <f t="shared" si="0"/>
        <v>9620.7624968983091</v>
      </c>
      <c r="I62" s="487">
        <f>ITECountywide!$B$9*E62</f>
        <v>19.430863225761996</v>
      </c>
      <c r="J62" s="495">
        <f>IF(F62="Prod",$M$3,$M$4)</f>
        <v>1.67</v>
      </c>
      <c r="K62" s="372">
        <f>IF(F62="Prod",$F$4,$F$5)</f>
        <v>0.72504937644602452</v>
      </c>
      <c r="L62" s="488">
        <f>Passby_Length_Adj!H57</f>
        <v>1</v>
      </c>
      <c r="M62" s="488">
        <f>Passby_Length_Adj!J57</f>
        <v>1</v>
      </c>
      <c r="N62" s="372">
        <v>0.5</v>
      </c>
      <c r="O62" s="481">
        <f>L62*M62*N62</f>
        <v>0.5</v>
      </c>
      <c r="P62" s="489">
        <f>IF($F62="Prod",$I62*$O62*$F$4*$F$6,$I62*O62*$F$5*$F$7)</f>
        <v>56.312716183487829</v>
      </c>
      <c r="Q62" s="490">
        <f>+P62/J62</f>
        <v>33.720189331429836</v>
      </c>
      <c r="R62" s="491">
        <f>+$Q$4</f>
        <v>261.71052631578948</v>
      </c>
      <c r="S62" s="500">
        <f>+Q62*R62</f>
        <v>8824.9284973965714</v>
      </c>
      <c r="T62" s="489">
        <f>IF($F62="Prod",$I62*$O62*$G$4*$G$6,$I62*$O62*$G$5*$G$7)</f>
        <v>4.3468390373523969</v>
      </c>
      <c r="U62" s="493">
        <f>+$R$4</f>
        <v>154.50490219883392</v>
      </c>
      <c r="V62" s="500">
        <f>+T62*U62</f>
        <v>671.60794034020546</v>
      </c>
      <c r="W62" s="489">
        <f>IF($F62="Prod",$I62*$O62*$J$4*$J$6,$I62*$O62*$J$5*$J$7)</f>
        <v>3.2772128346292275</v>
      </c>
      <c r="X62" s="493">
        <f>$S$4</f>
        <v>37.9060089869281</v>
      </c>
      <c r="Y62" s="763">
        <f>+W62*X62</f>
        <v>124.22605916153161</v>
      </c>
      <c r="Z62" s="381"/>
    </row>
    <row r="63" spans="2:26" s="11" customFormat="1" ht="17.100000000000001" customHeight="1" x14ac:dyDescent="0.25">
      <c r="B63" s="741">
        <f>ITE_LUC_Rates!A54</f>
        <v>620</v>
      </c>
      <c r="C63" s="367" t="str">
        <f>ITE_LUC_Rates!B54</f>
        <v>Nursing Home</v>
      </c>
      <c r="D63" s="366" t="str">
        <f>ITE_LUC_Rates!C54</f>
        <v>Bed</v>
      </c>
      <c r="E63" s="365">
        <f>ITE_LUC_Rates!G54</f>
        <v>3.06</v>
      </c>
      <c r="F63" s="366" t="s">
        <v>73</v>
      </c>
      <c r="G63" s="373">
        <f>ITE_LUC_Rates!Q54</f>
        <v>2405.2600000000002</v>
      </c>
      <c r="H63" s="499">
        <f t="shared" si="0"/>
        <v>956.24222269548557</v>
      </c>
      <c r="I63" s="487">
        <f>ITECountywide!$B$9*E63</f>
        <v>5.5464964058611672</v>
      </c>
      <c r="J63" s="495">
        <f>IF(F63="Prod",$M$3,$M$4)</f>
        <v>1.67</v>
      </c>
      <c r="K63" s="372">
        <f>IF(F63="Prod",$F$4,$F$5)</f>
        <v>0.72504937644602452</v>
      </c>
      <c r="L63" s="488">
        <f>Passby_Length_Adj!H58</f>
        <v>0.39123867069486401</v>
      </c>
      <c r="M63" s="488">
        <f>Passby_Length_Adj!J58</f>
        <v>0.89</v>
      </c>
      <c r="N63" s="372">
        <v>0.5</v>
      </c>
      <c r="O63" s="481">
        <f>L63*M63*N63</f>
        <v>0.17410120845921448</v>
      </c>
      <c r="P63" s="489">
        <f>IF($F63="Prod",$I63*$O63*$F$4*$F$6,$I63*O63*$F$5*$F$7)</f>
        <v>5.5971236070611852</v>
      </c>
      <c r="Q63" s="490">
        <f>+P63/J63</f>
        <v>3.3515710221923265</v>
      </c>
      <c r="R63" s="491">
        <f>+$Q$4</f>
        <v>261.71052631578948</v>
      </c>
      <c r="S63" s="500">
        <f>+Q63*R63</f>
        <v>877.14141620270232</v>
      </c>
      <c r="T63" s="489">
        <f>IF($F63="Prod",$I63*$O63*$G$4*$G$6,$I63*$O63*$G$5*$G$7)</f>
        <v>0.43204798207184086</v>
      </c>
      <c r="U63" s="493">
        <f>+$R$4</f>
        <v>154.50490219883392</v>
      </c>
      <c r="V63" s="500">
        <f>+T63*U63</f>
        <v>66.753531215213329</v>
      </c>
      <c r="W63" s="489">
        <f>IF($F63="Prod",$I63*$O63*$J$4*$J$6,$I63*$O63*$J$5*$J$7)</f>
        <v>0.32573398275265092</v>
      </c>
      <c r="X63" s="493">
        <f>$S$4</f>
        <v>37.9060089869281</v>
      </c>
      <c r="Y63" s="763">
        <f>+W63*X63</f>
        <v>12.347275277569869</v>
      </c>
      <c r="Z63" s="381"/>
    </row>
    <row r="64" spans="2:26" s="11" customFormat="1" ht="17.100000000000001" customHeight="1" x14ac:dyDescent="0.25">
      <c r="B64" s="741">
        <f>ITE_LUC_Rates!A55</f>
        <v>630</v>
      </c>
      <c r="C64" s="367" t="str">
        <f>ITE_LUC_Rates!B55</f>
        <v>Clinic</v>
      </c>
      <c r="D64" s="366" t="str">
        <f>ITE_LUC_Rates!C55</f>
        <v>1000 GSF</v>
      </c>
      <c r="E64" s="365">
        <f>ITE_LUC_Rates!G55</f>
        <v>38.159999999999997</v>
      </c>
      <c r="F64" s="366" t="s">
        <v>73</v>
      </c>
      <c r="G64" s="373">
        <f>ITE_LUC_Rates!Q55</f>
        <v>31927.7</v>
      </c>
      <c r="H64" s="499">
        <f t="shared" si="0"/>
        <v>24536.816184977906</v>
      </c>
      <c r="I64" s="487">
        <f>ITECountywide!$B$9*E64</f>
        <v>69.168072826033367</v>
      </c>
      <c r="J64" s="495">
        <f>IF(F64="Prod",$M$3,$M$4)</f>
        <v>1.67</v>
      </c>
      <c r="K64" s="372">
        <f>IF(F64="Prod",$F$4,$F$5)</f>
        <v>0.72504937644602452</v>
      </c>
      <c r="L64" s="488">
        <f>Passby_Length_Adj!H59</f>
        <v>0.7703927492447129</v>
      </c>
      <c r="M64" s="488">
        <f>Passby_Length_Adj!J59</f>
        <v>0.93</v>
      </c>
      <c r="N64" s="372">
        <v>0.5</v>
      </c>
      <c r="O64" s="481">
        <f>L64*M64*N64</f>
        <v>0.3582326283987915</v>
      </c>
      <c r="P64" s="489">
        <f>IF($F64="Prod",$I64*$O64*$F$4*$F$6,$I64*O64*$F$5*$F$7)</f>
        <v>143.62008898115263</v>
      </c>
      <c r="Q64" s="490">
        <f>+P64/J64</f>
        <v>86.000053282127325</v>
      </c>
      <c r="R64" s="491">
        <f>+$Q$4</f>
        <v>261.71052631578948</v>
      </c>
      <c r="S64" s="500">
        <f>+Q64*R64</f>
        <v>22507.119207651482</v>
      </c>
      <c r="T64" s="489">
        <f>IF($F64="Prod",$I64*$O64*$G$4*$G$6,$I64*$O64*$G$5*$G$7)</f>
        <v>11.086188904422904</v>
      </c>
      <c r="U64" s="493">
        <f>+$R$4</f>
        <v>154.50490219883392</v>
      </c>
      <c r="V64" s="500">
        <f>+T64*U64</f>
        <v>1712.8705324356586</v>
      </c>
      <c r="W64" s="489">
        <f>IF($F64="Prod",$I64*$O64*$J$4*$J$6,$I64*$O64*$J$5*$J$7)</f>
        <v>8.3582116228596561</v>
      </c>
      <c r="X64" s="493">
        <f>$S$4</f>
        <v>37.9060089869281</v>
      </c>
      <c r="Y64" s="763">
        <f>+W64*X64</f>
        <v>316.826444890765</v>
      </c>
      <c r="Z64" s="381"/>
    </row>
    <row r="65" spans="2:26" s="11" customFormat="1" ht="17.100000000000001" customHeight="1" x14ac:dyDescent="0.25">
      <c r="B65" s="741">
        <f>ITE_LUC_Rates!A56</f>
        <v>640</v>
      </c>
      <c r="C65" s="367" t="str">
        <f>ITE_LUC_Rates!B56</f>
        <v>Animal Hospital / Veterinary Clinic</v>
      </c>
      <c r="D65" s="366" t="str">
        <f>ITE_LUC_Rates!C56</f>
        <v>1000 GSF</v>
      </c>
      <c r="E65" s="365">
        <f>ITE_LUC_Rates!G56</f>
        <v>21.5</v>
      </c>
      <c r="F65" s="366" t="s">
        <v>73</v>
      </c>
      <c r="G65" s="373">
        <f>ITE_LUC_Rates!Q56</f>
        <v>0</v>
      </c>
      <c r="H65" s="499">
        <f t="shared" si="0"/>
        <v>11817.852495393934</v>
      </c>
      <c r="I65" s="487">
        <f>ITECountywide!$B$9*E65</f>
        <v>38.970481283011466</v>
      </c>
      <c r="J65" s="495">
        <f>IF(F65="Prod",$M$3,$M$4)</f>
        <v>1.67</v>
      </c>
      <c r="K65" s="372">
        <f>IF(F65="Prod",$F$4,$F$5)</f>
        <v>0.72504937644602452</v>
      </c>
      <c r="L65" s="488">
        <f>Passby_Length_Adj!H60</f>
        <v>0.61247081225203326</v>
      </c>
      <c r="M65" s="488">
        <f>Passby_Length_Adj!J60</f>
        <v>1</v>
      </c>
      <c r="N65" s="372">
        <v>0.5</v>
      </c>
      <c r="O65" s="481">
        <f>L65*M65*N65</f>
        <v>0.30623540612601663</v>
      </c>
      <c r="P65" s="489">
        <f>IF($F65="Prod",$I65*$O65*$F$4*$F$6,$I65*O65*$F$5*$F$7)</f>
        <v>69.172830499245222</v>
      </c>
      <c r="Q65" s="490">
        <f>+P65/J65</f>
        <v>41.420856586374384</v>
      </c>
      <c r="R65" s="491">
        <f>+$Q$4</f>
        <v>261.71052631578948</v>
      </c>
      <c r="S65" s="500">
        <f>+Q65*R65</f>
        <v>10840.274177670875</v>
      </c>
      <c r="T65" s="489">
        <f>IF($F65="Prod",$I65*$O65*$G$4*$G$6,$I65*$O65*$G$5*$G$7)</f>
        <v>5.3395250720732728</v>
      </c>
      <c r="U65" s="493">
        <f>+$R$4</f>
        <v>154.50490219883392</v>
      </c>
      <c r="V65" s="500">
        <f>+T65*U65</f>
        <v>824.98279904890262</v>
      </c>
      <c r="W65" s="489">
        <f>IF($F65="Prod",$I65*$O65*$J$4*$J$6,$I65*$O65*$J$5*$J$7)</f>
        <v>4.0256287262206394</v>
      </c>
      <c r="X65" s="493">
        <f>$S$4</f>
        <v>37.9060089869281</v>
      </c>
      <c r="Y65" s="763">
        <f>+W65*X65</f>
        <v>152.59551867415547</v>
      </c>
      <c r="Z65" s="381"/>
    </row>
    <row r="66" spans="2:26" s="11" customFormat="1" ht="17.100000000000001" customHeight="1" x14ac:dyDescent="0.25">
      <c r="B66" s="741">
        <f>ITE_LUC_Rates!A57</f>
        <v>650</v>
      </c>
      <c r="C66" s="367" t="str">
        <f>ITE_LUC_Rates!B57</f>
        <v>Free-standing Emergency Room</v>
      </c>
      <c r="D66" s="366" t="str">
        <f>ITE_LUC_Rates!C57</f>
        <v>1000 GSF</v>
      </c>
      <c r="E66" s="365">
        <f>ITE_LUC_Rates!G57</f>
        <v>24.94</v>
      </c>
      <c r="F66" s="366" t="s">
        <v>73</v>
      </c>
      <c r="G66" s="373">
        <f>ITE_LUC_Rates!Q57</f>
        <v>0</v>
      </c>
      <c r="H66" s="499">
        <f t="shared" si="0"/>
        <v>13708.708894656962</v>
      </c>
      <c r="I66" s="487">
        <f>ITECountywide!$B$9*E66</f>
        <v>45.205758288293303</v>
      </c>
      <c r="J66" s="495">
        <f>IF(F66="Prod",$M$3,$M$4)</f>
        <v>1.67</v>
      </c>
      <c r="K66" s="372">
        <f>IF(F66="Prod",$F$4,$F$5)</f>
        <v>0.72504937644602452</v>
      </c>
      <c r="L66" s="488">
        <f>Passby_Length_Adj!H61</f>
        <v>0.61247081225203326</v>
      </c>
      <c r="M66" s="488">
        <f>Passby_Length_Adj!J61</f>
        <v>1</v>
      </c>
      <c r="N66" s="372">
        <v>0.5</v>
      </c>
      <c r="O66" s="481">
        <f>L66*M66*N66</f>
        <v>0.30623540612601663</v>
      </c>
      <c r="P66" s="489">
        <f>IF($F66="Prod",$I66*$O66*$F$4*$F$6,$I66*O66*$F$5*$F$7)</f>
        <v>80.240483379124456</v>
      </c>
      <c r="Q66" s="490">
        <f>+P66/J66</f>
        <v>48.048193640194285</v>
      </c>
      <c r="R66" s="491">
        <f>+$Q$4</f>
        <v>261.71052631578948</v>
      </c>
      <c r="S66" s="500">
        <f>+Q66*R66</f>
        <v>12574.718046098214</v>
      </c>
      <c r="T66" s="489">
        <f>IF($F66="Prod",$I66*$O66*$G$4*$G$6,$I66*$O66*$G$5*$G$7)</f>
        <v>6.193849083604996</v>
      </c>
      <c r="U66" s="493">
        <f>+$R$4</f>
        <v>154.50490219883392</v>
      </c>
      <c r="V66" s="500">
        <f>+T66*U66</f>
        <v>956.980046896727</v>
      </c>
      <c r="W66" s="489">
        <f>IF($F66="Prod",$I66*$O66*$J$4*$J$6,$I66*$O66*$J$5*$J$7)</f>
        <v>4.6697293224159422</v>
      </c>
      <c r="X66" s="493">
        <f>$S$4</f>
        <v>37.9060089869281</v>
      </c>
      <c r="Y66" s="763">
        <f>+W66*X66</f>
        <v>177.01080166202038</v>
      </c>
      <c r="Z66" s="381"/>
    </row>
    <row r="67" spans="2:26" s="11" customFormat="1" ht="17.100000000000001" customHeight="1" x14ac:dyDescent="0.25">
      <c r="B67" s="739" t="str">
        <f>ITE_LUC_Rates!A58</f>
        <v>Office</v>
      </c>
      <c r="C67" s="466"/>
      <c r="D67" s="466"/>
      <c r="E67" s="466"/>
      <c r="F67" s="466"/>
      <c r="G67" s="467"/>
      <c r="H67" s="482"/>
      <c r="I67" s="483"/>
      <c r="J67" s="484"/>
      <c r="K67" s="484"/>
      <c r="L67" s="484"/>
      <c r="M67" s="484"/>
      <c r="N67" s="484"/>
      <c r="O67" s="485"/>
      <c r="P67" s="483"/>
      <c r="Q67" s="484"/>
      <c r="R67" s="484"/>
      <c r="S67" s="485"/>
      <c r="T67" s="483"/>
      <c r="U67" s="484"/>
      <c r="V67" s="485"/>
      <c r="W67" s="483"/>
      <c r="X67" s="484"/>
      <c r="Y67" s="740"/>
      <c r="Z67" s="381"/>
    </row>
    <row r="68" spans="2:26" s="11" customFormat="1" ht="17.100000000000001" customHeight="1" x14ac:dyDescent="0.25">
      <c r="B68" s="741">
        <f>ITE_LUC_Rates!A59</f>
        <v>710</v>
      </c>
      <c r="C68" s="367" t="str">
        <f>ITE_LUC_Rates!B59</f>
        <v>General Office, 1 - 50,000gsf</v>
      </c>
      <c r="D68" s="366" t="str">
        <f>ITE_LUC_Rates!C59</f>
        <v>1000 GSF</v>
      </c>
      <c r="E68" s="365">
        <f>ITE_LUC_Rates!G59</f>
        <v>11.061091998412158</v>
      </c>
      <c r="F68" s="366" t="s">
        <v>73</v>
      </c>
      <c r="G68" s="373">
        <f>ITE_LUC_Rates!Q59</f>
        <v>15551.8</v>
      </c>
      <c r="H68" s="499">
        <f t="shared" si="0"/>
        <v>12314.759377552833</v>
      </c>
      <c r="I68" s="487">
        <f>ITECountywide!$B$9*E68</f>
        <v>20.049119939245994</v>
      </c>
      <c r="J68" s="495">
        <f t="shared" ref="J68:J87" si="53">IF(F68="Prod",$M$3,$M$4)</f>
        <v>1.67</v>
      </c>
      <c r="K68" s="372">
        <f t="shared" ref="K68:K87" si="54">IF(F68="Prod",$F$4,$F$5)</f>
        <v>0.72504937644602452</v>
      </c>
      <c r="L68" s="488">
        <f>Passby_Length_Adj!H63</f>
        <v>1.2405469854222484</v>
      </c>
      <c r="M68" s="488">
        <f>Passby_Length_Adj!J63</f>
        <v>1</v>
      </c>
      <c r="N68" s="372">
        <v>0.5</v>
      </c>
      <c r="O68" s="481">
        <f t="shared" ref="O68:O87" si="55">L68*M68*N68</f>
        <v>0.6202734927111242</v>
      </c>
      <c r="P68" s="489">
        <f t="shared" ref="P68:P87" si="56">IF($F68="Prod",$I68*$O68*$F$4*$F$6,$I68*O68*$F$5*$F$7)</f>
        <v>72.081350092537036</v>
      </c>
      <c r="Q68" s="490">
        <f t="shared" ref="Q68:Q87" si="57">+P68/J68</f>
        <v>43.16248508535152</v>
      </c>
      <c r="R68" s="491">
        <f t="shared" ref="R68:R87" si="58">+$Q$4</f>
        <v>261.71052631578948</v>
      </c>
      <c r="S68" s="500">
        <f t="shared" ref="S68:S87" si="59">+Q68*R68</f>
        <v>11296.07668878476</v>
      </c>
      <c r="T68" s="489">
        <f t="shared" ref="T68:T87" si="60">IF($F68="Prod",$I68*$O68*$G$4*$G$6,$I68*$O68*$G$5*$G$7)</f>
        <v>5.564036822986334</v>
      </c>
      <c r="U68" s="493">
        <f t="shared" ref="U68:U87" si="61">+$R$4</f>
        <v>154.50490219883392</v>
      </c>
      <c r="V68" s="500">
        <f t="shared" ref="V68:V87" si="62">+T68*U68</f>
        <v>859.67096516621416</v>
      </c>
      <c r="W68" s="489">
        <f t="shared" ref="W68:W87" si="63">IF($F68="Prod",$I68*$O68*$J$4*$J$6,$I68*$O68*$J$5*$J$7)</f>
        <v>4.1948948953368346</v>
      </c>
      <c r="X68" s="493">
        <f t="shared" ref="X68:X87" si="64">$S$4</f>
        <v>37.9060089869281</v>
      </c>
      <c r="Y68" s="763">
        <f t="shared" ref="Y68:Y87" si="65">+W68*X68</f>
        <v>159.01172360185686</v>
      </c>
      <c r="Z68" s="381"/>
    </row>
    <row r="69" spans="2:26" s="11" customFormat="1" ht="17.100000000000001" customHeight="1" x14ac:dyDescent="0.25">
      <c r="B69" s="741">
        <f>ITE_LUC_Rates!A60</f>
        <v>710</v>
      </c>
      <c r="C69" s="367" t="str">
        <f>ITE_LUC_Rates!B60</f>
        <v>General Office, 50,001 - 100,000gsf</v>
      </c>
      <c r="D69" s="366" t="str">
        <f>ITE_LUC_Rates!C60</f>
        <v>1000 GSF</v>
      </c>
      <c r="E69" s="365">
        <f>ITE_LUC_Rates!G60</f>
        <v>10.702478568874675</v>
      </c>
      <c r="F69" s="366" t="s">
        <v>73</v>
      </c>
      <c r="G69" s="373">
        <f>ITE_LUC_Rates!Q60</f>
        <v>13259.2</v>
      </c>
      <c r="H69" s="499">
        <f t="shared" si="0"/>
        <v>11915.500597773487</v>
      </c>
      <c r="I69" s="487">
        <f>ITECountywide!$B$9*E69</f>
        <v>19.399104220937762</v>
      </c>
      <c r="J69" s="495">
        <f t="shared" si="53"/>
        <v>1.67</v>
      </c>
      <c r="K69" s="372">
        <f t="shared" si="54"/>
        <v>0.72504937644602452</v>
      </c>
      <c r="L69" s="488">
        <f>Passby_Length_Adj!H64</f>
        <v>1.2405469854222484</v>
      </c>
      <c r="M69" s="488">
        <f>Passby_Length_Adj!J64</f>
        <v>1</v>
      </c>
      <c r="N69" s="372">
        <v>0.5</v>
      </c>
      <c r="O69" s="481">
        <f t="shared" si="55"/>
        <v>0.6202734927111242</v>
      </c>
      <c r="P69" s="489">
        <f t="shared" si="56"/>
        <v>69.74438913370156</v>
      </c>
      <c r="Q69" s="490">
        <f t="shared" si="57"/>
        <v>41.763107265689555</v>
      </c>
      <c r="R69" s="491">
        <f t="shared" si="58"/>
        <v>261.71052631578948</v>
      </c>
      <c r="S69" s="500">
        <f t="shared" si="59"/>
        <v>10929.844783086386</v>
      </c>
      <c r="T69" s="489">
        <f t="shared" si="60"/>
        <v>5.3836442968731442</v>
      </c>
      <c r="U69" s="493">
        <f t="shared" si="61"/>
        <v>154.50490219883392</v>
      </c>
      <c r="V69" s="500">
        <f t="shared" si="62"/>
        <v>831.79943556169508</v>
      </c>
      <c r="W69" s="489">
        <f t="shared" si="63"/>
        <v>4.0588915382377362</v>
      </c>
      <c r="X69" s="493">
        <f t="shared" si="64"/>
        <v>37.9060089869281</v>
      </c>
      <c r="Y69" s="763">
        <f t="shared" si="65"/>
        <v>153.85637912540605</v>
      </c>
      <c r="Z69" s="381"/>
    </row>
    <row r="70" spans="2:26" s="11" customFormat="1" ht="17.100000000000001" customHeight="1" x14ac:dyDescent="0.25">
      <c r="B70" s="741">
        <f>ITE_LUC_Rates!A61</f>
        <v>710</v>
      </c>
      <c r="C70" s="367" t="str">
        <f>ITE_LUC_Rates!B61</f>
        <v>General Office, 100,001 - 150,000gsf</v>
      </c>
      <c r="D70" s="366" t="str">
        <f>ITE_LUC_Rates!C61</f>
        <v>1000 GSF</v>
      </c>
      <c r="E70" s="365">
        <f>ITE_LUC_Rates!G61</f>
        <v>10.53971589568078</v>
      </c>
      <c r="F70" s="366" t="s">
        <v>73</v>
      </c>
      <c r="G70" s="373">
        <f>ITE_LUC_Rates!Q61</f>
        <v>11306.4</v>
      </c>
      <c r="H70" s="499">
        <f t="shared" si="0"/>
        <v>11734.290355934996</v>
      </c>
      <c r="I70" s="487">
        <f>ITECountywide!$B$9*E70</f>
        <v>19.10408376934355</v>
      </c>
      <c r="J70" s="495">
        <f t="shared" si="53"/>
        <v>1.67</v>
      </c>
      <c r="K70" s="372">
        <f t="shared" si="54"/>
        <v>0.72504937644602452</v>
      </c>
      <c r="L70" s="488">
        <f>Passby_Length_Adj!H65</f>
        <v>1.2405469854222484</v>
      </c>
      <c r="M70" s="488">
        <f>Passby_Length_Adj!J65</f>
        <v>1</v>
      </c>
      <c r="N70" s="372">
        <v>0.5</v>
      </c>
      <c r="O70" s="481">
        <f t="shared" si="55"/>
        <v>0.6202734927111242</v>
      </c>
      <c r="P70" s="489">
        <f t="shared" si="56"/>
        <v>68.683720509828774</v>
      </c>
      <c r="Q70" s="490">
        <f t="shared" si="57"/>
        <v>41.127976353190881</v>
      </c>
      <c r="R70" s="491">
        <f t="shared" si="58"/>
        <v>261.71052631578948</v>
      </c>
      <c r="S70" s="500">
        <f t="shared" si="59"/>
        <v>10763.624337696929</v>
      </c>
      <c r="T70" s="489">
        <f t="shared" si="60"/>
        <v>5.3017701467269811</v>
      </c>
      <c r="U70" s="493">
        <f t="shared" si="61"/>
        <v>154.50490219883392</v>
      </c>
      <c r="V70" s="500">
        <f t="shared" si="62"/>
        <v>819.14947800074958</v>
      </c>
      <c r="W70" s="489">
        <f t="shared" si="63"/>
        <v>3.9971641511921847</v>
      </c>
      <c r="X70" s="493">
        <f t="shared" si="64"/>
        <v>37.9060089869281</v>
      </c>
      <c r="Y70" s="763">
        <f t="shared" si="65"/>
        <v>151.5165402373178</v>
      </c>
      <c r="Z70" s="381"/>
    </row>
    <row r="71" spans="2:26" s="11" customFormat="1" ht="17.100000000000001" customHeight="1" x14ac:dyDescent="0.25">
      <c r="B71" s="741">
        <f>ITE_LUC_Rates!A62</f>
        <v>710</v>
      </c>
      <c r="C71" s="367" t="str">
        <f>ITE_LUC_Rates!B62</f>
        <v>General Office, 150,001 - 200,000gsf</v>
      </c>
      <c r="D71" s="366" t="str">
        <f>ITE_LUC_Rates!C62</f>
        <v>1000 GSF</v>
      </c>
      <c r="E71" s="365">
        <f>ITE_LUC_Rates!G62</f>
        <v>10.433861397564558</v>
      </c>
      <c r="F71" s="366" t="s">
        <v>73</v>
      </c>
      <c r="G71" s="373">
        <f>ITE_LUC_Rates!Q62</f>
        <v>11306.4</v>
      </c>
      <c r="H71" s="499">
        <f t="shared" si="0"/>
        <v>11616.438278263098</v>
      </c>
      <c r="I71" s="487">
        <f>ITECountywide!$B$9*E71</f>
        <v>18.912213967596532</v>
      </c>
      <c r="J71" s="495">
        <f t="shared" si="53"/>
        <v>1.67</v>
      </c>
      <c r="K71" s="372">
        <f t="shared" si="54"/>
        <v>0.72504937644602452</v>
      </c>
      <c r="L71" s="488">
        <f>Passby_Length_Adj!H66</f>
        <v>1.2405469854222484</v>
      </c>
      <c r="M71" s="488">
        <f>Passby_Length_Adj!J66</f>
        <v>1</v>
      </c>
      <c r="N71" s="372">
        <v>0.5</v>
      </c>
      <c r="O71" s="481">
        <f t="shared" si="55"/>
        <v>0.6202734927111242</v>
      </c>
      <c r="P71" s="489">
        <f t="shared" si="56"/>
        <v>67.993902981986082</v>
      </c>
      <c r="Q71" s="490">
        <f t="shared" si="57"/>
        <v>40.71491196526113</v>
      </c>
      <c r="R71" s="491">
        <f t="shared" si="58"/>
        <v>261.71052631578948</v>
      </c>
      <c r="S71" s="500">
        <f t="shared" si="59"/>
        <v>10655.521039329526</v>
      </c>
      <c r="T71" s="489">
        <f t="shared" si="60"/>
        <v>5.2485223909464533</v>
      </c>
      <c r="U71" s="493">
        <f t="shared" si="61"/>
        <v>154.50490219883392</v>
      </c>
      <c r="V71" s="500">
        <f t="shared" si="62"/>
        <v>810.92243870157176</v>
      </c>
      <c r="W71" s="489">
        <f t="shared" si="63"/>
        <v>3.9570190648065071</v>
      </c>
      <c r="X71" s="493">
        <f t="shared" si="64"/>
        <v>37.9060089869281</v>
      </c>
      <c r="Y71" s="763">
        <f t="shared" si="65"/>
        <v>149.9948002320013</v>
      </c>
      <c r="Z71" s="381"/>
    </row>
    <row r="72" spans="2:26" s="11" customFormat="1" ht="17.100000000000001" customHeight="1" x14ac:dyDescent="0.25">
      <c r="B72" s="741">
        <f>ITE_LUC_Rates!A63</f>
        <v>710</v>
      </c>
      <c r="C72" s="367" t="str">
        <f>ITE_LUC_Rates!B63</f>
        <v>General Office, 200,001 - 300,000gsf</v>
      </c>
      <c r="D72" s="366" t="str">
        <f>ITE_LUC_Rates!C63</f>
        <v>1000 GSF</v>
      </c>
      <c r="E72" s="365">
        <f>ITE_LUC_Rates!G63</f>
        <v>10.322811679029327</v>
      </c>
      <c r="F72" s="366" t="s">
        <v>73</v>
      </c>
      <c r="G72" s="373">
        <f>ITE_LUC_Rates!Q63</f>
        <v>10298.9</v>
      </c>
      <c r="H72" s="499">
        <f t="shared" si="0"/>
        <v>11492.802152381251</v>
      </c>
      <c r="I72" s="487">
        <f>ITECountywide!$B$9*E72</f>
        <v>18.710927410496026</v>
      </c>
      <c r="J72" s="495">
        <f t="shared" si="53"/>
        <v>1.67</v>
      </c>
      <c r="K72" s="372">
        <f t="shared" si="54"/>
        <v>0.72504937644602452</v>
      </c>
      <c r="L72" s="488">
        <f>Passby_Length_Adj!H67</f>
        <v>1.2405469854222484</v>
      </c>
      <c r="M72" s="488">
        <f>Passby_Length_Adj!J67</f>
        <v>1</v>
      </c>
      <c r="N72" s="372">
        <v>0.5</v>
      </c>
      <c r="O72" s="481">
        <f t="shared" si="55"/>
        <v>0.6202734927111242</v>
      </c>
      <c r="P72" s="489">
        <f t="shared" si="56"/>
        <v>67.270229981113758</v>
      </c>
      <c r="Q72" s="490">
        <f t="shared" si="57"/>
        <v>40.281574838990274</v>
      </c>
      <c r="R72" s="491">
        <f t="shared" si="58"/>
        <v>261.71052631578948</v>
      </c>
      <c r="S72" s="500">
        <f t="shared" si="59"/>
        <v>10542.112151941008</v>
      </c>
      <c r="T72" s="489">
        <f t="shared" si="60"/>
        <v>5.1926612948448208</v>
      </c>
      <c r="U72" s="493">
        <f t="shared" si="61"/>
        <v>154.50490219883392</v>
      </c>
      <c r="V72" s="500">
        <f t="shared" si="62"/>
        <v>802.29162551166928</v>
      </c>
      <c r="W72" s="489">
        <f t="shared" si="63"/>
        <v>3.9149037024644429</v>
      </c>
      <c r="X72" s="493">
        <f t="shared" si="64"/>
        <v>37.9060089869281</v>
      </c>
      <c r="Y72" s="763">
        <f t="shared" si="65"/>
        <v>148.39837492857527</v>
      </c>
      <c r="Z72" s="381"/>
    </row>
    <row r="73" spans="2:26" s="11" customFormat="1" ht="17.100000000000001" customHeight="1" x14ac:dyDescent="0.25">
      <c r="B73" s="741">
        <f>ITE_LUC_Rates!A64</f>
        <v>710</v>
      </c>
      <c r="C73" s="367" t="str">
        <f>ITE_LUC_Rates!B64</f>
        <v>General Office, 300,001 - 400,000gsf</v>
      </c>
      <c r="D73" s="366" t="str">
        <f>ITE_LUC_Rates!C64</f>
        <v>1000 GSF</v>
      </c>
      <c r="E73" s="365">
        <f>ITE_LUC_Rates!G64</f>
        <v>10.21913563498342</v>
      </c>
      <c r="F73" s="366" t="s">
        <v>73</v>
      </c>
      <c r="G73" s="373">
        <f>ITE_LUC_Rates!Q64</f>
        <v>9639.5</v>
      </c>
      <c r="H73" s="499">
        <f t="shared" si="0"/>
        <v>11377.375435396603</v>
      </c>
      <c r="I73" s="487">
        <f>ITECountywide!$B$9*E73</f>
        <v>18.523006232171017</v>
      </c>
      <c r="J73" s="495">
        <f t="shared" si="53"/>
        <v>1.67</v>
      </c>
      <c r="K73" s="372">
        <f t="shared" si="54"/>
        <v>0.72504937644602452</v>
      </c>
      <c r="L73" s="488">
        <f>Passby_Length_Adj!H68</f>
        <v>1.2405469854222484</v>
      </c>
      <c r="M73" s="488">
        <f>Passby_Length_Adj!J68</f>
        <v>1</v>
      </c>
      <c r="N73" s="372">
        <v>0.5</v>
      </c>
      <c r="O73" s="481">
        <f t="shared" si="55"/>
        <v>0.6202734927111242</v>
      </c>
      <c r="P73" s="489">
        <f t="shared" si="56"/>
        <v>66.594608692713393</v>
      </c>
      <c r="Q73" s="490">
        <f t="shared" si="57"/>
        <v>39.877011193241557</v>
      </c>
      <c r="R73" s="491">
        <f t="shared" si="58"/>
        <v>261.71052631578948</v>
      </c>
      <c r="S73" s="500">
        <f t="shared" si="59"/>
        <v>10436.233587283876</v>
      </c>
      <c r="T73" s="489">
        <f t="shared" si="60"/>
        <v>5.1405093620324207</v>
      </c>
      <c r="U73" s="493">
        <f t="shared" si="61"/>
        <v>154.50490219883392</v>
      </c>
      <c r="V73" s="500">
        <f t="shared" si="62"/>
        <v>794.23389623300932</v>
      </c>
      <c r="W73" s="489">
        <f t="shared" si="63"/>
        <v>3.8755847900099289</v>
      </c>
      <c r="X73" s="493">
        <f t="shared" si="64"/>
        <v>37.9060089869281</v>
      </c>
      <c r="Y73" s="763">
        <f t="shared" si="65"/>
        <v>146.90795187971821</v>
      </c>
      <c r="Z73" s="381"/>
    </row>
    <row r="74" spans="2:26" s="11" customFormat="1" ht="17.100000000000001" customHeight="1" x14ac:dyDescent="0.25">
      <c r="B74" s="741">
        <f>ITE_LUC_Rates!A65</f>
        <v>710</v>
      </c>
      <c r="C74" s="367" t="str">
        <f>ITE_LUC_Rates!B65</f>
        <v>General Office, 400,001 - 500,000gsf</v>
      </c>
      <c r="D74" s="366" t="str">
        <f>ITE_LUC_Rates!C65</f>
        <v>1000 GSF</v>
      </c>
      <c r="E74" s="365">
        <f>ITE_LUC_Rates!G65</f>
        <v>10.142378862949085</v>
      </c>
      <c r="F74" s="366" t="s">
        <v>73</v>
      </c>
      <c r="G74" s="373">
        <f>ITE_LUC_Rates!Q65</f>
        <v>9156.7999999999993</v>
      </c>
      <c r="H74" s="499">
        <f t="shared" si="0"/>
        <v>11291.919028530425</v>
      </c>
      <c r="I74" s="487">
        <f>ITECountywide!$B$9*E74</f>
        <v>18.383878402035741</v>
      </c>
      <c r="J74" s="495">
        <f t="shared" si="53"/>
        <v>1.67</v>
      </c>
      <c r="K74" s="372">
        <f t="shared" si="54"/>
        <v>0.72504937644602452</v>
      </c>
      <c r="L74" s="488">
        <f>Passby_Length_Adj!H69</f>
        <v>1.2405469854222484</v>
      </c>
      <c r="M74" s="488">
        <f>Passby_Length_Adj!J69</f>
        <v>1</v>
      </c>
      <c r="N74" s="372">
        <v>0.5</v>
      </c>
      <c r="O74" s="481">
        <f t="shared" si="55"/>
        <v>0.6202734927111242</v>
      </c>
      <c r="P74" s="489">
        <f t="shared" si="56"/>
        <v>66.094411084938827</v>
      </c>
      <c r="Q74" s="490">
        <f t="shared" si="57"/>
        <v>39.577491667628038</v>
      </c>
      <c r="R74" s="491">
        <f t="shared" si="58"/>
        <v>261.71052631578948</v>
      </c>
      <c r="S74" s="500">
        <f t="shared" si="59"/>
        <v>10357.846174593707</v>
      </c>
      <c r="T74" s="489">
        <f t="shared" si="60"/>
        <v>5.1018985715178919</v>
      </c>
      <c r="U74" s="493">
        <f t="shared" si="61"/>
        <v>154.50490219883392</v>
      </c>
      <c r="V74" s="500">
        <f t="shared" si="62"/>
        <v>788.26833982074231</v>
      </c>
      <c r="W74" s="489">
        <f t="shared" si="63"/>
        <v>3.8464749524608344</v>
      </c>
      <c r="X74" s="493">
        <f t="shared" si="64"/>
        <v>37.9060089869281</v>
      </c>
      <c r="Y74" s="763">
        <f t="shared" si="65"/>
        <v>145.80451411597423</v>
      </c>
      <c r="Z74" s="381"/>
    </row>
    <row r="75" spans="2:26" s="11" customFormat="1" ht="17.100000000000001" customHeight="1" x14ac:dyDescent="0.25">
      <c r="B75" s="741">
        <f>ITE_LUC_Rates!A66</f>
        <v>710</v>
      </c>
      <c r="C75" s="367" t="str">
        <f>ITE_LUC_Rates!B66</f>
        <v>General Office, 500,001 - 600,000gsf</v>
      </c>
      <c r="D75" s="366" t="str">
        <f>ITE_LUC_Rates!C66</f>
        <v>1000 GSF</v>
      </c>
      <c r="E75" s="365">
        <f>ITE_LUC_Rates!G66</f>
        <v>10.081503937403301</v>
      </c>
      <c r="F75" s="366" t="s">
        <v>73</v>
      </c>
      <c r="G75" s="373">
        <f>ITE_LUC_Rates!Q66</f>
        <v>8781.7000000000007</v>
      </c>
      <c r="H75" s="499">
        <f t="shared" si="0"/>
        <v>11224.144521245757</v>
      </c>
      <c r="I75" s="487">
        <f>ITECountywide!$B$9*E75</f>
        <v>18.273537697543336</v>
      </c>
      <c r="J75" s="495">
        <f t="shared" si="53"/>
        <v>1.67</v>
      </c>
      <c r="K75" s="372">
        <f t="shared" si="54"/>
        <v>0.72504937644602452</v>
      </c>
      <c r="L75" s="488">
        <f>Passby_Length_Adj!H70</f>
        <v>1.2405469854222484</v>
      </c>
      <c r="M75" s="488">
        <f>Passby_Length_Adj!J70</f>
        <v>1</v>
      </c>
      <c r="N75" s="372">
        <v>0.5</v>
      </c>
      <c r="O75" s="481">
        <f t="shared" si="55"/>
        <v>0.6202734927111242</v>
      </c>
      <c r="P75" s="489">
        <f t="shared" si="56"/>
        <v>65.697710034016126</v>
      </c>
      <c r="Q75" s="490">
        <f t="shared" si="57"/>
        <v>39.339946128153372</v>
      </c>
      <c r="R75" s="491">
        <f t="shared" si="58"/>
        <v>261.71052631578948</v>
      </c>
      <c r="S75" s="500">
        <f t="shared" si="59"/>
        <v>10295.678006433824</v>
      </c>
      <c r="T75" s="489">
        <f t="shared" si="60"/>
        <v>5.0712767913734078</v>
      </c>
      <c r="U75" s="493">
        <f t="shared" si="61"/>
        <v>154.50490219883392</v>
      </c>
      <c r="V75" s="500">
        <f t="shared" si="62"/>
        <v>783.53712467436469</v>
      </c>
      <c r="W75" s="489">
        <f t="shared" si="63"/>
        <v>3.8233882703807396</v>
      </c>
      <c r="X75" s="493">
        <f t="shared" si="64"/>
        <v>37.9060089869281</v>
      </c>
      <c r="Y75" s="763">
        <f t="shared" si="65"/>
        <v>144.92939013756779</v>
      </c>
      <c r="Z75" s="381"/>
    </row>
    <row r="76" spans="2:26" s="11" customFormat="1" ht="17.100000000000001" customHeight="1" x14ac:dyDescent="0.25">
      <c r="B76" s="741">
        <f>ITE_LUC_Rates!A67</f>
        <v>710</v>
      </c>
      <c r="C76" s="367" t="str">
        <f>ITE_LUC_Rates!B67</f>
        <v>General Office, 600,001 - 700,000gsf</v>
      </c>
      <c r="D76" s="366" t="str">
        <f>ITE_LUC_Rates!C67</f>
        <v>1000 GSF</v>
      </c>
      <c r="E76" s="365">
        <f>ITE_LUC_Rates!G67</f>
        <v>10.031105639143441</v>
      </c>
      <c r="F76" s="366" t="s">
        <v>73</v>
      </c>
      <c r="G76" s="373">
        <f>ITE_LUC_Rates!Q67</f>
        <v>8475.6</v>
      </c>
      <c r="H76" s="499">
        <f t="shared" si="0"/>
        <v>11168.034065225916</v>
      </c>
      <c r="I76" s="487">
        <f>ITECountywide!$B$9*E76</f>
        <v>18.182186723634896</v>
      </c>
      <c r="J76" s="495">
        <f t="shared" si="53"/>
        <v>1.67</v>
      </c>
      <c r="K76" s="372">
        <f t="shared" si="54"/>
        <v>0.72504937644602452</v>
      </c>
      <c r="L76" s="488">
        <f>Passby_Length_Adj!H71</f>
        <v>1.2405469854222484</v>
      </c>
      <c r="M76" s="488">
        <f>Passby_Length_Adj!J71</f>
        <v>1</v>
      </c>
      <c r="N76" s="372">
        <v>0.5</v>
      </c>
      <c r="O76" s="481">
        <f t="shared" si="55"/>
        <v>0.6202734927111242</v>
      </c>
      <c r="P76" s="489">
        <f t="shared" si="56"/>
        <v>65.369281576730131</v>
      </c>
      <c r="Q76" s="490">
        <f t="shared" si="57"/>
        <v>39.143282381275526</v>
      </c>
      <c r="R76" s="491">
        <f t="shared" si="58"/>
        <v>261.71052631578948</v>
      </c>
      <c r="S76" s="500">
        <f t="shared" si="59"/>
        <v>10244.209033731187</v>
      </c>
      <c r="T76" s="489">
        <f t="shared" si="60"/>
        <v>5.0459250460507983</v>
      </c>
      <c r="U76" s="493">
        <f t="shared" si="61"/>
        <v>154.50490219883392</v>
      </c>
      <c r="V76" s="500">
        <f t="shared" si="62"/>
        <v>779.62015574272516</v>
      </c>
      <c r="W76" s="489">
        <f t="shared" si="63"/>
        <v>3.8042748262348733</v>
      </c>
      <c r="X76" s="493">
        <f t="shared" si="64"/>
        <v>37.9060089869281</v>
      </c>
      <c r="Y76" s="763">
        <f t="shared" si="65"/>
        <v>144.20487575200343</v>
      </c>
      <c r="Z76" s="381"/>
    </row>
    <row r="77" spans="2:26" s="11" customFormat="1" ht="17.100000000000001" customHeight="1" x14ac:dyDescent="0.25">
      <c r="B77" s="741">
        <f>ITE_LUC_Rates!A68</f>
        <v>710</v>
      </c>
      <c r="C77" s="367" t="str">
        <f>ITE_LUC_Rates!B68</f>
        <v>General Office, 700,001gsf - more</v>
      </c>
      <c r="D77" s="366" t="str">
        <f>ITE_LUC_Rates!C68</f>
        <v>1000 GSF</v>
      </c>
      <c r="E77" s="365">
        <f>ITE_LUC_Rates!G68</f>
        <v>9.9688142805499087</v>
      </c>
      <c r="F77" s="366" t="s">
        <v>73</v>
      </c>
      <c r="G77" s="373">
        <f>ITE_LUC_Rates!Q68</f>
        <v>8218.2999999999993</v>
      </c>
      <c r="H77" s="499">
        <f t="shared" ref="H77:H137" si="66">+S77+V77+Y77</f>
        <v>11098.682585960547</v>
      </c>
      <c r="I77" s="487">
        <f>ITECountywide!$B$9*E77</f>
        <v>18.069278620185472</v>
      </c>
      <c r="J77" s="495">
        <f t="shared" si="53"/>
        <v>1.67</v>
      </c>
      <c r="K77" s="372">
        <f t="shared" si="54"/>
        <v>0.72504937644602452</v>
      </c>
      <c r="L77" s="488">
        <f>Passby_Length_Adj!H72</f>
        <v>1.2405469854222484</v>
      </c>
      <c r="M77" s="488">
        <f>Passby_Length_Adj!J72</f>
        <v>1</v>
      </c>
      <c r="N77" s="372">
        <v>0.5</v>
      </c>
      <c r="O77" s="481">
        <f t="shared" si="55"/>
        <v>0.6202734927111242</v>
      </c>
      <c r="P77" s="489">
        <f t="shared" si="56"/>
        <v>64.963350116512203</v>
      </c>
      <c r="Q77" s="490">
        <f t="shared" si="57"/>
        <v>38.900209650606108</v>
      </c>
      <c r="R77" s="491">
        <f t="shared" si="58"/>
        <v>261.71052631578948</v>
      </c>
      <c r="S77" s="500">
        <f t="shared" si="59"/>
        <v>10180.594341454678</v>
      </c>
      <c r="T77" s="489">
        <f t="shared" si="60"/>
        <v>5.0145907607001279</v>
      </c>
      <c r="U77" s="493">
        <f t="shared" si="61"/>
        <v>154.50490219883392</v>
      </c>
      <c r="V77" s="500">
        <f t="shared" si="62"/>
        <v>774.77885504914946</v>
      </c>
      <c r="W77" s="489">
        <f t="shared" si="63"/>
        <v>3.7806509650261324</v>
      </c>
      <c r="X77" s="493">
        <f t="shared" si="64"/>
        <v>37.9060089869281</v>
      </c>
      <c r="Y77" s="763">
        <f t="shared" si="65"/>
        <v>143.30938945671897</v>
      </c>
      <c r="Z77" s="381"/>
    </row>
    <row r="78" spans="2:26" s="11" customFormat="1" ht="17.100000000000001" customHeight="1" x14ac:dyDescent="0.25">
      <c r="B78" s="741">
        <f>ITE_LUC_Rates!A69</f>
        <v>712</v>
      </c>
      <c r="C78" s="367" t="str">
        <f>ITE_LUC_Rates!B69</f>
        <v>Small Office Building</v>
      </c>
      <c r="D78" s="366" t="str">
        <f>ITE_LUC_Rates!C69</f>
        <v>1000 GSF</v>
      </c>
      <c r="E78" s="365">
        <f>ITE_LUC_Rates!G69</f>
        <v>16.190000000000001</v>
      </c>
      <c r="F78" s="366" t="s">
        <v>73</v>
      </c>
      <c r="G78" s="373">
        <f>ITE_LUC_Rates!Q69</f>
        <v>0</v>
      </c>
      <c r="H78" s="499">
        <f t="shared" si="66"/>
        <v>18024.979301428939</v>
      </c>
      <c r="I78" s="487">
        <f>ITECountywide!$B$9*E78</f>
        <v>29.345678696370033</v>
      </c>
      <c r="J78" s="495">
        <f t="shared" si="53"/>
        <v>1.67</v>
      </c>
      <c r="K78" s="372">
        <f t="shared" si="54"/>
        <v>0.72504937644602452</v>
      </c>
      <c r="L78" s="488">
        <f>Passby_Length_Adj!H73</f>
        <v>1.2405469854222484</v>
      </c>
      <c r="M78" s="488">
        <f>Passby_Length_Adj!J73</f>
        <v>1</v>
      </c>
      <c r="N78" s="372">
        <v>0.5</v>
      </c>
      <c r="O78" s="481">
        <f t="shared" si="55"/>
        <v>0.6202734927111242</v>
      </c>
      <c r="P78" s="489">
        <f t="shared" si="56"/>
        <v>105.50468779806729</v>
      </c>
      <c r="Q78" s="490">
        <f t="shared" si="57"/>
        <v>63.176459759321737</v>
      </c>
      <c r="R78" s="491">
        <f t="shared" si="58"/>
        <v>261.71052631578948</v>
      </c>
      <c r="S78" s="500">
        <f t="shared" si="59"/>
        <v>16533.944534380385</v>
      </c>
      <c r="T78" s="489">
        <f t="shared" si="60"/>
        <v>8.1440201543464408</v>
      </c>
      <c r="U78" s="493">
        <f t="shared" si="61"/>
        <v>154.50490219883392</v>
      </c>
      <c r="V78" s="500">
        <f t="shared" si="62"/>
        <v>1258.2910374526291</v>
      </c>
      <c r="W78" s="489">
        <f t="shared" si="63"/>
        <v>6.1400220127680649</v>
      </c>
      <c r="X78" s="493">
        <f t="shared" si="64"/>
        <v>37.9060089869281</v>
      </c>
      <c r="Y78" s="763">
        <f t="shared" si="65"/>
        <v>232.74372959592262</v>
      </c>
      <c r="Z78" s="381"/>
    </row>
    <row r="79" spans="2:26" s="11" customFormat="1" ht="17.100000000000001" customHeight="1" x14ac:dyDescent="0.25">
      <c r="B79" s="741">
        <f>ITE_LUC_Rates!A70</f>
        <v>714</v>
      </c>
      <c r="C79" s="367" t="str">
        <f>ITE_LUC_Rates!B70</f>
        <v>Corporate Headquarters Buildings</v>
      </c>
      <c r="D79" s="366" t="str">
        <f>ITE_LUC_Rates!C70</f>
        <v>1000 GSF</v>
      </c>
      <c r="E79" s="365">
        <f>ITE_LUC_Rates!G70</f>
        <v>7.95</v>
      </c>
      <c r="F79" s="366" t="s">
        <v>73</v>
      </c>
      <c r="G79" s="373">
        <f>ITE_LUC_Rates!Q70</f>
        <v>0</v>
      </c>
      <c r="H79" s="499">
        <f t="shared" si="66"/>
        <v>8851.0553086077853</v>
      </c>
      <c r="I79" s="487">
        <f>ITECountywide!$B$9*E79</f>
        <v>14.410015172090286</v>
      </c>
      <c r="J79" s="495">
        <f t="shared" si="53"/>
        <v>1.67</v>
      </c>
      <c r="K79" s="372">
        <f t="shared" si="54"/>
        <v>0.72504937644602452</v>
      </c>
      <c r="L79" s="488">
        <f>Passby_Length_Adj!H74</f>
        <v>1.2405469854222484</v>
      </c>
      <c r="M79" s="488">
        <f>Passby_Length_Adj!J74</f>
        <v>1</v>
      </c>
      <c r="N79" s="372">
        <v>0.5</v>
      </c>
      <c r="O79" s="481">
        <f t="shared" si="55"/>
        <v>0.6202734927111242</v>
      </c>
      <c r="P79" s="489">
        <f t="shared" si="56"/>
        <v>51.807428535802032</v>
      </c>
      <c r="Q79" s="490">
        <f t="shared" si="57"/>
        <v>31.022412296887445</v>
      </c>
      <c r="R79" s="491">
        <f t="shared" si="58"/>
        <v>261.71052631578948</v>
      </c>
      <c r="S79" s="500">
        <f t="shared" si="59"/>
        <v>8118.8918498038329</v>
      </c>
      <c r="T79" s="489">
        <f t="shared" si="60"/>
        <v>3.9990710455252754</v>
      </c>
      <c r="U79" s="493">
        <f t="shared" si="61"/>
        <v>154.50490219883392</v>
      </c>
      <c r="V79" s="500">
        <f t="shared" si="62"/>
        <v>617.87608077507116</v>
      </c>
      <c r="W79" s="489">
        <f t="shared" si="63"/>
        <v>3.0150200742128548</v>
      </c>
      <c r="X79" s="493">
        <f t="shared" si="64"/>
        <v>37.9060089869281</v>
      </c>
      <c r="Y79" s="763">
        <f t="shared" si="65"/>
        <v>114.28737802888111</v>
      </c>
      <c r="Z79" s="381"/>
    </row>
    <row r="80" spans="2:26" s="11" customFormat="1" ht="17.100000000000001" customHeight="1" x14ac:dyDescent="0.25">
      <c r="B80" s="741">
        <f>ITE_LUC_Rates!A71</f>
        <v>715</v>
      </c>
      <c r="C80" s="367" t="str">
        <f>ITE_LUC_Rates!B71</f>
        <v>Single Tenant Office Building</v>
      </c>
      <c r="D80" s="366" t="str">
        <f>ITE_LUC_Rates!C71</f>
        <v>1000 GSF</v>
      </c>
      <c r="E80" s="365">
        <f>ITE_LUC_Rates!G71</f>
        <v>11.25</v>
      </c>
      <c r="F80" s="366" t="s">
        <v>73</v>
      </c>
      <c r="G80" s="373">
        <f>ITE_LUC_Rates!Q71</f>
        <v>0</v>
      </c>
      <c r="H80" s="499">
        <f t="shared" si="66"/>
        <v>12525.078266897808</v>
      </c>
      <c r="I80" s="487">
        <f>ITECountywide!$B$9*E80</f>
        <v>20.391530903901348</v>
      </c>
      <c r="J80" s="495">
        <f t="shared" si="53"/>
        <v>1.67</v>
      </c>
      <c r="K80" s="372">
        <f t="shared" si="54"/>
        <v>0.72504937644602452</v>
      </c>
      <c r="L80" s="488">
        <f>Passby_Length_Adj!H75</f>
        <v>1.2405469854222484</v>
      </c>
      <c r="M80" s="488">
        <f>Passby_Length_Adj!J75</f>
        <v>1</v>
      </c>
      <c r="N80" s="372">
        <v>0.5</v>
      </c>
      <c r="O80" s="481">
        <f t="shared" si="55"/>
        <v>0.6202734927111242</v>
      </c>
      <c r="P80" s="489">
        <f t="shared" si="56"/>
        <v>73.312398871417969</v>
      </c>
      <c r="Q80" s="490">
        <f t="shared" si="57"/>
        <v>43.899640042765256</v>
      </c>
      <c r="R80" s="491">
        <f t="shared" si="58"/>
        <v>261.71052631578948</v>
      </c>
      <c r="S80" s="500">
        <f t="shared" si="59"/>
        <v>11488.997900665801</v>
      </c>
      <c r="T80" s="489">
        <f t="shared" si="60"/>
        <v>5.6590628002716148</v>
      </c>
      <c r="U80" s="493">
        <f t="shared" si="61"/>
        <v>154.50490219883392</v>
      </c>
      <c r="V80" s="500">
        <f t="shared" si="62"/>
        <v>874.35294449302501</v>
      </c>
      <c r="W80" s="489">
        <f t="shared" si="63"/>
        <v>4.2665378408672465</v>
      </c>
      <c r="X80" s="493">
        <f t="shared" si="64"/>
        <v>37.9060089869281</v>
      </c>
      <c r="Y80" s="763">
        <f t="shared" si="65"/>
        <v>161.72742173898266</v>
      </c>
      <c r="Z80" s="381"/>
    </row>
    <row r="81" spans="2:26" s="11" customFormat="1" ht="17.100000000000001" customHeight="1" x14ac:dyDescent="0.25">
      <c r="B81" s="741">
        <f>ITE_LUC_Rates!A72</f>
        <v>720</v>
      </c>
      <c r="C81" s="367" t="str">
        <f>ITE_LUC_Rates!B72</f>
        <v>Medical Office Building</v>
      </c>
      <c r="D81" s="366" t="str">
        <f>ITE_LUC_Rates!C72</f>
        <v>1000 GSF</v>
      </c>
      <c r="E81" s="365">
        <f>ITE_LUC_Rates!G72</f>
        <v>34.799999999999997</v>
      </c>
      <c r="F81" s="366" t="s">
        <v>73</v>
      </c>
      <c r="G81" s="373">
        <f>ITE_LUC_Rates!Q72</f>
        <v>35910.699999999997</v>
      </c>
      <c r="H81" s="499">
        <f t="shared" si="66"/>
        <v>25595.647753763627</v>
      </c>
      <c r="I81" s="487">
        <f>ITECountywide!$B$9*E81</f>
        <v>63.077802262734835</v>
      </c>
      <c r="J81" s="495">
        <f t="shared" si="53"/>
        <v>1.67</v>
      </c>
      <c r="K81" s="372">
        <f t="shared" si="54"/>
        <v>0.72504937644602452</v>
      </c>
      <c r="L81" s="488">
        <f>Passby_Length_Adj!H76</f>
        <v>0.892749244712991</v>
      </c>
      <c r="M81" s="488">
        <f>Passby_Length_Adj!J76</f>
        <v>0.91800000000000004</v>
      </c>
      <c r="N81" s="372">
        <v>0.5</v>
      </c>
      <c r="O81" s="481">
        <f t="shared" si="55"/>
        <v>0.40977190332326291</v>
      </c>
      <c r="P81" s="489">
        <f t="shared" si="56"/>
        <v>149.81769355130709</v>
      </c>
      <c r="Q81" s="490">
        <f t="shared" si="57"/>
        <v>89.711193743297656</v>
      </c>
      <c r="R81" s="491">
        <f t="shared" si="58"/>
        <v>261.71052631578948</v>
      </c>
      <c r="S81" s="500">
        <f t="shared" si="59"/>
        <v>23478.363730976191</v>
      </c>
      <c r="T81" s="489">
        <f t="shared" si="60"/>
        <v>11.564588656902266</v>
      </c>
      <c r="U81" s="493">
        <f t="shared" si="61"/>
        <v>154.50490219883392</v>
      </c>
      <c r="V81" s="500">
        <f t="shared" si="62"/>
        <v>1786.7856394044288</v>
      </c>
      <c r="W81" s="489">
        <f t="shared" si="63"/>
        <v>8.7188916009854953</v>
      </c>
      <c r="X81" s="493">
        <f t="shared" si="64"/>
        <v>37.9060089869281</v>
      </c>
      <c r="Y81" s="763">
        <f t="shared" si="65"/>
        <v>330.4983833830081</v>
      </c>
      <c r="Z81" s="381"/>
    </row>
    <row r="82" spans="2:26" s="11" customFormat="1" ht="17.100000000000001" customHeight="1" x14ac:dyDescent="0.25">
      <c r="B82" s="741">
        <f>ITE_LUC_Rates!A73</f>
        <v>730</v>
      </c>
      <c r="C82" s="367" t="str">
        <f>ITE_LUC_Rates!B73</f>
        <v>Government Office Building</v>
      </c>
      <c r="D82" s="366" t="str">
        <f>ITE_LUC_Rates!C73</f>
        <v>1000 GSF</v>
      </c>
      <c r="E82" s="365">
        <f>ITE_LUC_Rates!G73</f>
        <v>22.59</v>
      </c>
      <c r="F82" s="366" t="s">
        <v>73</v>
      </c>
      <c r="G82" s="373">
        <f>ITE_LUC_Rates!Q73</f>
        <v>0</v>
      </c>
      <c r="H82" s="499">
        <f t="shared" si="66"/>
        <v>25150.357159930805</v>
      </c>
      <c r="I82" s="487">
        <f>ITECountywide!$B$9*E82</f>
        <v>40.946194055033907</v>
      </c>
      <c r="J82" s="495">
        <f t="shared" si="53"/>
        <v>1.67</v>
      </c>
      <c r="K82" s="372">
        <f t="shared" si="54"/>
        <v>0.72504937644602452</v>
      </c>
      <c r="L82" s="488">
        <f>Passby_Length_Adj!H77</f>
        <v>1.2405469854222484</v>
      </c>
      <c r="M82" s="488">
        <f>Passby_Length_Adj!J77</f>
        <v>1</v>
      </c>
      <c r="N82" s="372">
        <v>0.5</v>
      </c>
      <c r="O82" s="481">
        <f t="shared" si="55"/>
        <v>0.6202734927111242</v>
      </c>
      <c r="P82" s="489">
        <f t="shared" si="56"/>
        <v>147.21129693380729</v>
      </c>
      <c r="Q82" s="490">
        <f t="shared" si="57"/>
        <v>88.150477205872633</v>
      </c>
      <c r="R82" s="491">
        <f t="shared" si="58"/>
        <v>261.71052631578948</v>
      </c>
      <c r="S82" s="500">
        <f t="shared" si="59"/>
        <v>23069.907784536932</v>
      </c>
      <c r="T82" s="489">
        <f t="shared" si="60"/>
        <v>11.363398102945405</v>
      </c>
      <c r="U82" s="493">
        <f t="shared" si="61"/>
        <v>154.50490219883392</v>
      </c>
      <c r="V82" s="500">
        <f t="shared" si="62"/>
        <v>1755.7007125419948</v>
      </c>
      <c r="W82" s="489">
        <f t="shared" si="63"/>
        <v>8.5672079844614313</v>
      </c>
      <c r="X82" s="493">
        <f t="shared" si="64"/>
        <v>37.9060089869281</v>
      </c>
      <c r="Y82" s="763">
        <f t="shared" si="65"/>
        <v>324.74866285187721</v>
      </c>
      <c r="Z82" s="381"/>
    </row>
    <row r="83" spans="2:26" s="11" customFormat="1" ht="17.100000000000001" customHeight="1" x14ac:dyDescent="0.25">
      <c r="B83" s="741">
        <f>ITE_LUC_Rates!A74</f>
        <v>731</v>
      </c>
      <c r="C83" s="367" t="str">
        <f>ITE_LUC_Rates!B74</f>
        <v>State Motor Vehicles Department</v>
      </c>
      <c r="D83" s="366" t="str">
        <f>ITE_LUC_Rates!C74</f>
        <v>1000 GSF</v>
      </c>
      <c r="E83" s="365">
        <f>ITE_LUC_Rates!G74</f>
        <v>11.21</v>
      </c>
      <c r="F83" s="366" t="s">
        <v>73</v>
      </c>
      <c r="G83" s="373">
        <f>ITE_LUC_Rates!Q74</f>
        <v>0</v>
      </c>
      <c r="H83" s="499">
        <f t="shared" si="66"/>
        <v>6161.7733243426055</v>
      </c>
      <c r="I83" s="487">
        <f>ITECountywide!$B$9*E83</f>
        <v>20.319027682909702</v>
      </c>
      <c r="J83" s="495">
        <f t="shared" si="53"/>
        <v>1.67</v>
      </c>
      <c r="K83" s="372">
        <f t="shared" si="54"/>
        <v>0.72504937644602452</v>
      </c>
      <c r="L83" s="488">
        <f>Passby_Length_Adj!H78</f>
        <v>0.61247081225203326</v>
      </c>
      <c r="M83" s="488">
        <f>Passby_Length_Adj!J78</f>
        <v>1</v>
      </c>
      <c r="N83" s="372">
        <v>0.5</v>
      </c>
      <c r="O83" s="481">
        <f t="shared" si="55"/>
        <v>0.30623540612601663</v>
      </c>
      <c r="P83" s="489">
        <f t="shared" si="56"/>
        <v>36.066392088211117</v>
      </c>
      <c r="Q83" s="490">
        <f t="shared" si="57"/>
        <v>21.596641968988695</v>
      </c>
      <c r="R83" s="491">
        <f t="shared" si="58"/>
        <v>261.71052631578948</v>
      </c>
      <c r="S83" s="500">
        <f t="shared" si="59"/>
        <v>5652.0685363576995</v>
      </c>
      <c r="T83" s="489">
        <f t="shared" si="60"/>
        <v>2.7840035375786689</v>
      </c>
      <c r="U83" s="493">
        <f t="shared" si="61"/>
        <v>154.50490219883392</v>
      </c>
      <c r="V83" s="500">
        <f t="shared" si="62"/>
        <v>430.14219429479988</v>
      </c>
      <c r="W83" s="489">
        <f t="shared" si="63"/>
        <v>2.0989440939969013</v>
      </c>
      <c r="X83" s="493">
        <f t="shared" si="64"/>
        <v>37.9060089869281</v>
      </c>
      <c r="Y83" s="763">
        <f t="shared" si="65"/>
        <v>79.562593690106198</v>
      </c>
      <c r="Z83" s="381"/>
    </row>
    <row r="84" spans="2:26" s="11" customFormat="1" ht="17.100000000000001" customHeight="1" x14ac:dyDescent="0.25">
      <c r="B84" s="741">
        <f>ITE_LUC_Rates!A75</f>
        <v>733</v>
      </c>
      <c r="C84" s="367" t="str">
        <f>ITE_LUC_Rates!B75</f>
        <v>Government Office Complex</v>
      </c>
      <c r="D84" s="366" t="str">
        <f>ITE_LUC_Rates!C75</f>
        <v>1000 GSF</v>
      </c>
      <c r="E84" s="365">
        <f>ITE_LUC_Rates!G75</f>
        <v>33.979999999999997</v>
      </c>
      <c r="F84" s="366" t="s">
        <v>73</v>
      </c>
      <c r="G84" s="373">
        <f>ITE_LUC_Rates!Q75</f>
        <v>0</v>
      </c>
      <c r="H84" s="499">
        <f t="shared" si="66"/>
        <v>37831.303067483335</v>
      </c>
      <c r="I84" s="487">
        <f>ITECountywide!$B$9*E84</f>
        <v>61.591486232406027</v>
      </c>
      <c r="J84" s="495">
        <f t="shared" si="53"/>
        <v>1.67</v>
      </c>
      <c r="K84" s="372">
        <f t="shared" si="54"/>
        <v>0.72504937644602452</v>
      </c>
      <c r="L84" s="488">
        <f>Passby_Length_Adj!H79</f>
        <v>1.2405469854222484</v>
      </c>
      <c r="M84" s="488">
        <f>Passby_Length_Adj!J79</f>
        <v>1</v>
      </c>
      <c r="N84" s="372">
        <v>0.5</v>
      </c>
      <c r="O84" s="481">
        <f t="shared" si="55"/>
        <v>0.6202734927111242</v>
      </c>
      <c r="P84" s="489">
        <f t="shared" si="56"/>
        <v>221.43602788006956</v>
      </c>
      <c r="Q84" s="490">
        <f t="shared" si="57"/>
        <v>132.59642388028118</v>
      </c>
      <c r="R84" s="491">
        <f t="shared" si="58"/>
        <v>261.71052631578948</v>
      </c>
      <c r="S84" s="500">
        <f t="shared" si="59"/>
        <v>34701.879881299901</v>
      </c>
      <c r="T84" s="489">
        <f t="shared" si="60"/>
        <v>17.092884795842622</v>
      </c>
      <c r="U84" s="493">
        <f t="shared" si="61"/>
        <v>154.50490219883392</v>
      </c>
      <c r="V84" s="500">
        <f t="shared" si="62"/>
        <v>2640.9344936775997</v>
      </c>
      <c r="W84" s="489">
        <f t="shared" si="63"/>
        <v>12.88684051845947</v>
      </c>
      <c r="X84" s="493">
        <f t="shared" si="64"/>
        <v>37.9060089869281</v>
      </c>
      <c r="Y84" s="763">
        <f t="shared" si="65"/>
        <v>488.48869250583385</v>
      </c>
      <c r="Z84" s="381"/>
    </row>
    <row r="85" spans="2:26" s="11" customFormat="1" ht="17.100000000000001" customHeight="1" x14ac:dyDescent="0.25">
      <c r="B85" s="741">
        <f>ITE_LUC_Rates!A76</f>
        <v>750</v>
      </c>
      <c r="C85" s="367" t="str">
        <f>ITE_LUC_Rates!B76</f>
        <v>Office Park</v>
      </c>
      <c r="D85" s="366" t="str">
        <f>ITE_LUC_Rates!C76</f>
        <v>1000 GSF</v>
      </c>
      <c r="E85" s="365">
        <f>ITE_LUC_Rates!G76</f>
        <v>11.07</v>
      </c>
      <c r="F85" s="366" t="s">
        <v>73</v>
      </c>
      <c r="G85" s="373">
        <f>ITE_LUC_Rates!Q76</f>
        <v>11350.1</v>
      </c>
      <c r="H85" s="499">
        <f t="shared" si="66"/>
        <v>12324.677014627443</v>
      </c>
      <c r="I85" s="487">
        <f>ITECountywide!$B$9*E85</f>
        <v>20.065266409438927</v>
      </c>
      <c r="J85" s="495">
        <f t="shared" si="53"/>
        <v>1.67</v>
      </c>
      <c r="K85" s="372">
        <f t="shared" si="54"/>
        <v>0.72504937644602452</v>
      </c>
      <c r="L85" s="488">
        <f>Passby_Length_Adj!H80</f>
        <v>1.2405469854222484</v>
      </c>
      <c r="M85" s="488">
        <f>Passby_Length_Adj!J80</f>
        <v>1</v>
      </c>
      <c r="N85" s="372">
        <v>0.5</v>
      </c>
      <c r="O85" s="481">
        <f t="shared" si="55"/>
        <v>0.6202734927111242</v>
      </c>
      <c r="P85" s="489">
        <f t="shared" si="56"/>
        <v>72.139400489475278</v>
      </c>
      <c r="Q85" s="490">
        <f t="shared" si="57"/>
        <v>43.197245802081007</v>
      </c>
      <c r="R85" s="491">
        <f t="shared" si="58"/>
        <v>261.71052631578948</v>
      </c>
      <c r="S85" s="500">
        <f t="shared" si="59"/>
        <v>11305.173934255148</v>
      </c>
      <c r="T85" s="489">
        <f t="shared" si="60"/>
        <v>5.5685177954672698</v>
      </c>
      <c r="U85" s="493">
        <f t="shared" si="61"/>
        <v>154.50490219883392</v>
      </c>
      <c r="V85" s="500">
        <f t="shared" si="62"/>
        <v>860.36329738113682</v>
      </c>
      <c r="W85" s="489">
        <f t="shared" si="63"/>
        <v>4.1982732354133709</v>
      </c>
      <c r="X85" s="493">
        <f t="shared" si="64"/>
        <v>37.9060089869281</v>
      </c>
      <c r="Y85" s="763">
        <f t="shared" si="65"/>
        <v>159.13978299115894</v>
      </c>
      <c r="Z85" s="381"/>
    </row>
    <row r="86" spans="2:26" s="11" customFormat="1" ht="17.100000000000001" customHeight="1" x14ac:dyDescent="0.25">
      <c r="B86" s="741">
        <f>ITE_LUC_Rates!A77</f>
        <v>760</v>
      </c>
      <c r="C86" s="367" t="str">
        <f>ITE_LUC_Rates!B77</f>
        <v>Research Center</v>
      </c>
      <c r="D86" s="366" t="str">
        <f>ITE_LUC_Rates!C77</f>
        <v>1000 GSF</v>
      </c>
      <c r="E86" s="365">
        <f>ITE_LUC_Rates!G77</f>
        <v>11.26</v>
      </c>
      <c r="F86" s="366" t="s">
        <v>73</v>
      </c>
      <c r="G86" s="373">
        <f>ITE_LUC_Rates!Q77</f>
        <v>8060.1</v>
      </c>
      <c r="H86" s="499">
        <f t="shared" si="66"/>
        <v>12536.211669801718</v>
      </c>
      <c r="I86" s="487">
        <f>ITECountywide!$B$9*E86</f>
        <v>20.40965670914926</v>
      </c>
      <c r="J86" s="495">
        <f t="shared" si="53"/>
        <v>1.67</v>
      </c>
      <c r="K86" s="372">
        <f t="shared" si="54"/>
        <v>0.72504937644602452</v>
      </c>
      <c r="L86" s="488">
        <f>Passby_Length_Adj!H81</f>
        <v>1.2405469854222484</v>
      </c>
      <c r="M86" s="488">
        <f>Passby_Length_Adj!J81</f>
        <v>1</v>
      </c>
      <c r="N86" s="372">
        <v>0.5</v>
      </c>
      <c r="O86" s="481">
        <f t="shared" si="55"/>
        <v>0.6202734927111242</v>
      </c>
      <c r="P86" s="489">
        <f t="shared" si="56"/>
        <v>73.377565448192556</v>
      </c>
      <c r="Q86" s="490">
        <f t="shared" si="57"/>
        <v>43.938661945025487</v>
      </c>
      <c r="R86" s="491">
        <f t="shared" si="58"/>
        <v>261.71052631578948</v>
      </c>
      <c r="S86" s="500">
        <f t="shared" si="59"/>
        <v>11499.210343244171</v>
      </c>
      <c r="T86" s="489">
        <f t="shared" si="60"/>
        <v>5.6640930783163013</v>
      </c>
      <c r="U86" s="493">
        <f t="shared" si="61"/>
        <v>154.50490219883392</v>
      </c>
      <c r="V86" s="500">
        <f t="shared" si="62"/>
        <v>875.13014711035225</v>
      </c>
      <c r="W86" s="489">
        <f t="shared" si="63"/>
        <v>4.2703303189480177</v>
      </c>
      <c r="X86" s="493">
        <f t="shared" si="64"/>
        <v>37.9060089869281</v>
      </c>
      <c r="Y86" s="763">
        <f t="shared" si="65"/>
        <v>161.87117944719509</v>
      </c>
      <c r="Z86" s="381"/>
    </row>
    <row r="87" spans="2:26" s="11" customFormat="1" ht="17.100000000000001" customHeight="1" x14ac:dyDescent="0.25">
      <c r="B87" s="741">
        <f>ITE_LUC_Rates!A78</f>
        <v>770</v>
      </c>
      <c r="C87" s="367" t="str">
        <f>ITE_LUC_Rates!B78</f>
        <v>Business Park</v>
      </c>
      <c r="D87" s="366" t="str">
        <f>ITE_LUC_Rates!C78</f>
        <v>1000 GSF</v>
      </c>
      <c r="E87" s="365">
        <f>ITE_LUC_Rates!G78</f>
        <v>12.44</v>
      </c>
      <c r="F87" s="366" t="s">
        <v>73</v>
      </c>
      <c r="G87" s="373">
        <f>ITE_LUC_Rates!Q78</f>
        <v>12682.3</v>
      </c>
      <c r="H87" s="499">
        <f t="shared" si="66"/>
        <v>13849.953212462997</v>
      </c>
      <c r="I87" s="487">
        <f>ITECountywide!$B$9*E87</f>
        <v>22.548501728402911</v>
      </c>
      <c r="J87" s="495">
        <f t="shared" si="53"/>
        <v>1.67</v>
      </c>
      <c r="K87" s="372">
        <f t="shared" si="54"/>
        <v>0.72504937644602452</v>
      </c>
      <c r="L87" s="488">
        <f>Passby_Length_Adj!H82</f>
        <v>1.2405469854222484</v>
      </c>
      <c r="M87" s="488">
        <f>Passby_Length_Adj!J82</f>
        <v>1</v>
      </c>
      <c r="N87" s="372">
        <v>0.5</v>
      </c>
      <c r="O87" s="481">
        <f t="shared" si="55"/>
        <v>0.6202734927111242</v>
      </c>
      <c r="P87" s="489">
        <f t="shared" si="56"/>
        <v>81.06722150759461</v>
      </c>
      <c r="Q87" s="490">
        <f t="shared" si="57"/>
        <v>48.5432464117333</v>
      </c>
      <c r="R87" s="491">
        <f t="shared" si="58"/>
        <v>261.71052631578948</v>
      </c>
      <c r="S87" s="500">
        <f t="shared" si="59"/>
        <v>12704.278567491781</v>
      </c>
      <c r="T87" s="489">
        <f t="shared" si="60"/>
        <v>6.2576658875892344</v>
      </c>
      <c r="U87" s="493">
        <f t="shared" si="61"/>
        <v>154.50490219883392</v>
      </c>
      <c r="V87" s="500">
        <f t="shared" si="62"/>
        <v>966.84005595495387</v>
      </c>
      <c r="W87" s="489">
        <f t="shared" si="63"/>
        <v>4.7178427324789816</v>
      </c>
      <c r="X87" s="493">
        <f t="shared" si="64"/>
        <v>37.9060089869281</v>
      </c>
      <c r="Y87" s="763">
        <f t="shared" si="65"/>
        <v>178.8345890162617</v>
      </c>
      <c r="Z87" s="381"/>
    </row>
    <row r="88" spans="2:26" s="11" customFormat="1" ht="17.100000000000001" customHeight="1" x14ac:dyDescent="0.25">
      <c r="B88" s="739" t="str">
        <f>ITE_LUC_Rates!A79</f>
        <v>Retail</v>
      </c>
      <c r="C88" s="466"/>
      <c r="D88" s="466"/>
      <c r="E88" s="466"/>
      <c r="F88" s="466"/>
      <c r="G88" s="467"/>
      <c r="H88" s="482"/>
      <c r="I88" s="483"/>
      <c r="J88" s="484"/>
      <c r="K88" s="484"/>
      <c r="L88" s="484"/>
      <c r="M88" s="484"/>
      <c r="N88" s="484"/>
      <c r="O88" s="485"/>
      <c r="P88" s="483"/>
      <c r="Q88" s="484"/>
      <c r="R88" s="484"/>
      <c r="S88" s="485"/>
      <c r="T88" s="483"/>
      <c r="U88" s="484"/>
      <c r="V88" s="485"/>
      <c r="W88" s="483"/>
      <c r="X88" s="484"/>
      <c r="Y88" s="740"/>
      <c r="Z88" s="381"/>
    </row>
    <row r="89" spans="2:26" s="11" customFormat="1" ht="17.100000000000001" customHeight="1" x14ac:dyDescent="0.25">
      <c r="B89" s="741">
        <f>ITE_LUC_Rates!A80</f>
        <v>812</v>
      </c>
      <c r="C89" s="367" t="str">
        <f>ITE_LUC_Rates!B80</f>
        <v>Building Materials and Lumber Store</v>
      </c>
      <c r="D89" s="366" t="str">
        <f>ITE_LUC_Rates!C80</f>
        <v>1000 GSF</v>
      </c>
      <c r="E89" s="365">
        <f>ITE_LUC_Rates!G80</f>
        <v>18.05</v>
      </c>
      <c r="F89" s="366" t="s">
        <v>73</v>
      </c>
      <c r="G89" s="373">
        <f>ITE_LUC_Rates!Q80</f>
        <v>0</v>
      </c>
      <c r="H89" s="499">
        <f t="shared" si="66"/>
        <v>14175.573038671821</v>
      </c>
      <c r="I89" s="487">
        <f>ITECountywide!$B$9*E89</f>
        <v>32.717078472481724</v>
      </c>
      <c r="J89" s="495">
        <f t="shared" ref="J89:J126" si="67">IF(F89="Prod",$M$3,$M$4)</f>
        <v>1.67</v>
      </c>
      <c r="K89" s="372">
        <f t="shared" ref="K89:K126" si="68">IF(F89="Prod",$F$4,$F$5)</f>
        <v>0.72504937644602452</v>
      </c>
      <c r="L89" s="488">
        <f>Passby_Length_Adj!H84</f>
        <v>0.87508191706880245</v>
      </c>
      <c r="M89" s="488">
        <f>Passby_Length_Adj!J84</f>
        <v>1</v>
      </c>
      <c r="N89" s="372">
        <v>0.5</v>
      </c>
      <c r="O89" s="481">
        <f t="shared" ref="O89:O126" si="69">L89*M89*N89</f>
        <v>0.43754095853440123</v>
      </c>
      <c r="P89" s="489">
        <f t="shared" ref="P89:P126" si="70">IF($F89="Prod",$I89*$O89*$F$4*$F$6,$I89*O89*$F$5*$F$7)</f>
        <v>82.973155352539408</v>
      </c>
      <c r="Q89" s="490">
        <f t="shared" ref="Q89:Q126" si="71">+P89/J89</f>
        <v>49.684524163197253</v>
      </c>
      <c r="R89" s="491">
        <f t="shared" ref="R89:R126" si="72">+$Q$4</f>
        <v>261.71052631578948</v>
      </c>
      <c r="S89" s="500">
        <f t="shared" ref="S89:S126" si="73">+Q89*R89</f>
        <v>13002.962968499913</v>
      </c>
      <c r="T89" s="489">
        <f t="shared" ref="T89:T126" si="74">IF($F89="Prod",$I89*$O89*$G$4*$G$6,$I89*$O89*$G$5*$G$7)</f>
        <v>6.4047869678941201</v>
      </c>
      <c r="U89" s="493">
        <f t="shared" ref="U89:U126" si="75">+$R$4</f>
        <v>154.50490219883392</v>
      </c>
      <c r="V89" s="500">
        <f t="shared" ref="V89:V126" si="76">+T89*U89</f>
        <v>989.570984078847</v>
      </c>
      <c r="W89" s="489">
        <f t="shared" ref="W89:W126" si="77">IF($F89="Prod",$I89*$O89*$J$4*$J$6,$I89*$O89*$J$5*$J$7)</f>
        <v>4.8287617447719597</v>
      </c>
      <c r="X89" s="493">
        <f t="shared" ref="X89:X126" si="78">$S$4</f>
        <v>37.9060089869281</v>
      </c>
      <c r="Y89" s="763">
        <f t="shared" ref="Y89:Y126" si="79">+W89*X89</f>
        <v>183.03908609306052</v>
      </c>
      <c r="Z89" s="381"/>
    </row>
    <row r="90" spans="2:26" s="11" customFormat="1" ht="17.100000000000001" customHeight="1" x14ac:dyDescent="0.25">
      <c r="B90" s="741">
        <f>ITE_LUC_Rates!A81</f>
        <v>813</v>
      </c>
      <c r="C90" s="367" t="str">
        <f>ITE_LUC_Rates!B81</f>
        <v>Discount Superstore (Free standing)</v>
      </c>
      <c r="D90" s="366" t="str">
        <f>ITE_LUC_Rates!C81</f>
        <v>1000 GSF</v>
      </c>
      <c r="E90" s="365">
        <f>ITE_LUC_Rates!G81</f>
        <v>50.7</v>
      </c>
      <c r="F90" s="366" t="s">
        <v>73</v>
      </c>
      <c r="G90" s="373">
        <f>ITE_LUC_Rates!Q81</f>
        <v>20592.7</v>
      </c>
      <c r="H90" s="499">
        <f t="shared" si="66"/>
        <v>39106.770522190091</v>
      </c>
      <c r="I90" s="487">
        <f>ITECountywide!$B$9*E90</f>
        <v>91.897832606915415</v>
      </c>
      <c r="J90" s="495">
        <f t="shared" si="67"/>
        <v>1.67</v>
      </c>
      <c r="K90" s="372">
        <f t="shared" si="68"/>
        <v>0.72504937644602452</v>
      </c>
      <c r="L90" s="488">
        <f>Passby_Length_Adj!H85</f>
        <v>0.8594671567024027</v>
      </c>
      <c r="M90" s="488">
        <f>Passby_Length_Adj!J85</f>
        <v>1</v>
      </c>
      <c r="N90" s="372">
        <v>0.5</v>
      </c>
      <c r="O90" s="481">
        <f t="shared" si="69"/>
        <v>0.42973357835120135</v>
      </c>
      <c r="P90" s="489">
        <f t="shared" si="70"/>
        <v>228.90165618149922</v>
      </c>
      <c r="Q90" s="490">
        <f t="shared" si="71"/>
        <v>137.06685998892169</v>
      </c>
      <c r="R90" s="491">
        <f t="shared" si="72"/>
        <v>261.71052631578948</v>
      </c>
      <c r="S90" s="500">
        <f t="shared" si="73"/>
        <v>35871.840068153324</v>
      </c>
      <c r="T90" s="489">
        <f t="shared" si="74"/>
        <v>17.669164661890584</v>
      </c>
      <c r="U90" s="493">
        <f t="shared" si="75"/>
        <v>154.50490219883392</v>
      </c>
      <c r="V90" s="500">
        <f t="shared" si="76"/>
        <v>2729.9725580204968</v>
      </c>
      <c r="W90" s="489">
        <f t="shared" si="77"/>
        <v>13.32131526139845</v>
      </c>
      <c r="X90" s="493">
        <f t="shared" si="78"/>
        <v>37.9060089869281</v>
      </c>
      <c r="Y90" s="763">
        <f t="shared" si="79"/>
        <v>504.95789601627212</v>
      </c>
      <c r="Z90" s="381"/>
    </row>
    <row r="91" spans="2:26" s="11" customFormat="1" ht="17.100000000000001" customHeight="1" x14ac:dyDescent="0.25">
      <c r="B91" s="741">
        <f>ITE_LUC_Rates!A82</f>
        <v>816</v>
      </c>
      <c r="C91" s="367" t="str">
        <f>ITE_LUC_Rates!B82</f>
        <v>Hardware/Paint Store/Pool Suply</v>
      </c>
      <c r="D91" s="366" t="str">
        <f>ITE_LUC_Rates!C82</f>
        <v>1000 GSF</v>
      </c>
      <c r="E91" s="365">
        <f>ITE_LUC_Rates!G82</f>
        <v>9.14</v>
      </c>
      <c r="F91" s="366" t="s">
        <v>73</v>
      </c>
      <c r="G91" s="373">
        <f>ITE_LUC_Rates!Q82</f>
        <v>14865.5</v>
      </c>
      <c r="H91" s="499">
        <f t="shared" si="66"/>
        <v>7050.0174077478805</v>
      </c>
      <c r="I91" s="487">
        <f>ITECountywide!$B$9*E91</f>
        <v>16.566985996591853</v>
      </c>
      <c r="J91" s="495">
        <f t="shared" si="67"/>
        <v>1.67</v>
      </c>
      <c r="K91" s="372">
        <f t="shared" si="68"/>
        <v>0.72504937644602452</v>
      </c>
      <c r="L91" s="488">
        <f>Passby_Length_Adj!H86</f>
        <v>0.8594671567024027</v>
      </c>
      <c r="M91" s="488">
        <f>Passby_Length_Adj!J86</f>
        <v>1</v>
      </c>
      <c r="N91" s="372">
        <v>0.5</v>
      </c>
      <c r="O91" s="481">
        <f t="shared" si="69"/>
        <v>0.42973357835120135</v>
      </c>
      <c r="P91" s="489">
        <f t="shared" si="70"/>
        <v>41.26550567058981</v>
      </c>
      <c r="Q91" s="490">
        <f t="shared" si="71"/>
        <v>24.70988363508372</v>
      </c>
      <c r="R91" s="491">
        <f t="shared" si="72"/>
        <v>261.71052631578948</v>
      </c>
      <c r="S91" s="500">
        <f t="shared" si="73"/>
        <v>6466.8366513396741</v>
      </c>
      <c r="T91" s="489">
        <f t="shared" si="74"/>
        <v>3.1853286984157787</v>
      </c>
      <c r="U91" s="493">
        <f t="shared" si="75"/>
        <v>154.50490219883392</v>
      </c>
      <c r="V91" s="500">
        <f t="shared" si="76"/>
        <v>492.14889901986885</v>
      </c>
      <c r="W91" s="489">
        <f t="shared" si="77"/>
        <v>2.4015152167491487</v>
      </c>
      <c r="X91" s="493">
        <f t="shared" si="78"/>
        <v>37.9060089869281</v>
      </c>
      <c r="Y91" s="763">
        <f t="shared" si="79"/>
        <v>91.031857388337812</v>
      </c>
      <c r="Z91" s="381"/>
    </row>
    <row r="92" spans="2:26" s="11" customFormat="1" ht="17.100000000000001" customHeight="1" x14ac:dyDescent="0.25">
      <c r="B92" s="741">
        <f>ITE_LUC_Rates!A83</f>
        <v>817</v>
      </c>
      <c r="C92" s="367" t="str">
        <f>ITE_LUC_Rates!B83</f>
        <v>Nursery Garden Center</v>
      </c>
      <c r="D92" s="706" t="str">
        <f>ITE_LUC_Rates!C83</f>
        <v>1000 GSF</v>
      </c>
      <c r="E92" s="707">
        <f>ITE_LUC_Rates!G83</f>
        <v>68.099999999999994</v>
      </c>
      <c r="F92" s="706" t="s">
        <v>73</v>
      </c>
      <c r="G92" s="708">
        <f>ITE_LUC_Rates!Q83</f>
        <v>17723.2</v>
      </c>
      <c r="H92" s="720">
        <f t="shared" si="66"/>
        <v>52528.029044598523</v>
      </c>
      <c r="I92" s="710">
        <f>ITECountywide!$B$9*E92</f>
        <v>123.43673373828283</v>
      </c>
      <c r="J92" s="711">
        <f t="shared" si="67"/>
        <v>1.67</v>
      </c>
      <c r="K92" s="712">
        <f t="shared" si="68"/>
        <v>0.72504937644602452</v>
      </c>
      <c r="L92" s="713">
        <f>Passby_Length_Adj!H87</f>
        <v>0.8594671567024027</v>
      </c>
      <c r="M92" s="713">
        <f>Passby_Length_Adj!J87</f>
        <v>1</v>
      </c>
      <c r="N92" s="712">
        <v>0.5</v>
      </c>
      <c r="O92" s="714">
        <f t="shared" si="69"/>
        <v>0.42973357835120135</v>
      </c>
      <c r="P92" s="715">
        <f t="shared" si="70"/>
        <v>307.45962102485396</v>
      </c>
      <c r="Q92" s="716">
        <f t="shared" si="71"/>
        <v>184.10755749991256</v>
      </c>
      <c r="R92" s="717">
        <f t="shared" si="72"/>
        <v>261.71052631578948</v>
      </c>
      <c r="S92" s="721">
        <f t="shared" si="73"/>
        <v>48182.885772016591</v>
      </c>
      <c r="T92" s="715">
        <f t="shared" si="74"/>
        <v>23.733138332835281</v>
      </c>
      <c r="U92" s="719">
        <f t="shared" si="75"/>
        <v>154.50490219883392</v>
      </c>
      <c r="V92" s="721">
        <f t="shared" si="76"/>
        <v>3666.8862169861113</v>
      </c>
      <c r="W92" s="715">
        <f t="shared" si="77"/>
        <v>17.893127599629871</v>
      </c>
      <c r="X92" s="719">
        <f t="shared" si="78"/>
        <v>37.9060089869281</v>
      </c>
      <c r="Y92" s="764">
        <f t="shared" si="79"/>
        <v>678.25705559582116</v>
      </c>
      <c r="Z92" s="381"/>
    </row>
    <row r="93" spans="2:26" s="11" customFormat="1" ht="17.100000000000001" customHeight="1" x14ac:dyDescent="0.25">
      <c r="B93" s="741">
        <f>ITE_LUC_Rates!A84</f>
        <v>820</v>
      </c>
      <c r="C93" s="705" t="str">
        <f>ITE_LUC_Rates!B84</f>
        <v>Shopping Center/General Retail…</v>
      </c>
      <c r="D93" s="100"/>
      <c r="E93" s="722"/>
      <c r="F93" s="100"/>
      <c r="G93" s="723"/>
      <c r="H93" s="733"/>
      <c r="I93" s="725"/>
      <c r="J93" s="726"/>
      <c r="K93" s="727"/>
      <c r="L93" s="728"/>
      <c r="M93" s="728"/>
      <c r="N93" s="727"/>
      <c r="O93" s="729"/>
      <c r="P93" s="730"/>
      <c r="Q93" s="730"/>
      <c r="R93" s="731"/>
      <c r="S93" s="734"/>
      <c r="T93" s="730"/>
      <c r="U93" s="732"/>
      <c r="V93" s="734"/>
      <c r="W93" s="730"/>
      <c r="X93" s="732"/>
      <c r="Y93" s="736"/>
      <c r="Z93" s="381"/>
    </row>
    <row r="94" spans="2:26" s="11" customFormat="1" ht="17.100000000000001" customHeight="1" x14ac:dyDescent="0.25">
      <c r="B94" s="741">
        <f>ITE_LUC_Rates!A85</f>
        <v>820</v>
      </c>
      <c r="C94" s="367" t="str">
        <f>ITE_LUC_Rates!B85</f>
        <v>Shopping Center General, 1 - 10,000gsf</v>
      </c>
      <c r="D94" s="689" t="str">
        <f>ITE_LUC_Rates!C85</f>
        <v>1000 GSF</v>
      </c>
      <c r="E94" s="690">
        <f>ITE_LUC_Rates!G85</f>
        <v>156.80137359044605</v>
      </c>
      <c r="F94" s="689" t="s">
        <v>73</v>
      </c>
      <c r="G94" s="691">
        <f>ITE_LUC_Rates!Q85</f>
        <v>18799.7</v>
      </c>
      <c r="H94" s="703">
        <f t="shared" si="66"/>
        <v>17005.780476406911</v>
      </c>
      <c r="I94" s="693">
        <f>ITECountywide!$B$9*E94</f>
        <v>284.21511603055654</v>
      </c>
      <c r="J94" s="694">
        <f t="shared" si="67"/>
        <v>1.67</v>
      </c>
      <c r="K94" s="695">
        <f t="shared" si="68"/>
        <v>0.72504937644602452</v>
      </c>
      <c r="L94" s="696">
        <f>Passby_Length_Adj!H89</f>
        <v>0.30211480362537763</v>
      </c>
      <c r="M94" s="696">
        <f>Passby_Length_Adj!J89</f>
        <v>0.4</v>
      </c>
      <c r="N94" s="695">
        <v>0.5</v>
      </c>
      <c r="O94" s="697">
        <f t="shared" si="69"/>
        <v>6.0422960725075525E-2</v>
      </c>
      <c r="P94" s="698">
        <f t="shared" si="70"/>
        <v>99.539063536319517</v>
      </c>
      <c r="Q94" s="699">
        <f t="shared" si="71"/>
        <v>59.604229662466778</v>
      </c>
      <c r="R94" s="700">
        <f t="shared" si="72"/>
        <v>261.71052631578948</v>
      </c>
      <c r="S94" s="704">
        <f t="shared" si="73"/>
        <v>15599.054315611371</v>
      </c>
      <c r="T94" s="698">
        <f t="shared" si="74"/>
        <v>7.6835272110004498</v>
      </c>
      <c r="U94" s="702">
        <f t="shared" si="75"/>
        <v>154.50490219883392</v>
      </c>
      <c r="V94" s="704">
        <f t="shared" si="76"/>
        <v>1187.1426202777036</v>
      </c>
      <c r="W94" s="698">
        <f t="shared" si="77"/>
        <v>5.7928425172262035</v>
      </c>
      <c r="X94" s="702">
        <f t="shared" si="78"/>
        <v>37.9060089869281</v>
      </c>
      <c r="Y94" s="765">
        <f t="shared" si="79"/>
        <v>219.58354051783567</v>
      </c>
      <c r="Z94" s="381"/>
    </row>
    <row r="95" spans="2:26" s="11" customFormat="1" ht="17.100000000000001" customHeight="1" x14ac:dyDescent="0.25">
      <c r="B95" s="741">
        <f>ITE_LUC_Rates!A86</f>
        <v>820</v>
      </c>
      <c r="C95" s="367" t="str">
        <f>ITE_LUC_Rates!B86</f>
        <v>Shopping Center General, 10,001 - 50,000gsf</v>
      </c>
      <c r="D95" s="366" t="str">
        <f>ITE_LUC_Rates!C86</f>
        <v>1000 GSF</v>
      </c>
      <c r="E95" s="365">
        <f>ITE_LUC_Rates!G86</f>
        <v>88.3774492278785</v>
      </c>
      <c r="F95" s="366" t="s">
        <v>73</v>
      </c>
      <c r="G95" s="373">
        <f>ITE_LUC_Rates!Q86</f>
        <v>14048.1</v>
      </c>
      <c r="H95" s="499">
        <f t="shared" si="66"/>
        <v>13778.312221961016</v>
      </c>
      <c r="I95" s="487">
        <f>ITECountywide!$B$9*E95</f>
        <v>160.19124330117839</v>
      </c>
      <c r="J95" s="495">
        <f t="shared" si="67"/>
        <v>1.67</v>
      </c>
      <c r="K95" s="372">
        <f t="shared" si="68"/>
        <v>0.72504937644602452</v>
      </c>
      <c r="L95" s="488">
        <f>Passby_Length_Adj!H90</f>
        <v>0.34743202416918428</v>
      </c>
      <c r="M95" s="488">
        <f>Passby_Length_Adj!J90</f>
        <v>0.5</v>
      </c>
      <c r="N95" s="372">
        <v>0.5</v>
      </c>
      <c r="O95" s="481">
        <f t="shared" si="69"/>
        <v>8.6858006042296071E-2</v>
      </c>
      <c r="P95" s="489">
        <f t="shared" si="70"/>
        <v>80.647888968563251</v>
      </c>
      <c r="Q95" s="490">
        <f t="shared" si="71"/>
        <v>48.29214908297201</v>
      </c>
      <c r="R95" s="491">
        <f t="shared" si="72"/>
        <v>261.71052631578948</v>
      </c>
      <c r="S95" s="500">
        <f t="shared" si="73"/>
        <v>12638.563753425175</v>
      </c>
      <c r="T95" s="489">
        <f t="shared" si="74"/>
        <v>6.2252971585733166</v>
      </c>
      <c r="U95" s="493">
        <f t="shared" si="75"/>
        <v>154.50490219883392</v>
      </c>
      <c r="V95" s="500">
        <f t="shared" si="76"/>
        <v>961.83892864404891</v>
      </c>
      <c r="W95" s="489">
        <f t="shared" si="77"/>
        <v>4.693438973043663</v>
      </c>
      <c r="X95" s="493">
        <f t="shared" si="78"/>
        <v>37.9060089869281</v>
      </c>
      <c r="Y95" s="763">
        <f t="shared" si="79"/>
        <v>177.9095398917917</v>
      </c>
      <c r="Z95" s="381"/>
    </row>
    <row r="96" spans="2:26" s="11" customFormat="1" ht="17.100000000000001" customHeight="1" x14ac:dyDescent="0.25">
      <c r="B96" s="741">
        <f>ITE_LUC_Rates!A87</f>
        <v>820</v>
      </c>
      <c r="C96" s="367" t="str">
        <f>ITE_LUC_Rates!B87</f>
        <v>Shopping Center General, 50,001 - 100,000gsf</v>
      </c>
      <c r="D96" s="366" t="str">
        <f>ITE_LUC_Rates!C87</f>
        <v>1000 GSF</v>
      </c>
      <c r="E96" s="365">
        <f>ITE_LUC_Rates!G87</f>
        <v>65.917489686786567</v>
      </c>
      <c r="F96" s="366" t="s">
        <v>73</v>
      </c>
      <c r="G96" s="373">
        <f>ITE_LUC_Rates!Q87</f>
        <v>13383.7</v>
      </c>
      <c r="H96" s="499">
        <f t="shared" si="66"/>
        <v>12868.261293265223</v>
      </c>
      <c r="I96" s="487">
        <f>ITECountywide!$B$9*E96</f>
        <v>119.48075804939616</v>
      </c>
      <c r="J96" s="495">
        <f t="shared" si="67"/>
        <v>1.67</v>
      </c>
      <c r="K96" s="372">
        <f t="shared" si="68"/>
        <v>0.72504937644602452</v>
      </c>
      <c r="L96" s="488">
        <f>Passby_Length_Adj!H91</f>
        <v>0.36253776435045315</v>
      </c>
      <c r="M96" s="488">
        <f>Passby_Length_Adj!J91</f>
        <v>0.6</v>
      </c>
      <c r="N96" s="372">
        <v>0.5</v>
      </c>
      <c r="O96" s="481">
        <f t="shared" si="69"/>
        <v>0.10876132930513595</v>
      </c>
      <c r="P96" s="489">
        <f t="shared" si="70"/>
        <v>75.321134495964259</v>
      </c>
      <c r="Q96" s="490">
        <f t="shared" si="71"/>
        <v>45.102475746086384</v>
      </c>
      <c r="R96" s="491">
        <f t="shared" si="72"/>
        <v>261.71052631578948</v>
      </c>
      <c r="S96" s="500">
        <f t="shared" si="73"/>
        <v>11803.792665653398</v>
      </c>
      <c r="T96" s="489">
        <f t="shared" si="74"/>
        <v>5.8141192603444587</v>
      </c>
      <c r="U96" s="493">
        <f t="shared" si="75"/>
        <v>154.50490219883392</v>
      </c>
      <c r="V96" s="500">
        <f t="shared" si="76"/>
        <v>898.30992769187719</v>
      </c>
      <c r="W96" s="489">
        <f t="shared" si="77"/>
        <v>4.3834395749034814</v>
      </c>
      <c r="X96" s="493">
        <f t="shared" si="78"/>
        <v>37.9060089869281</v>
      </c>
      <c r="Y96" s="763">
        <f t="shared" si="79"/>
        <v>166.15869991994765</v>
      </c>
      <c r="Z96" s="381"/>
    </row>
    <row r="97" spans="2:26" s="11" customFormat="1" ht="17.100000000000001" customHeight="1" x14ac:dyDescent="0.25">
      <c r="B97" s="741">
        <f>ITE_LUC_Rates!A88</f>
        <v>820</v>
      </c>
      <c r="C97" s="367" t="str">
        <f>ITE_LUC_Rates!B88</f>
        <v>Shopping Center General, 100,001 - 200,000gsf</v>
      </c>
      <c r="D97" s="366" t="str">
        <f>ITE_LUC_Rates!C88</f>
        <v>1000 GSF</v>
      </c>
      <c r="E97" s="365">
        <f>ITE_LUC_Rates!G88</f>
        <v>51.829042350493665</v>
      </c>
      <c r="F97" s="366" t="s">
        <v>73</v>
      </c>
      <c r="G97" s="373">
        <f>ITE_LUC_Rates!Q88</f>
        <v>20241.2</v>
      </c>
      <c r="H97" s="499">
        <f t="shared" si="66"/>
        <v>11892.100767702945</v>
      </c>
      <c r="I97" s="487">
        <f>ITECountywide!$B$9*E97</f>
        <v>93.94431278308474</v>
      </c>
      <c r="J97" s="495">
        <f t="shared" si="67"/>
        <v>1.67</v>
      </c>
      <c r="K97" s="372">
        <f t="shared" si="68"/>
        <v>0.72504937644602452</v>
      </c>
      <c r="L97" s="488">
        <f>Passby_Length_Adj!H92</f>
        <v>0.37764350453172207</v>
      </c>
      <c r="M97" s="488">
        <f>Passby_Length_Adj!J92</f>
        <v>0.67700000000000005</v>
      </c>
      <c r="N97" s="372">
        <v>0.5</v>
      </c>
      <c r="O97" s="481">
        <f t="shared" si="69"/>
        <v>0.12783232628398794</v>
      </c>
      <c r="P97" s="489">
        <f t="shared" si="70"/>
        <v>69.607424107288196</v>
      </c>
      <c r="Q97" s="490">
        <f t="shared" si="71"/>
        <v>41.681092279813292</v>
      </c>
      <c r="R97" s="491">
        <f t="shared" si="72"/>
        <v>261.71052631578948</v>
      </c>
      <c r="S97" s="500">
        <f t="shared" si="73"/>
        <v>10908.380597966927</v>
      </c>
      <c r="T97" s="489">
        <f t="shared" si="74"/>
        <v>5.3730718193953084</v>
      </c>
      <c r="U97" s="493">
        <f t="shared" si="75"/>
        <v>154.50490219883392</v>
      </c>
      <c r="V97" s="500">
        <f t="shared" si="76"/>
        <v>830.16593596298276</v>
      </c>
      <c r="W97" s="489">
        <f t="shared" si="77"/>
        <v>4.0509206291273561</v>
      </c>
      <c r="X97" s="493">
        <f t="shared" si="78"/>
        <v>37.9060089869281</v>
      </c>
      <c r="Y97" s="763">
        <f t="shared" si="79"/>
        <v>153.55423377303399</v>
      </c>
      <c r="Z97" s="381"/>
    </row>
    <row r="98" spans="2:26" s="11" customFormat="1" ht="17.100000000000001" customHeight="1" x14ac:dyDescent="0.25">
      <c r="B98" s="741">
        <f>ITE_LUC_Rates!A89</f>
        <v>820</v>
      </c>
      <c r="C98" s="367" t="str">
        <f>ITE_LUC_Rates!B89</f>
        <v>Shopping Center General, 200,001 - 300,000gsf</v>
      </c>
      <c r="D98" s="366" t="str">
        <f>ITE_LUC_Rates!C89</f>
        <v>1000 GSF</v>
      </c>
      <c r="E98" s="365">
        <f>ITE_LUC_Rates!G89</f>
        <v>44.841430781139344</v>
      </c>
      <c r="F98" s="366" t="s">
        <v>73</v>
      </c>
      <c r="G98" s="373">
        <f>ITE_LUC_Rates!Q89</f>
        <v>18774.5</v>
      </c>
      <c r="H98" s="499">
        <f t="shared" si="66"/>
        <v>11063.88283935684</v>
      </c>
      <c r="I98" s="487">
        <f>ITECountywide!$B$9*E98</f>
        <v>81.278704137667205</v>
      </c>
      <c r="J98" s="495">
        <f t="shared" si="67"/>
        <v>1.67</v>
      </c>
      <c r="K98" s="372">
        <f t="shared" si="68"/>
        <v>0.72504937644602452</v>
      </c>
      <c r="L98" s="488">
        <f>Passby_Length_Adj!H93</f>
        <v>0.39274924471299094</v>
      </c>
      <c r="M98" s="488">
        <f>Passby_Length_Adj!J93</f>
        <v>0.7</v>
      </c>
      <c r="N98" s="372">
        <v>0.5</v>
      </c>
      <c r="O98" s="481">
        <f t="shared" si="69"/>
        <v>0.13746223564954682</v>
      </c>
      <c r="P98" s="489">
        <f t="shared" si="70"/>
        <v>64.759658542753513</v>
      </c>
      <c r="Q98" s="490">
        <f t="shared" si="71"/>
        <v>38.778238648355398</v>
      </c>
      <c r="R98" s="491">
        <f t="shared" si="72"/>
        <v>261.71052631578948</v>
      </c>
      <c r="S98" s="500">
        <f t="shared" si="73"/>
        <v>10148.67324626038</v>
      </c>
      <c r="T98" s="489">
        <f t="shared" si="74"/>
        <v>4.9988675893739734</v>
      </c>
      <c r="U98" s="493">
        <f t="shared" si="75"/>
        <v>154.50490219883392</v>
      </c>
      <c r="V98" s="500">
        <f t="shared" si="76"/>
        <v>772.34954800114645</v>
      </c>
      <c r="W98" s="489">
        <f t="shared" si="77"/>
        <v>3.7687967927348724</v>
      </c>
      <c r="X98" s="493">
        <f t="shared" si="78"/>
        <v>37.9060089869281</v>
      </c>
      <c r="Y98" s="763">
        <f t="shared" si="79"/>
        <v>142.86004509531386</v>
      </c>
      <c r="Z98" s="381"/>
    </row>
    <row r="99" spans="2:26" s="11" customFormat="1" ht="17.100000000000001" customHeight="1" x14ac:dyDescent="0.25">
      <c r="B99" s="741">
        <f>ITE_LUC_Rates!A90</f>
        <v>820</v>
      </c>
      <c r="C99" s="367" t="str">
        <f>ITE_LUC_Rates!B90</f>
        <v>Shopping Center General, 300,001 - 400,000gsf</v>
      </c>
      <c r="D99" s="366" t="str">
        <f>ITE_LUC_Rates!C90</f>
        <v>1000 GSF</v>
      </c>
      <c r="E99" s="365">
        <f>ITE_LUC_Rates!G90</f>
        <v>40.264145799881483</v>
      </c>
      <c r="F99" s="366" t="s">
        <v>73</v>
      </c>
      <c r="G99" s="373">
        <f>ITE_LUC_Rates!Q90</f>
        <v>25847.3</v>
      </c>
      <c r="H99" s="499">
        <f t="shared" si="66"/>
        <v>10611.370280371368</v>
      </c>
      <c r="I99" s="487">
        <f>ITECountywide!$B$9*E99</f>
        <v>72.982006524219813</v>
      </c>
      <c r="J99" s="495">
        <f t="shared" si="67"/>
        <v>1.67</v>
      </c>
      <c r="K99" s="372">
        <f t="shared" si="68"/>
        <v>0.72504937644602452</v>
      </c>
      <c r="L99" s="488">
        <f>Passby_Length_Adj!H94</f>
        <v>0.40785498489425986</v>
      </c>
      <c r="M99" s="488">
        <f>Passby_Length_Adj!J94</f>
        <v>0.72</v>
      </c>
      <c r="N99" s="372">
        <v>0.5</v>
      </c>
      <c r="O99" s="481">
        <f t="shared" si="69"/>
        <v>0.14682779456193354</v>
      </c>
      <c r="P99" s="489">
        <f t="shared" si="70"/>
        <v>62.110989966658003</v>
      </c>
      <c r="Q99" s="490">
        <f t="shared" si="71"/>
        <v>37.19220956087306</v>
      </c>
      <c r="R99" s="491">
        <f t="shared" si="72"/>
        <v>261.71052631578948</v>
      </c>
      <c r="S99" s="500">
        <f t="shared" si="73"/>
        <v>9733.5927390232264</v>
      </c>
      <c r="T99" s="489">
        <f t="shared" si="74"/>
        <v>4.7944140175365613</v>
      </c>
      <c r="U99" s="493">
        <f t="shared" si="75"/>
        <v>154.50490219883392</v>
      </c>
      <c r="V99" s="500">
        <f t="shared" si="76"/>
        <v>740.76046888020483</v>
      </c>
      <c r="W99" s="489">
        <f t="shared" si="77"/>
        <v>3.6146530887804085</v>
      </c>
      <c r="X99" s="493">
        <f t="shared" si="78"/>
        <v>37.9060089869281</v>
      </c>
      <c r="Y99" s="763">
        <f t="shared" si="79"/>
        <v>137.01707246793757</v>
      </c>
      <c r="Z99" s="381"/>
    </row>
    <row r="100" spans="2:26" s="11" customFormat="1" ht="17.100000000000001" customHeight="1" x14ac:dyDescent="0.25">
      <c r="B100" s="741">
        <f>ITE_LUC_Rates!A91</f>
        <v>820</v>
      </c>
      <c r="C100" s="367" t="str">
        <f>ITE_LUC_Rates!B91</f>
        <v>Shopping Center General, 400,001 - 500,000gsf</v>
      </c>
      <c r="D100" s="366" t="str">
        <f>ITE_LUC_Rates!C91</f>
        <v>1000 GSF</v>
      </c>
      <c r="E100" s="365">
        <f>ITE_LUC_Rates!G91</f>
        <v>37.152860747503944</v>
      </c>
      <c r="F100" s="366" t="s">
        <v>73</v>
      </c>
      <c r="G100" s="373">
        <f>ITE_LUC_Rates!Q91</f>
        <v>24653.1</v>
      </c>
      <c r="H100" s="499">
        <f t="shared" si="66"/>
        <v>10436.111960252339</v>
      </c>
      <c r="I100" s="487">
        <f>ITECountywide!$B$9*E100</f>
        <v>67.342551831206222</v>
      </c>
      <c r="J100" s="495">
        <f t="shared" si="67"/>
        <v>1.67</v>
      </c>
      <c r="K100" s="372">
        <f t="shared" si="68"/>
        <v>0.72504937644602452</v>
      </c>
      <c r="L100" s="488">
        <f>Passby_Length_Adj!H95</f>
        <v>0.42296072507552868</v>
      </c>
      <c r="M100" s="488">
        <f>Passby_Length_Adj!J95</f>
        <v>0.74</v>
      </c>
      <c r="N100" s="372">
        <v>0.5</v>
      </c>
      <c r="O100" s="481">
        <f t="shared" si="69"/>
        <v>0.15649546827794561</v>
      </c>
      <c r="P100" s="489">
        <f t="shared" si="70"/>
        <v>61.085159421226756</v>
      </c>
      <c r="Q100" s="490">
        <f t="shared" si="71"/>
        <v>36.577939773189676</v>
      </c>
      <c r="R100" s="491">
        <f t="shared" si="72"/>
        <v>261.71052631578948</v>
      </c>
      <c r="S100" s="500">
        <f t="shared" si="73"/>
        <v>9572.8318695887192</v>
      </c>
      <c r="T100" s="489">
        <f t="shared" si="74"/>
        <v>4.7152290560784857</v>
      </c>
      <c r="U100" s="493">
        <f t="shared" si="75"/>
        <v>154.50490219883392</v>
      </c>
      <c r="V100" s="500">
        <f t="shared" si="76"/>
        <v>728.52600415450638</v>
      </c>
      <c r="W100" s="489">
        <f t="shared" si="77"/>
        <v>3.5549531620589243</v>
      </c>
      <c r="X100" s="493">
        <f t="shared" si="78"/>
        <v>37.9060089869281</v>
      </c>
      <c r="Y100" s="763">
        <f t="shared" si="79"/>
        <v>134.75408650911405</v>
      </c>
      <c r="Z100" s="381"/>
    </row>
    <row r="101" spans="2:26" s="11" customFormat="1" ht="17.100000000000001" customHeight="1" x14ac:dyDescent="0.25">
      <c r="B101" s="741">
        <f>ITE_LUC_Rates!A92</f>
        <v>820</v>
      </c>
      <c r="C101" s="367" t="str">
        <f>ITE_LUC_Rates!B92</f>
        <v>Shopping Center General, 500,001 - 600,000gsf</v>
      </c>
      <c r="D101" s="366" t="str">
        <f>ITE_LUC_Rates!C92</f>
        <v>1000 GSF</v>
      </c>
      <c r="E101" s="365">
        <f>ITE_LUC_Rates!G92</f>
        <v>34.84209042728628</v>
      </c>
      <c r="F101" s="366" t="s">
        <v>73</v>
      </c>
      <c r="G101" s="373">
        <f>ITE_LUC_Rates!Q92</f>
        <v>23479</v>
      </c>
      <c r="H101" s="499">
        <f t="shared" si="66"/>
        <v>10410.522149631535</v>
      </c>
      <c r="I101" s="487">
        <f>ITECountywide!$B$9*E101</f>
        <v>63.154094551514092</v>
      </c>
      <c r="J101" s="495">
        <f t="shared" si="67"/>
        <v>1.67</v>
      </c>
      <c r="K101" s="372">
        <f t="shared" si="68"/>
        <v>0.72504937644602452</v>
      </c>
      <c r="L101" s="488">
        <f>Passby_Length_Adj!H96</f>
        <v>0.43806646525679754</v>
      </c>
      <c r="M101" s="488">
        <f>Passby_Length_Adj!J96</f>
        <v>0.76</v>
      </c>
      <c r="N101" s="372">
        <v>0.5</v>
      </c>
      <c r="O101" s="481">
        <f t="shared" si="69"/>
        <v>0.16646525679758306</v>
      </c>
      <c r="P101" s="489">
        <f t="shared" si="70"/>
        <v>60.935375893866727</v>
      </c>
      <c r="Q101" s="490">
        <f t="shared" si="71"/>
        <v>36.488249038243552</v>
      </c>
      <c r="R101" s="491">
        <f t="shared" si="72"/>
        <v>261.71052631578948</v>
      </c>
      <c r="S101" s="500">
        <f t="shared" si="73"/>
        <v>9549.3588601403189</v>
      </c>
      <c r="T101" s="489">
        <f t="shared" si="74"/>
        <v>4.7036671047465797</v>
      </c>
      <c r="U101" s="493">
        <f t="shared" si="75"/>
        <v>154.50490219883392</v>
      </c>
      <c r="V101" s="500">
        <f t="shared" si="76"/>
        <v>726.7396259947426</v>
      </c>
      <c r="W101" s="489">
        <f t="shared" si="77"/>
        <v>3.5462362588166632</v>
      </c>
      <c r="X101" s="493">
        <f t="shared" si="78"/>
        <v>37.9060089869281</v>
      </c>
      <c r="Y101" s="763">
        <f t="shared" si="79"/>
        <v>134.42366349647472</v>
      </c>
      <c r="Z101" s="381"/>
    </row>
    <row r="102" spans="2:26" s="11" customFormat="1" ht="17.100000000000001" customHeight="1" x14ac:dyDescent="0.25">
      <c r="B102" s="741">
        <f>ITE_LUC_Rates!A93</f>
        <v>820</v>
      </c>
      <c r="C102" s="367" t="str">
        <f>ITE_LUC_Rates!B93</f>
        <v>Shopping Center General, 600,001 - 800,000gsf</v>
      </c>
      <c r="D102" s="366" t="str">
        <f>ITE_LUC_Rates!C93</f>
        <v>1000 GSF</v>
      </c>
      <c r="E102" s="365">
        <f>ITE_LUC_Rates!G93</f>
        <v>32.254394347161764</v>
      </c>
      <c r="F102" s="366" t="s">
        <v>73</v>
      </c>
      <c r="G102" s="373">
        <f>ITE_LUC_Rates!Q93</f>
        <v>21864.3</v>
      </c>
      <c r="H102" s="499">
        <f t="shared" si="66"/>
        <v>10232.022054649835</v>
      </c>
      <c r="I102" s="487">
        <f>ITECountywide!$B$9*E102</f>
        <v>58.463687032601783</v>
      </c>
      <c r="J102" s="495">
        <f t="shared" si="67"/>
        <v>1.67</v>
      </c>
      <c r="K102" s="372">
        <f t="shared" si="68"/>
        <v>0.72504937644602452</v>
      </c>
      <c r="L102" s="488">
        <f>Passby_Length_Adj!H97</f>
        <v>0.45317220543806647</v>
      </c>
      <c r="M102" s="488">
        <f>Passby_Length_Adj!J97</f>
        <v>0.78</v>
      </c>
      <c r="N102" s="372">
        <v>0.5</v>
      </c>
      <c r="O102" s="481">
        <f t="shared" si="69"/>
        <v>0.17673716012084592</v>
      </c>
      <c r="P102" s="489">
        <f t="shared" si="70"/>
        <v>59.890570433730822</v>
      </c>
      <c r="Q102" s="490">
        <f t="shared" si="71"/>
        <v>35.862617026186122</v>
      </c>
      <c r="R102" s="491">
        <f t="shared" si="72"/>
        <v>261.71052631578948</v>
      </c>
      <c r="S102" s="500">
        <f t="shared" si="73"/>
        <v>9385.6243769847624</v>
      </c>
      <c r="T102" s="489">
        <f t="shared" si="74"/>
        <v>4.6230174492449798</v>
      </c>
      <c r="U102" s="493">
        <f t="shared" si="75"/>
        <v>154.50490219883392</v>
      </c>
      <c r="V102" s="500">
        <f t="shared" si="76"/>
        <v>714.27885885909825</v>
      </c>
      <c r="W102" s="489">
        <f t="shared" si="77"/>
        <v>3.4854320551534754</v>
      </c>
      <c r="X102" s="493">
        <f t="shared" si="78"/>
        <v>37.9060089869281</v>
      </c>
      <c r="Y102" s="763">
        <f t="shared" si="79"/>
        <v>132.11881880597491</v>
      </c>
      <c r="Z102" s="381"/>
    </row>
    <row r="103" spans="2:26" s="11" customFormat="1" ht="17.100000000000001" customHeight="1" x14ac:dyDescent="0.25">
      <c r="B103" s="741">
        <f>ITE_LUC_Rates!A94</f>
        <v>820</v>
      </c>
      <c r="C103" s="367" t="str">
        <f>ITE_LUC_Rates!B94</f>
        <v>Shopping Center General, 800,001 - 1,000,000gsf</v>
      </c>
      <c r="D103" s="366" t="str">
        <f>ITE_LUC_Rates!C94</f>
        <v>1000 GSF</v>
      </c>
      <c r="E103" s="365">
        <f>ITE_LUC_Rates!G94</f>
        <v>29.762037611107274</v>
      </c>
      <c r="F103" s="366" t="s">
        <v>73</v>
      </c>
      <c r="G103" s="373">
        <f>ITE_LUC_Rates!Q94</f>
        <v>20513.7</v>
      </c>
      <c r="H103" s="499">
        <f t="shared" si="66"/>
        <v>10651.807440419341</v>
      </c>
      <c r="I103" s="487">
        <f>ITECountywide!$B$9*E103</f>
        <v>53.946089751997178</v>
      </c>
      <c r="J103" s="495">
        <f t="shared" si="67"/>
        <v>1.67</v>
      </c>
      <c r="K103" s="372">
        <f t="shared" si="68"/>
        <v>0.72504937644602452</v>
      </c>
      <c r="L103" s="488">
        <f>Passby_Length_Adj!H98</f>
        <v>0.49848942598187307</v>
      </c>
      <c r="M103" s="488">
        <f>Passby_Length_Adj!J98</f>
        <v>0.8</v>
      </c>
      <c r="N103" s="372">
        <v>0.5</v>
      </c>
      <c r="O103" s="481">
        <f t="shared" si="69"/>
        <v>0.19939577039274925</v>
      </c>
      <c r="P103" s="489">
        <f t="shared" si="70"/>
        <v>62.347678723685526</v>
      </c>
      <c r="Q103" s="490">
        <f t="shared" si="71"/>
        <v>37.33393935550032</v>
      </c>
      <c r="R103" s="491">
        <f t="shared" si="72"/>
        <v>261.71052631578948</v>
      </c>
      <c r="S103" s="500">
        <f t="shared" si="73"/>
        <v>9770.6849181697544</v>
      </c>
      <c r="T103" s="489">
        <f t="shared" si="74"/>
        <v>4.8126842768754514</v>
      </c>
      <c r="U103" s="493">
        <f t="shared" si="75"/>
        <v>154.50490219883392</v>
      </c>
      <c r="V103" s="500">
        <f t="shared" si="76"/>
        <v>743.5833135125074</v>
      </c>
      <c r="W103" s="489">
        <f t="shared" si="77"/>
        <v>3.6284275874179026</v>
      </c>
      <c r="X103" s="493">
        <f t="shared" si="78"/>
        <v>37.9060089869281</v>
      </c>
      <c r="Y103" s="763">
        <f t="shared" si="79"/>
        <v>137.53920873708086</v>
      </c>
      <c r="Z103" s="381"/>
    </row>
    <row r="104" spans="2:26" s="11" customFormat="1" ht="17.100000000000001" customHeight="1" x14ac:dyDescent="0.25">
      <c r="B104" s="741">
        <f>ITE_LUC_Rates!A95</f>
        <v>820</v>
      </c>
      <c r="C104" s="367" t="str">
        <f>ITE_LUC_Rates!B95</f>
        <v>Shopping Center General, 1,000,001 - 1,200,000gsf</v>
      </c>
      <c r="D104" s="366" t="str">
        <f>ITE_LUC_Rates!C95</f>
        <v>1000 GSF</v>
      </c>
      <c r="E104" s="365">
        <f>ITE_LUC_Rates!G95</f>
        <v>27.910949113552771</v>
      </c>
      <c r="F104" s="366" t="s">
        <v>73</v>
      </c>
      <c r="G104" s="373">
        <f>ITE_LUC_Rates!Q95</f>
        <v>19521.3</v>
      </c>
      <c r="H104" s="499">
        <f t="shared" si="66"/>
        <v>10420.660802609806</v>
      </c>
      <c r="I104" s="487">
        <f>ITECountywide!$B$9*E104</f>
        <v>50.590842791664826</v>
      </c>
      <c r="J104" s="495">
        <f t="shared" si="67"/>
        <v>1.67</v>
      </c>
      <c r="K104" s="372">
        <f t="shared" si="68"/>
        <v>0.72504937644602452</v>
      </c>
      <c r="L104" s="488">
        <f>Passby_Length_Adj!H99</f>
        <v>0.51359516616314194</v>
      </c>
      <c r="M104" s="488">
        <f>Passby_Length_Adj!J99</f>
        <v>0.81</v>
      </c>
      <c r="N104" s="372">
        <v>0.5</v>
      </c>
      <c r="O104" s="481">
        <f t="shared" si="69"/>
        <v>0.2080060422960725</v>
      </c>
      <c r="P104" s="489">
        <f t="shared" si="70"/>
        <v>60.994719951869634</v>
      </c>
      <c r="Q104" s="490">
        <f t="shared" si="71"/>
        <v>36.523784402317148</v>
      </c>
      <c r="R104" s="491">
        <f t="shared" si="72"/>
        <v>261.71052631578948</v>
      </c>
      <c r="S104" s="500">
        <f t="shared" si="73"/>
        <v>9558.6588389748431</v>
      </c>
      <c r="T104" s="489">
        <f t="shared" si="74"/>
        <v>4.7082479363143808</v>
      </c>
      <c r="U104" s="493">
        <f t="shared" si="75"/>
        <v>154.50490219883392</v>
      </c>
      <c r="V104" s="500">
        <f t="shared" si="76"/>
        <v>727.44738692811507</v>
      </c>
      <c r="W104" s="489">
        <f t="shared" si="77"/>
        <v>3.5496898856655692</v>
      </c>
      <c r="X104" s="493">
        <f t="shared" si="78"/>
        <v>37.9060089869281</v>
      </c>
      <c r="Y104" s="763">
        <f t="shared" si="79"/>
        <v>134.55457670684686</v>
      </c>
      <c r="Z104" s="381"/>
    </row>
    <row r="105" spans="2:26" s="11" customFormat="1" ht="17.100000000000001" customHeight="1" x14ac:dyDescent="0.25">
      <c r="B105" s="741">
        <f>ITE_LUC_Rates!A96</f>
        <v>820</v>
      </c>
      <c r="C105" s="367" t="str">
        <f>ITE_LUC_Rates!B96</f>
        <v>Shopping Center General, 1,200,001 gsf - more</v>
      </c>
      <c r="D105" s="366" t="str">
        <f>ITE_LUC_Rates!C96</f>
        <v>1000 GSF</v>
      </c>
      <c r="E105" s="365">
        <f>ITE_LUC_Rates!G96</f>
        <v>26.458084032221276</v>
      </c>
      <c r="F105" s="366" t="s">
        <v>73</v>
      </c>
      <c r="G105" s="373">
        <f>ITE_LUC_Rates!Q96</f>
        <v>19248.8</v>
      </c>
      <c r="H105" s="499">
        <f t="shared" si="66"/>
        <v>10294.304420871402</v>
      </c>
      <c r="I105" s="487">
        <f>ITECountywide!$B$9*E105</f>
        <v>47.957407840094127</v>
      </c>
      <c r="J105" s="495">
        <f t="shared" si="67"/>
        <v>1.67</v>
      </c>
      <c r="K105" s="372">
        <f t="shared" si="68"/>
        <v>0.72504937644602452</v>
      </c>
      <c r="L105" s="488">
        <f>Passby_Length_Adj!H100</f>
        <v>0.52870090634441091</v>
      </c>
      <c r="M105" s="488">
        <f>Passby_Length_Adj!J100</f>
        <v>0.82</v>
      </c>
      <c r="N105" s="372">
        <v>0.5</v>
      </c>
      <c r="O105" s="481">
        <f t="shared" si="69"/>
        <v>0.21676737160120846</v>
      </c>
      <c r="P105" s="489">
        <f t="shared" si="70"/>
        <v>60.255124616770033</v>
      </c>
      <c r="Q105" s="490">
        <f t="shared" si="71"/>
        <v>36.080912944173676</v>
      </c>
      <c r="R105" s="491">
        <f t="shared" si="72"/>
        <v>261.71052631578948</v>
      </c>
      <c r="S105" s="500">
        <f t="shared" si="73"/>
        <v>9442.7547165738742</v>
      </c>
      <c r="T105" s="489">
        <f t="shared" si="74"/>
        <v>4.6511577781344888</v>
      </c>
      <c r="U105" s="493">
        <f t="shared" si="75"/>
        <v>154.50490219883392</v>
      </c>
      <c r="V105" s="500">
        <f t="shared" si="76"/>
        <v>718.62667762201488</v>
      </c>
      <c r="W105" s="489">
        <f t="shared" si="77"/>
        <v>3.5066478964153505</v>
      </c>
      <c r="X105" s="493">
        <f t="shared" si="78"/>
        <v>37.9060089869281</v>
      </c>
      <c r="Y105" s="763">
        <f t="shared" si="79"/>
        <v>132.9230266755128</v>
      </c>
      <c r="Z105" s="381"/>
    </row>
    <row r="106" spans="2:26" s="11" customFormat="1" ht="17.100000000000001" customHeight="1" x14ac:dyDescent="0.25">
      <c r="B106" s="741">
        <f>ITE_LUC_Rates!A97</f>
        <v>823</v>
      </c>
      <c r="C106" s="367" t="str">
        <f>ITE_LUC_Rates!B97</f>
        <v>Factory Outlet Center</v>
      </c>
      <c r="D106" s="366" t="str">
        <f>ITE_LUC_Rates!C97</f>
        <v>1000 GSF</v>
      </c>
      <c r="E106" s="365">
        <f>ITE_LUC_Rates!G97</f>
        <v>26.59</v>
      </c>
      <c r="F106" s="366" t="s">
        <v>73</v>
      </c>
      <c r="G106" s="373">
        <f>ITE_LUC_Rates!Q97</f>
        <v>0</v>
      </c>
      <c r="H106" s="499">
        <f t="shared" si="66"/>
        <v>23863.439812735643</v>
      </c>
      <c r="I106" s="487">
        <f>ITECountywide!$B$9*E106</f>
        <v>48.196516154198832</v>
      </c>
      <c r="J106" s="495">
        <f t="shared" si="67"/>
        <v>1.67</v>
      </c>
      <c r="K106" s="372">
        <f t="shared" si="68"/>
        <v>0.72504937644602452</v>
      </c>
      <c r="L106" s="488">
        <f>Passby_Length_Adj!H101</f>
        <v>1</v>
      </c>
      <c r="M106" s="488">
        <f>Passby_Length_Adj!J101</f>
        <v>1</v>
      </c>
      <c r="N106" s="372">
        <v>0.5</v>
      </c>
      <c r="O106" s="481">
        <f t="shared" si="69"/>
        <v>0.5</v>
      </c>
      <c r="P106" s="489">
        <f t="shared" si="70"/>
        <v>139.67864956333409</v>
      </c>
      <c r="Q106" s="490">
        <f t="shared" si="71"/>
        <v>83.639909918164136</v>
      </c>
      <c r="R106" s="491">
        <f t="shared" si="72"/>
        <v>261.71052631578948</v>
      </c>
      <c r="S106" s="500">
        <f t="shared" si="73"/>
        <v>21889.444845687958</v>
      </c>
      <c r="T106" s="489">
        <f t="shared" si="74"/>
        <v>10.781944962985095</v>
      </c>
      <c r="U106" s="493">
        <f t="shared" si="75"/>
        <v>154.50490219883392</v>
      </c>
      <c r="V106" s="500">
        <f t="shared" si="76"/>
        <v>1665.8633520192222</v>
      </c>
      <c r="W106" s="489">
        <f t="shared" si="77"/>
        <v>8.1288329545514149</v>
      </c>
      <c r="X106" s="493">
        <f t="shared" si="78"/>
        <v>37.9060089869281</v>
      </c>
      <c r="Y106" s="763">
        <f t="shared" si="79"/>
        <v>308.13161502846322</v>
      </c>
      <c r="Z106" s="381"/>
    </row>
    <row r="107" spans="2:26" s="11" customFormat="1" ht="17.100000000000001" customHeight="1" x14ac:dyDescent="0.25">
      <c r="B107" s="741">
        <f>ITE_LUC_Rates!A98</f>
        <v>840</v>
      </c>
      <c r="C107" s="367" t="str">
        <f>ITE_LUC_Rates!B98</f>
        <v>Auto Sales (New)</v>
      </c>
      <c r="D107" s="366" t="str">
        <f>ITE_LUC_Rates!C98</f>
        <v>1000 GSF</v>
      </c>
      <c r="E107" s="365">
        <f>ITE_LUC_Rates!G98</f>
        <v>27.84</v>
      </c>
      <c r="F107" s="366" t="s">
        <v>73</v>
      </c>
      <c r="G107" s="373">
        <f>ITE_LUC_Rates!Q98</f>
        <v>24316.7</v>
      </c>
      <c r="H107" s="499">
        <f t="shared" si="66"/>
        <v>13628.668817865728</v>
      </c>
      <c r="I107" s="487">
        <f>ITECountywide!$B$9*E107</f>
        <v>50.462241810187869</v>
      </c>
      <c r="J107" s="495">
        <f t="shared" si="67"/>
        <v>1.67</v>
      </c>
      <c r="K107" s="372">
        <f t="shared" si="68"/>
        <v>0.72504937644602452</v>
      </c>
      <c r="L107" s="488">
        <f>Passby_Length_Adj!H102</f>
        <v>0.69486404833836857</v>
      </c>
      <c r="M107" s="488">
        <f>Passby_Length_Adj!J102</f>
        <v>0.78500000000000003</v>
      </c>
      <c r="N107" s="372">
        <v>0.5</v>
      </c>
      <c r="O107" s="481">
        <f t="shared" si="69"/>
        <v>0.27273413897280968</v>
      </c>
      <c r="P107" s="489">
        <f t="shared" si="70"/>
        <v>79.771988898660723</v>
      </c>
      <c r="Q107" s="490">
        <f t="shared" si="71"/>
        <v>47.767658023150133</v>
      </c>
      <c r="R107" s="491">
        <f t="shared" si="72"/>
        <v>261.71052631578948</v>
      </c>
      <c r="S107" s="500">
        <f t="shared" si="73"/>
        <v>12501.298922111266</v>
      </c>
      <c r="T107" s="489">
        <f t="shared" si="74"/>
        <v>6.1576854915340977</v>
      </c>
      <c r="U107" s="493">
        <f t="shared" si="75"/>
        <v>154.50490219883392</v>
      </c>
      <c r="V107" s="500">
        <f t="shared" si="76"/>
        <v>951.39259464065435</v>
      </c>
      <c r="W107" s="489">
        <f t="shared" si="77"/>
        <v>4.6424645014592336</v>
      </c>
      <c r="X107" s="493">
        <f t="shared" si="78"/>
        <v>37.9060089869281</v>
      </c>
      <c r="Y107" s="763">
        <f t="shared" si="79"/>
        <v>175.97730111380838</v>
      </c>
      <c r="Z107" s="381"/>
    </row>
    <row r="108" spans="2:26" s="11" customFormat="1" ht="17.100000000000001" customHeight="1" x14ac:dyDescent="0.25">
      <c r="B108" s="741">
        <f>ITE_LUC_Rates!A99</f>
        <v>843</v>
      </c>
      <c r="C108" s="367" t="str">
        <f>ITE_LUC_Rates!B99</f>
        <v>Auto Parts Sales</v>
      </c>
      <c r="D108" s="366" t="str">
        <f>ITE_LUC_Rates!C99</f>
        <v>1000 GSF</v>
      </c>
      <c r="E108" s="365">
        <f>ITE_LUC_Rates!G99</f>
        <v>55.34</v>
      </c>
      <c r="F108" s="366" t="s">
        <v>73</v>
      </c>
      <c r="G108" s="373">
        <f>ITE_LUC_Rates!Q99</f>
        <v>15535</v>
      </c>
      <c r="H108" s="499">
        <f t="shared" si="66"/>
        <v>27090.895559651202</v>
      </c>
      <c r="I108" s="487">
        <f>ITECountywide!$B$9*E108</f>
        <v>100.30820624194673</v>
      </c>
      <c r="J108" s="495">
        <f t="shared" si="67"/>
        <v>1.67</v>
      </c>
      <c r="K108" s="372">
        <f t="shared" si="68"/>
        <v>0.72504937644602452</v>
      </c>
      <c r="L108" s="488">
        <f>Passby_Length_Adj!H103</f>
        <v>0.69486404833836857</v>
      </c>
      <c r="M108" s="488">
        <f>Passby_Length_Adj!J103</f>
        <v>0.78500000000000003</v>
      </c>
      <c r="N108" s="372">
        <v>0.5</v>
      </c>
      <c r="O108" s="481">
        <f t="shared" si="69"/>
        <v>0.27273413897280968</v>
      </c>
      <c r="P108" s="489">
        <f t="shared" si="70"/>
        <v>158.56975092140391</v>
      </c>
      <c r="Q108" s="490">
        <f t="shared" si="71"/>
        <v>94.951946659523301</v>
      </c>
      <c r="R108" s="491">
        <f t="shared" si="72"/>
        <v>261.71052631578948</v>
      </c>
      <c r="S108" s="500">
        <f t="shared" si="73"/>
        <v>24849.923934972612</v>
      </c>
      <c r="T108" s="489">
        <f t="shared" si="74"/>
        <v>12.240169364277913</v>
      </c>
      <c r="U108" s="493">
        <f t="shared" si="75"/>
        <v>154.50490219883392</v>
      </c>
      <c r="V108" s="500">
        <f t="shared" si="76"/>
        <v>1891.1661705249221</v>
      </c>
      <c r="W108" s="489">
        <f t="shared" si="77"/>
        <v>9.2282322381736357</v>
      </c>
      <c r="X108" s="493">
        <f t="shared" si="78"/>
        <v>37.9060089869281</v>
      </c>
      <c r="Y108" s="763">
        <f t="shared" si="79"/>
        <v>349.80545415366947</v>
      </c>
      <c r="Z108" s="381"/>
    </row>
    <row r="109" spans="2:26" s="11" customFormat="1" ht="17.100000000000001" customHeight="1" x14ac:dyDescent="0.25">
      <c r="B109" s="741">
        <f>ITE_LUC_Rates!A100</f>
        <v>848</v>
      </c>
      <c r="C109" s="367" t="str">
        <f>ITE_LUC_Rates!B100</f>
        <v>Tire sales</v>
      </c>
      <c r="D109" s="366" t="str">
        <f>ITE_LUC_Rates!C100</f>
        <v>1000 GSF</v>
      </c>
      <c r="E109" s="365">
        <f>ITE_LUC_Rates!G100</f>
        <v>28.52</v>
      </c>
      <c r="F109" s="366" t="s">
        <v>73</v>
      </c>
      <c r="G109" s="373">
        <f>ITE_LUC_Rates!Q100</f>
        <v>24027.4</v>
      </c>
      <c r="H109" s="499">
        <f t="shared" si="66"/>
        <v>21998.522589602791</v>
      </c>
      <c r="I109" s="487">
        <f>ITECountywide!$B$9*E109</f>
        <v>51.694796567045906</v>
      </c>
      <c r="J109" s="495">
        <f t="shared" si="67"/>
        <v>1.67</v>
      </c>
      <c r="K109" s="372">
        <f t="shared" si="68"/>
        <v>0.72504937644602452</v>
      </c>
      <c r="L109" s="488">
        <f>Passby_Length_Adj!H104</f>
        <v>0.8594671567024027</v>
      </c>
      <c r="M109" s="488">
        <f>Passby_Length_Adj!J104</f>
        <v>1</v>
      </c>
      <c r="N109" s="372">
        <v>0.5</v>
      </c>
      <c r="O109" s="481">
        <f t="shared" si="69"/>
        <v>0.42973357835120135</v>
      </c>
      <c r="P109" s="489">
        <f t="shared" si="70"/>
        <v>128.76282513405044</v>
      </c>
      <c r="Q109" s="490">
        <f t="shared" si="71"/>
        <v>77.103488104221825</v>
      </c>
      <c r="R109" s="491">
        <f t="shared" si="72"/>
        <v>261.71052631578948</v>
      </c>
      <c r="S109" s="500">
        <f t="shared" si="73"/>
        <v>20178.794452539107</v>
      </c>
      <c r="T109" s="489">
        <f t="shared" si="74"/>
        <v>9.9393407526059079</v>
      </c>
      <c r="U109" s="493">
        <f t="shared" si="75"/>
        <v>154.50490219883392</v>
      </c>
      <c r="V109" s="500">
        <f t="shared" si="76"/>
        <v>1535.6768709022601</v>
      </c>
      <c r="W109" s="489">
        <f t="shared" si="77"/>
        <v>7.4935682693310399</v>
      </c>
      <c r="X109" s="493">
        <f t="shared" si="78"/>
        <v>37.9060089869281</v>
      </c>
      <c r="Y109" s="763">
        <f t="shared" si="79"/>
        <v>284.05126616142167</v>
      </c>
      <c r="Z109" s="381"/>
    </row>
    <row r="110" spans="2:26" s="11" customFormat="1" ht="17.100000000000001" customHeight="1" x14ac:dyDescent="0.25">
      <c r="B110" s="741">
        <f>ITE_LUC_Rates!A101</f>
        <v>850</v>
      </c>
      <c r="C110" s="367" t="str">
        <f>ITE_LUC_Rates!B101</f>
        <v>Supermarket (free standing)</v>
      </c>
      <c r="D110" s="366" t="str">
        <f>ITE_LUC_Rates!C101</f>
        <v>1000 GSF</v>
      </c>
      <c r="E110" s="365">
        <f>ITE_LUC_Rates!G101</f>
        <v>106.78</v>
      </c>
      <c r="F110" s="366" t="s">
        <v>73</v>
      </c>
      <c r="G110" s="373">
        <f>ITE_LUC_Rates!Q101</f>
        <v>19750</v>
      </c>
      <c r="H110" s="499">
        <f t="shared" si="66"/>
        <v>16861.569512036967</v>
      </c>
      <c r="I110" s="487">
        <f>ITECountywide!$B$9*E110</f>
        <v>193.54734843720766</v>
      </c>
      <c r="J110" s="495">
        <f t="shared" si="67"/>
        <v>1.67</v>
      </c>
      <c r="K110" s="372">
        <f t="shared" si="68"/>
        <v>0.72504937644602452</v>
      </c>
      <c r="L110" s="488">
        <f>Passby_Length_Adj!H105</f>
        <v>0.31419939577039274</v>
      </c>
      <c r="M110" s="488">
        <f>Passby_Length_Adj!J105</f>
        <v>0.56000000000000005</v>
      </c>
      <c r="N110" s="372">
        <v>0.5</v>
      </c>
      <c r="O110" s="481">
        <f t="shared" si="69"/>
        <v>8.7975830815709977E-2</v>
      </c>
      <c r="P110" s="489">
        <f t="shared" si="70"/>
        <v>98.694960887519088</v>
      </c>
      <c r="Q110" s="490">
        <f t="shared" si="71"/>
        <v>59.098778974562329</v>
      </c>
      <c r="R110" s="491">
        <f t="shared" si="72"/>
        <v>261.71052631578948</v>
      </c>
      <c r="S110" s="500">
        <f t="shared" si="73"/>
        <v>15466.77255005322</v>
      </c>
      <c r="T110" s="489">
        <f t="shared" si="74"/>
        <v>7.6183700210438738</v>
      </c>
      <c r="U110" s="493">
        <f t="shared" si="75"/>
        <v>154.50490219883392</v>
      </c>
      <c r="V110" s="500">
        <f t="shared" si="76"/>
        <v>1177.0755150159121</v>
      </c>
      <c r="W110" s="489">
        <f t="shared" si="77"/>
        <v>5.7437185498192749</v>
      </c>
      <c r="X110" s="493">
        <f t="shared" si="78"/>
        <v>37.9060089869281</v>
      </c>
      <c r="Y110" s="763">
        <f t="shared" si="79"/>
        <v>217.72144696783508</v>
      </c>
      <c r="Z110" s="381"/>
    </row>
    <row r="111" spans="2:26" s="11" customFormat="1" ht="17.100000000000001" customHeight="1" x14ac:dyDescent="0.25">
      <c r="B111" s="741">
        <f>ITE_LUC_Rates!A102</f>
        <v>851</v>
      </c>
      <c r="C111" s="367" t="str">
        <f>ITE_LUC_Rates!B102</f>
        <v>Convenience market</v>
      </c>
      <c r="D111" s="366" t="str">
        <f>ITE_LUC_Rates!C102</f>
        <v>1000 GSF</v>
      </c>
      <c r="E111" s="365">
        <f>ITE_LUC_Rates!G102</f>
        <v>762.28</v>
      </c>
      <c r="F111" s="366" t="s">
        <v>73</v>
      </c>
      <c r="G111" s="373">
        <f>ITE_LUC_Rates!Q102</f>
        <v>52868.6</v>
      </c>
      <c r="H111" s="499">
        <f t="shared" si="66"/>
        <v>152516.35109092688</v>
      </c>
      <c r="I111" s="487">
        <f>ITECountywide!$B$9*E111</f>
        <v>1381.6938824378594</v>
      </c>
      <c r="J111" s="495">
        <f t="shared" si="67"/>
        <v>1.67</v>
      </c>
      <c r="K111" s="372">
        <f t="shared" si="68"/>
        <v>0.72504937644602452</v>
      </c>
      <c r="L111" s="488">
        <f>Passby_Length_Adj!H106</f>
        <v>0.32930513595166166</v>
      </c>
      <c r="M111" s="488">
        <f>Passby_Length_Adj!J106</f>
        <v>0.67700000000000005</v>
      </c>
      <c r="N111" s="372">
        <v>0.5</v>
      </c>
      <c r="O111" s="481">
        <f t="shared" si="69"/>
        <v>0.11146978851963749</v>
      </c>
      <c r="P111" s="489">
        <f t="shared" si="70"/>
        <v>892.71614335074582</v>
      </c>
      <c r="Q111" s="490">
        <f t="shared" si="71"/>
        <v>534.56056488068612</v>
      </c>
      <c r="R111" s="491">
        <f t="shared" si="72"/>
        <v>261.71052631578948</v>
      </c>
      <c r="S111" s="500">
        <f t="shared" si="73"/>
        <v>139900.12678259009</v>
      </c>
      <c r="T111" s="489">
        <f t="shared" si="74"/>
        <v>68.909717807743547</v>
      </c>
      <c r="U111" s="493">
        <f t="shared" si="75"/>
        <v>154.50490219883392</v>
      </c>
      <c r="V111" s="500">
        <f t="shared" si="76"/>
        <v>10646.889210434661</v>
      </c>
      <c r="W111" s="489">
        <f t="shared" si="77"/>
        <v>51.953111143440601</v>
      </c>
      <c r="X111" s="493">
        <f t="shared" si="78"/>
        <v>37.9060089869281</v>
      </c>
      <c r="Y111" s="763">
        <f t="shared" si="79"/>
        <v>1969.3350979021338</v>
      </c>
      <c r="Z111" s="381"/>
    </row>
    <row r="112" spans="2:26" s="11" customFormat="1" ht="17.100000000000001" customHeight="1" x14ac:dyDescent="0.25">
      <c r="B112" s="741">
        <f>ITE_LUC_Rates!A103</f>
        <v>853</v>
      </c>
      <c r="C112" s="367" t="str">
        <f>ITE_LUC_Rates!B103</f>
        <v>Convenience market with Gasoline Pump</v>
      </c>
      <c r="D112" s="366" t="str">
        <f>ITE_LUC_Rates!C103</f>
        <v>1000 GSF</v>
      </c>
      <c r="E112" s="365">
        <f>ITE_LUC_Rates!G103</f>
        <v>624.20000000000005</v>
      </c>
      <c r="F112" s="366" t="s">
        <v>73</v>
      </c>
      <c r="G112" s="373">
        <f>ITE_LUC_Rates!Q103</f>
        <v>60577.2</v>
      </c>
      <c r="H112" s="499">
        <f t="shared" si="66"/>
        <v>124889.41904674997</v>
      </c>
      <c r="I112" s="487">
        <f>ITECountywide!$B$9*E112</f>
        <v>1131.4127635746866</v>
      </c>
      <c r="J112" s="495">
        <f t="shared" si="67"/>
        <v>1.67</v>
      </c>
      <c r="K112" s="372">
        <f t="shared" si="68"/>
        <v>0.72504937644602452</v>
      </c>
      <c r="L112" s="488">
        <f>Passby_Length_Adj!H107</f>
        <v>0.32930513595166166</v>
      </c>
      <c r="M112" s="488">
        <f>Passby_Length_Adj!J107</f>
        <v>0.67700000000000005</v>
      </c>
      <c r="N112" s="372">
        <v>0.5</v>
      </c>
      <c r="O112" s="481">
        <f t="shared" si="69"/>
        <v>0.11146978851963749</v>
      </c>
      <c r="P112" s="489">
        <f t="shared" si="70"/>
        <v>731.00883753940229</v>
      </c>
      <c r="Q112" s="490">
        <f t="shared" si="71"/>
        <v>437.72984283796546</v>
      </c>
      <c r="R112" s="491">
        <f t="shared" si="72"/>
        <v>261.71052631578948</v>
      </c>
      <c r="S112" s="500">
        <f t="shared" si="73"/>
        <v>114558.50755325175</v>
      </c>
      <c r="T112" s="489">
        <f t="shared" si="74"/>
        <v>56.427357212039574</v>
      </c>
      <c r="U112" s="493">
        <f t="shared" si="75"/>
        <v>154.50490219883392</v>
      </c>
      <c r="V112" s="500">
        <f t="shared" si="76"/>
        <v>8718.3033073848401</v>
      </c>
      <c r="W112" s="489">
        <f t="shared" si="77"/>
        <v>42.54228364345861</v>
      </c>
      <c r="X112" s="493">
        <f t="shared" si="78"/>
        <v>37.9060089869281</v>
      </c>
      <c r="Y112" s="763">
        <f t="shared" si="79"/>
        <v>1612.6081861133864</v>
      </c>
      <c r="Z112" s="381"/>
    </row>
    <row r="113" spans="2:26" s="11" customFormat="1" ht="17.100000000000001" customHeight="1" x14ac:dyDescent="0.25">
      <c r="B113" s="741">
        <f>ITE_LUC_Rates!A104</f>
        <v>857</v>
      </c>
      <c r="C113" s="367" t="str">
        <f>ITE_LUC_Rates!B104</f>
        <v>Discount Club</v>
      </c>
      <c r="D113" s="366" t="str">
        <f>ITE_LUC_Rates!C104</f>
        <v>1000 GSF</v>
      </c>
      <c r="E113" s="365">
        <f>ITE_LUC_Rates!G104</f>
        <v>41.8</v>
      </c>
      <c r="F113" s="366" t="s">
        <v>73</v>
      </c>
      <c r="G113" s="373">
        <f>ITE_LUC_Rates!Q104</f>
        <v>0</v>
      </c>
      <c r="H113" s="499">
        <f t="shared" si="66"/>
        <v>32241.873921647843</v>
      </c>
      <c r="I113" s="487">
        <f>ITECountywide!$B$9*E113</f>
        <v>75.765865936273457</v>
      </c>
      <c r="J113" s="495">
        <f t="shared" si="67"/>
        <v>1.67</v>
      </c>
      <c r="K113" s="372">
        <f t="shared" si="68"/>
        <v>0.72504937644602452</v>
      </c>
      <c r="L113" s="488">
        <f>Passby_Length_Adj!H108</f>
        <v>0.8594671567024027</v>
      </c>
      <c r="M113" s="488">
        <f>Passby_Length_Adj!J108</f>
        <v>1</v>
      </c>
      <c r="N113" s="372">
        <v>0.5</v>
      </c>
      <c r="O113" s="481">
        <f t="shared" si="69"/>
        <v>0.42973357835120135</v>
      </c>
      <c r="P113" s="489">
        <f t="shared" si="70"/>
        <v>188.71970864667981</v>
      </c>
      <c r="Q113" s="490">
        <f t="shared" si="71"/>
        <v>113.00581356088611</v>
      </c>
      <c r="R113" s="491">
        <f t="shared" si="72"/>
        <v>261.71052631578948</v>
      </c>
      <c r="S113" s="500">
        <f t="shared" si="73"/>
        <v>29574.810943763485</v>
      </c>
      <c r="T113" s="489">
        <f t="shared" si="74"/>
        <v>14.56747697962577</v>
      </c>
      <c r="U113" s="493">
        <f t="shared" si="75"/>
        <v>154.50490219883392</v>
      </c>
      <c r="V113" s="500">
        <f t="shared" si="76"/>
        <v>2250.746606020844</v>
      </c>
      <c r="W113" s="489">
        <f t="shared" si="77"/>
        <v>10.982859525176631</v>
      </c>
      <c r="X113" s="493">
        <f t="shared" si="78"/>
        <v>37.9060089869281</v>
      </c>
      <c r="Y113" s="763">
        <f t="shared" si="79"/>
        <v>416.31637186351423</v>
      </c>
      <c r="Z113" s="381"/>
    </row>
    <row r="114" spans="2:26" s="11" customFormat="1" ht="17.100000000000001" customHeight="1" x14ac:dyDescent="0.25">
      <c r="B114" s="741">
        <f>ITE_LUC_Rates!A105</f>
        <v>861</v>
      </c>
      <c r="C114" s="367" t="str">
        <f>ITE_LUC_Rates!B105</f>
        <v>Sporting Goods Superstore</v>
      </c>
      <c r="D114" s="366" t="str">
        <f>ITE_LUC_Rates!C105</f>
        <v>1000 GSF</v>
      </c>
      <c r="E114" s="365">
        <f>ITE_LUC_Rates!G105</f>
        <v>28.75</v>
      </c>
      <c r="F114" s="366" t="s">
        <v>73</v>
      </c>
      <c r="G114" s="373">
        <f>ITE_LUC_Rates!Q105</f>
        <v>0</v>
      </c>
      <c r="H114" s="499">
        <f t="shared" si="66"/>
        <v>22175.930029841522</v>
      </c>
      <c r="I114" s="487">
        <f>ITECountywide!$B$9*E114</f>
        <v>52.111690087747888</v>
      </c>
      <c r="J114" s="495">
        <f t="shared" si="67"/>
        <v>1.67</v>
      </c>
      <c r="K114" s="372">
        <f t="shared" si="68"/>
        <v>0.72504937644602452</v>
      </c>
      <c r="L114" s="488">
        <f>Passby_Length_Adj!H109</f>
        <v>0.8594671567024027</v>
      </c>
      <c r="M114" s="488">
        <f>Passby_Length_Adj!J109</f>
        <v>1</v>
      </c>
      <c r="N114" s="372">
        <v>0.5</v>
      </c>
      <c r="O114" s="481">
        <f t="shared" si="69"/>
        <v>0.42973357835120135</v>
      </c>
      <c r="P114" s="489">
        <f t="shared" si="70"/>
        <v>129.80123501416375</v>
      </c>
      <c r="Q114" s="490">
        <f t="shared" si="71"/>
        <v>77.725290427642975</v>
      </c>
      <c r="R114" s="491">
        <f t="shared" si="72"/>
        <v>261.71052631578948</v>
      </c>
      <c r="S114" s="500">
        <f t="shared" si="73"/>
        <v>20341.526665866037</v>
      </c>
      <c r="T114" s="489">
        <f t="shared" si="74"/>
        <v>10.019496726417245</v>
      </c>
      <c r="U114" s="493">
        <f t="shared" si="75"/>
        <v>154.50490219883392</v>
      </c>
      <c r="V114" s="500">
        <f t="shared" si="76"/>
        <v>1548.061361796633</v>
      </c>
      <c r="W114" s="489">
        <f t="shared" si="77"/>
        <v>7.5540002715030647</v>
      </c>
      <c r="X114" s="493">
        <f t="shared" si="78"/>
        <v>37.9060089869281</v>
      </c>
      <c r="Y114" s="763">
        <f t="shared" si="79"/>
        <v>286.34200217885245</v>
      </c>
      <c r="Z114" s="381"/>
    </row>
    <row r="115" spans="2:26" s="11" customFormat="1" ht="17.100000000000001" customHeight="1" x14ac:dyDescent="0.25">
      <c r="B115" s="741">
        <f>ITE_LUC_Rates!A106</f>
        <v>862</v>
      </c>
      <c r="C115" s="367" t="str">
        <f>ITE_LUC_Rates!B106</f>
        <v>Home Improvements Superstore</v>
      </c>
      <c r="D115" s="366" t="str">
        <f>ITE_LUC_Rates!C106</f>
        <v>1000 GSF</v>
      </c>
      <c r="E115" s="365">
        <f>ITE_LUC_Rates!G106</f>
        <v>30.74</v>
      </c>
      <c r="F115" s="366" t="s">
        <v>73</v>
      </c>
      <c r="G115" s="373">
        <f>ITE_LUC_Rates!Q106</f>
        <v>22273</v>
      </c>
      <c r="H115" s="499">
        <f t="shared" si="66"/>
        <v>23710.890056254902</v>
      </c>
      <c r="I115" s="487">
        <f>ITECountywide!$B$9*E115</f>
        <v>55.718725332082435</v>
      </c>
      <c r="J115" s="495">
        <f t="shared" si="67"/>
        <v>1.67</v>
      </c>
      <c r="K115" s="372">
        <f t="shared" si="68"/>
        <v>0.72504937644602452</v>
      </c>
      <c r="L115" s="488">
        <f>Passby_Length_Adj!H110</f>
        <v>0.8594671567024027</v>
      </c>
      <c r="M115" s="488">
        <f>Passby_Length_Adj!J110</f>
        <v>1</v>
      </c>
      <c r="N115" s="372">
        <v>0.5</v>
      </c>
      <c r="O115" s="481">
        <f t="shared" si="69"/>
        <v>0.42973357835120135</v>
      </c>
      <c r="P115" s="489">
        <f t="shared" si="70"/>
        <v>138.78573788992674</v>
      </c>
      <c r="Q115" s="490">
        <f t="shared" si="71"/>
        <v>83.105232269417215</v>
      </c>
      <c r="R115" s="491">
        <f t="shared" si="72"/>
        <v>261.71052631578948</v>
      </c>
      <c r="S115" s="500">
        <f t="shared" si="73"/>
        <v>21749.514076825111</v>
      </c>
      <c r="T115" s="489">
        <f t="shared" si="74"/>
        <v>10.713020152002299</v>
      </c>
      <c r="U115" s="493">
        <f t="shared" si="75"/>
        <v>154.50490219883392</v>
      </c>
      <c r="V115" s="500">
        <f t="shared" si="76"/>
        <v>1655.214130839252</v>
      </c>
      <c r="W115" s="489">
        <f t="shared" si="77"/>
        <v>8.0768684642088431</v>
      </c>
      <c r="X115" s="493">
        <f t="shared" si="78"/>
        <v>37.9060089869281</v>
      </c>
      <c r="Y115" s="763">
        <f t="shared" si="79"/>
        <v>306.16184859053658</v>
      </c>
      <c r="Z115" s="381"/>
    </row>
    <row r="116" spans="2:26" s="11" customFormat="1" ht="17.100000000000001" customHeight="1" x14ac:dyDescent="0.25">
      <c r="B116" s="741">
        <f>ITE_LUC_Rates!A107</f>
        <v>863</v>
      </c>
      <c r="C116" s="367" t="str">
        <f>ITE_LUC_Rates!B107</f>
        <v>Electronics Superstore</v>
      </c>
      <c r="D116" s="366" t="str">
        <f>ITE_LUC_Rates!C107</f>
        <v>1000 GSF</v>
      </c>
      <c r="E116" s="365">
        <f>ITE_LUC_Rates!G107</f>
        <v>41.05</v>
      </c>
      <c r="F116" s="366" t="s">
        <v>73</v>
      </c>
      <c r="G116" s="373">
        <f>ITE_LUC_Rates!Q107</f>
        <v>0</v>
      </c>
      <c r="H116" s="499">
        <f t="shared" si="66"/>
        <v>31663.371399130239</v>
      </c>
      <c r="I116" s="487">
        <f>ITECountywide!$B$9*E116</f>
        <v>74.406430542680027</v>
      </c>
      <c r="J116" s="495">
        <f t="shared" si="67"/>
        <v>1.67</v>
      </c>
      <c r="K116" s="372">
        <f t="shared" si="68"/>
        <v>0.72504937644602452</v>
      </c>
      <c r="L116" s="488">
        <f>Passby_Length_Adj!H111</f>
        <v>0.8594671567024027</v>
      </c>
      <c r="M116" s="488">
        <f>Passby_Length_Adj!J111</f>
        <v>1</v>
      </c>
      <c r="N116" s="372">
        <v>0.5</v>
      </c>
      <c r="O116" s="481">
        <f t="shared" si="69"/>
        <v>0.42973357835120135</v>
      </c>
      <c r="P116" s="489">
        <f t="shared" si="70"/>
        <v>185.33358947239728</v>
      </c>
      <c r="Q116" s="490">
        <f t="shared" si="71"/>
        <v>110.97819728886066</v>
      </c>
      <c r="R116" s="491">
        <f t="shared" si="72"/>
        <v>261.71052631578948</v>
      </c>
      <c r="S116" s="500">
        <f t="shared" si="73"/>
        <v>29044.162422045243</v>
      </c>
      <c r="T116" s="489">
        <f t="shared" si="74"/>
        <v>14.306098804154015</v>
      </c>
      <c r="U116" s="493">
        <f t="shared" si="75"/>
        <v>154.50490219883392</v>
      </c>
      <c r="V116" s="500">
        <f t="shared" si="76"/>
        <v>2210.362396582671</v>
      </c>
      <c r="W116" s="489">
        <f t="shared" si="77"/>
        <v>10.785798648528724</v>
      </c>
      <c r="X116" s="493">
        <f t="shared" si="78"/>
        <v>37.9060089869281</v>
      </c>
      <c r="Y116" s="763">
        <f t="shared" si="79"/>
        <v>408.84658050232679</v>
      </c>
      <c r="Z116" s="381"/>
    </row>
    <row r="117" spans="2:26" s="11" customFormat="1" ht="17.100000000000001" customHeight="1" x14ac:dyDescent="0.25">
      <c r="B117" s="741">
        <f>ITE_LUC_Rates!A108</f>
        <v>868</v>
      </c>
      <c r="C117" s="367" t="str">
        <f>ITE_LUC_Rates!B108</f>
        <v>Book Superstore</v>
      </c>
      <c r="D117" s="366" t="str">
        <f>ITE_LUC_Rates!C108</f>
        <v>1000 GSF</v>
      </c>
      <c r="E117" s="365">
        <f>ITE_LUC_Rates!G108</f>
        <v>143.6</v>
      </c>
      <c r="F117" s="366" t="s">
        <v>73</v>
      </c>
      <c r="G117" s="373">
        <f>ITE_LUC_Rates!Q108</f>
        <v>0</v>
      </c>
      <c r="H117" s="499">
        <f t="shared" si="66"/>
        <v>110763.94964470407</v>
      </c>
      <c r="I117" s="487">
        <f>ITECountywide!$B$9*E117</f>
        <v>260.28656336002075</v>
      </c>
      <c r="J117" s="495">
        <f t="shared" si="67"/>
        <v>1.67</v>
      </c>
      <c r="K117" s="372">
        <f t="shared" si="68"/>
        <v>0.72504937644602452</v>
      </c>
      <c r="L117" s="488">
        <f>Passby_Length_Adj!H112</f>
        <v>0.8594671567024027</v>
      </c>
      <c r="M117" s="488">
        <f>Passby_Length_Adj!J112</f>
        <v>1</v>
      </c>
      <c r="N117" s="372">
        <v>0.5</v>
      </c>
      <c r="O117" s="481">
        <f t="shared" si="69"/>
        <v>0.42973357835120135</v>
      </c>
      <c r="P117" s="489">
        <f t="shared" si="70"/>
        <v>648.32895123596222</v>
      </c>
      <c r="Q117" s="490">
        <f t="shared" si="71"/>
        <v>388.22092888380973</v>
      </c>
      <c r="R117" s="491">
        <f t="shared" si="72"/>
        <v>261.71052631578948</v>
      </c>
      <c r="S117" s="500">
        <f t="shared" si="73"/>
        <v>101601.50362498652</v>
      </c>
      <c r="T117" s="489">
        <f t="shared" si="74"/>
        <v>50.04520799699187</v>
      </c>
      <c r="U117" s="493">
        <f t="shared" si="75"/>
        <v>154.50490219883392</v>
      </c>
      <c r="V117" s="500">
        <f t="shared" si="76"/>
        <v>7732.2299670955299</v>
      </c>
      <c r="W117" s="489">
        <f t="shared" si="77"/>
        <v>37.730589182185746</v>
      </c>
      <c r="X117" s="493">
        <f t="shared" si="78"/>
        <v>37.9060089869281</v>
      </c>
      <c r="Y117" s="763">
        <f t="shared" si="79"/>
        <v>1430.216052622025</v>
      </c>
      <c r="Z117" s="381"/>
    </row>
    <row r="118" spans="2:26" s="11" customFormat="1" ht="17.100000000000001" customHeight="1" x14ac:dyDescent="0.25">
      <c r="B118" s="741">
        <f>ITE_LUC_Rates!A109</f>
        <v>869</v>
      </c>
      <c r="C118" s="367" t="str">
        <f>ITE_LUC_Rates!B109</f>
        <v>Discount Home Furnishing Superstore</v>
      </c>
      <c r="D118" s="366" t="str">
        <f>ITE_LUC_Rates!C109</f>
        <v>1000 GSF</v>
      </c>
      <c r="E118" s="365">
        <f>ITE_LUC_Rates!G109</f>
        <v>20</v>
      </c>
      <c r="F118" s="366" t="s">
        <v>73</v>
      </c>
      <c r="G118" s="373">
        <f>ITE_LUC_Rates!Q109</f>
        <v>0</v>
      </c>
      <c r="H118" s="499">
        <f t="shared" si="66"/>
        <v>15426.7339338028</v>
      </c>
      <c r="I118" s="487">
        <f>ITECountywide!$B$9*E118</f>
        <v>36.251610495824622</v>
      </c>
      <c r="J118" s="495">
        <f t="shared" si="67"/>
        <v>1.67</v>
      </c>
      <c r="K118" s="372">
        <f t="shared" si="68"/>
        <v>0.72504937644602452</v>
      </c>
      <c r="L118" s="488">
        <f>Passby_Length_Adj!H113</f>
        <v>0.8594671567024027</v>
      </c>
      <c r="M118" s="488">
        <f>Passby_Length_Adj!J113</f>
        <v>1</v>
      </c>
      <c r="N118" s="372">
        <v>0.5</v>
      </c>
      <c r="O118" s="481">
        <f t="shared" si="69"/>
        <v>0.42973357835120135</v>
      </c>
      <c r="P118" s="489">
        <f t="shared" si="70"/>
        <v>90.296511314200885</v>
      </c>
      <c r="Q118" s="490">
        <f t="shared" si="71"/>
        <v>54.069767254012511</v>
      </c>
      <c r="R118" s="491">
        <f t="shared" si="72"/>
        <v>261.71052631578948</v>
      </c>
      <c r="S118" s="500">
        <f t="shared" si="73"/>
        <v>14150.627245819853</v>
      </c>
      <c r="T118" s="489">
        <f t="shared" si="74"/>
        <v>6.9700846792467797</v>
      </c>
      <c r="U118" s="493">
        <f t="shared" si="75"/>
        <v>154.50490219883392</v>
      </c>
      <c r="V118" s="500">
        <f t="shared" si="76"/>
        <v>1076.9122516846144</v>
      </c>
      <c r="W118" s="489">
        <f t="shared" si="77"/>
        <v>5.2549567106108279</v>
      </c>
      <c r="X118" s="493">
        <f t="shared" si="78"/>
        <v>37.9060089869281</v>
      </c>
      <c r="Y118" s="763">
        <f t="shared" si="79"/>
        <v>199.19443629833216</v>
      </c>
      <c r="Z118" s="381"/>
    </row>
    <row r="119" spans="2:26" s="11" customFormat="1" ht="17.100000000000001" customHeight="1" x14ac:dyDescent="0.25">
      <c r="B119" s="741">
        <f>ITE_LUC_Rates!A110</f>
        <v>875</v>
      </c>
      <c r="C119" s="367" t="str">
        <f>ITE_LUC_Rates!B110</f>
        <v>Department Store (free standing)</v>
      </c>
      <c r="D119" s="366" t="str">
        <f>ITE_LUC_Rates!C110</f>
        <v>1000 GSF</v>
      </c>
      <c r="E119" s="365">
        <f>ITE_LUC_Rates!G110</f>
        <v>22.88</v>
      </c>
      <c r="F119" s="366" t="s">
        <v>73</v>
      </c>
      <c r="G119" s="373">
        <f>ITE_LUC_Rates!Q110</f>
        <v>9283</v>
      </c>
      <c r="H119" s="499">
        <f t="shared" si="66"/>
        <v>17648.1836202704</v>
      </c>
      <c r="I119" s="487">
        <f>ITECountywide!$B$9*E119</f>
        <v>41.471842407223363</v>
      </c>
      <c r="J119" s="495">
        <f t="shared" si="67"/>
        <v>1.67</v>
      </c>
      <c r="K119" s="372">
        <f t="shared" si="68"/>
        <v>0.72504937644602452</v>
      </c>
      <c r="L119" s="488">
        <f>Passby_Length_Adj!H114</f>
        <v>0.8594671567024027</v>
      </c>
      <c r="M119" s="488">
        <f>Passby_Length_Adj!J114</f>
        <v>1</v>
      </c>
      <c r="N119" s="372">
        <v>0.5</v>
      </c>
      <c r="O119" s="481">
        <f t="shared" si="69"/>
        <v>0.42973357835120135</v>
      </c>
      <c r="P119" s="489">
        <f t="shared" si="70"/>
        <v>103.29920894344579</v>
      </c>
      <c r="Q119" s="490">
        <f t="shared" si="71"/>
        <v>61.8558137385903</v>
      </c>
      <c r="R119" s="491">
        <f t="shared" si="72"/>
        <v>261.71052631578948</v>
      </c>
      <c r="S119" s="500">
        <f t="shared" si="73"/>
        <v>16188.317569217908</v>
      </c>
      <c r="T119" s="489">
        <f t="shared" si="74"/>
        <v>7.9737768730583163</v>
      </c>
      <c r="U119" s="493">
        <f t="shared" si="75"/>
        <v>154.50490219883392</v>
      </c>
      <c r="V119" s="500">
        <f t="shared" si="76"/>
        <v>1231.9876159271989</v>
      </c>
      <c r="W119" s="489">
        <f t="shared" si="77"/>
        <v>6.0116704769387868</v>
      </c>
      <c r="X119" s="493">
        <f t="shared" si="78"/>
        <v>37.9060089869281</v>
      </c>
      <c r="Y119" s="763">
        <f t="shared" si="79"/>
        <v>227.87843512529199</v>
      </c>
      <c r="Z119" s="381"/>
    </row>
    <row r="120" spans="2:26" s="11" customFormat="1" ht="17.100000000000001" customHeight="1" x14ac:dyDescent="0.25">
      <c r="B120" s="741">
        <f>ITE_LUC_Rates!A111</f>
        <v>876</v>
      </c>
      <c r="C120" s="367" t="str">
        <f>ITE_LUC_Rates!B111</f>
        <v>Apparel Store</v>
      </c>
      <c r="D120" s="366" t="str">
        <f>ITE_LUC_Rates!C111</f>
        <v>1000 GSF</v>
      </c>
      <c r="E120" s="365">
        <f>ITE_LUC_Rates!G111</f>
        <v>66.400000000000006</v>
      </c>
      <c r="F120" s="366" t="s">
        <v>73</v>
      </c>
      <c r="G120" s="373">
        <f>ITE_LUC_Rates!Q111</f>
        <v>0</v>
      </c>
      <c r="H120" s="499">
        <f t="shared" si="66"/>
        <v>51216.756660225285</v>
      </c>
      <c r="I120" s="487">
        <f>ITECountywide!$B$9*E120</f>
        <v>120.35534684613775</v>
      </c>
      <c r="J120" s="495">
        <f t="shared" si="67"/>
        <v>1.67</v>
      </c>
      <c r="K120" s="372">
        <f t="shared" si="68"/>
        <v>0.72504937644602452</v>
      </c>
      <c r="L120" s="488">
        <f>Passby_Length_Adj!H115</f>
        <v>0.8594671567024027</v>
      </c>
      <c r="M120" s="488">
        <f>Passby_Length_Adj!J115</f>
        <v>1</v>
      </c>
      <c r="N120" s="372">
        <v>0.5</v>
      </c>
      <c r="O120" s="481">
        <f t="shared" si="69"/>
        <v>0.42973357835120135</v>
      </c>
      <c r="P120" s="489">
        <f t="shared" si="70"/>
        <v>299.78441756314692</v>
      </c>
      <c r="Q120" s="490">
        <f t="shared" si="71"/>
        <v>179.5116272833215</v>
      </c>
      <c r="R120" s="491">
        <f t="shared" si="72"/>
        <v>261.71052631578948</v>
      </c>
      <c r="S120" s="500">
        <f t="shared" si="73"/>
        <v>46980.082456121905</v>
      </c>
      <c r="T120" s="489">
        <f t="shared" si="74"/>
        <v>23.14068113509931</v>
      </c>
      <c r="U120" s="493">
        <f t="shared" si="75"/>
        <v>154.50490219883392</v>
      </c>
      <c r="V120" s="500">
        <f t="shared" si="76"/>
        <v>3575.3486755929198</v>
      </c>
      <c r="W120" s="489">
        <f t="shared" si="77"/>
        <v>17.446456279227949</v>
      </c>
      <c r="X120" s="493">
        <f t="shared" si="78"/>
        <v>37.9060089869281</v>
      </c>
      <c r="Y120" s="763">
        <f t="shared" si="79"/>
        <v>661.32552851046285</v>
      </c>
      <c r="Z120" s="381"/>
    </row>
    <row r="121" spans="2:26" s="11" customFormat="1" ht="17.100000000000001" customHeight="1" x14ac:dyDescent="0.25">
      <c r="B121" s="741">
        <f>ITE_LUC_Rates!A112</f>
        <v>879</v>
      </c>
      <c r="C121" s="367" t="str">
        <f>ITE_LUC_Rates!B112</f>
        <v>Arts &amp; Crafts Store</v>
      </c>
      <c r="D121" s="366" t="str">
        <f>ITE_LUC_Rates!C112</f>
        <v>1000 GSF</v>
      </c>
      <c r="E121" s="365">
        <f>ITE_LUC_Rates!G112</f>
        <v>56.55</v>
      </c>
      <c r="F121" s="366" t="s">
        <v>73</v>
      </c>
      <c r="G121" s="373">
        <f>ITE_LUC_Rates!Q112</f>
        <v>0</v>
      </c>
      <c r="H121" s="499">
        <f t="shared" si="66"/>
        <v>43619.090197827412</v>
      </c>
      <c r="I121" s="487">
        <f>ITECountywide!$B$9*E121</f>
        <v>102.5014286769441</v>
      </c>
      <c r="J121" s="495">
        <f t="shared" si="67"/>
        <v>1.67</v>
      </c>
      <c r="K121" s="372">
        <f t="shared" si="68"/>
        <v>0.72504937644602452</v>
      </c>
      <c r="L121" s="488">
        <f>Passby_Length_Adj!H116</f>
        <v>0.8594671567024027</v>
      </c>
      <c r="M121" s="488">
        <f>Passby_Length_Adj!J116</f>
        <v>1</v>
      </c>
      <c r="N121" s="372">
        <v>0.5</v>
      </c>
      <c r="O121" s="481">
        <f t="shared" si="69"/>
        <v>0.42973357835120135</v>
      </c>
      <c r="P121" s="489">
        <f t="shared" si="70"/>
        <v>255.31338574090296</v>
      </c>
      <c r="Q121" s="490">
        <f t="shared" si="71"/>
        <v>152.88226691072035</v>
      </c>
      <c r="R121" s="491">
        <f t="shared" si="72"/>
        <v>261.71052631578948</v>
      </c>
      <c r="S121" s="500">
        <f t="shared" si="73"/>
        <v>40010.898537555629</v>
      </c>
      <c r="T121" s="489">
        <f t="shared" si="74"/>
        <v>19.707914430570266</v>
      </c>
      <c r="U121" s="493">
        <f t="shared" si="75"/>
        <v>154.50490219883392</v>
      </c>
      <c r="V121" s="500">
        <f t="shared" si="76"/>
        <v>3044.9693916382466</v>
      </c>
      <c r="W121" s="489">
        <f t="shared" si="77"/>
        <v>14.858390099252114</v>
      </c>
      <c r="X121" s="493">
        <f t="shared" si="78"/>
        <v>37.9060089869281</v>
      </c>
      <c r="Y121" s="763">
        <f t="shared" si="79"/>
        <v>563.2222686335341</v>
      </c>
      <c r="Z121" s="381"/>
    </row>
    <row r="122" spans="2:26" s="11" customFormat="1" ht="17.100000000000001" customHeight="1" x14ac:dyDescent="0.25">
      <c r="B122" s="741">
        <f>ITE_LUC_Rates!A113</f>
        <v>880</v>
      </c>
      <c r="C122" s="367" t="str">
        <f>ITE_LUC_Rates!B113</f>
        <v>Pharmacy/Drugstore w/o Drive-Thru</v>
      </c>
      <c r="D122" s="366" t="str">
        <f>ITE_LUC_Rates!C113</f>
        <v>1000 GSF</v>
      </c>
      <c r="E122" s="365">
        <f>ITE_LUC_Rates!G113</f>
        <v>90.08</v>
      </c>
      <c r="F122" s="366" t="s">
        <v>73</v>
      </c>
      <c r="G122" s="373">
        <f>ITE_LUC_Rates!Q113</f>
        <v>11136.5</v>
      </c>
      <c r="H122" s="499">
        <f t="shared" si="66"/>
        <v>8229.8788372078398</v>
      </c>
      <c r="I122" s="487">
        <f>ITECountywide!$B$9*E122</f>
        <v>163.27725367319408</v>
      </c>
      <c r="J122" s="495">
        <f t="shared" si="67"/>
        <v>1.67</v>
      </c>
      <c r="K122" s="372">
        <f t="shared" si="68"/>
        <v>0.72504937644602452</v>
      </c>
      <c r="L122" s="488">
        <f>Passby_Length_Adj!H117</f>
        <v>0.31419939577039274</v>
      </c>
      <c r="M122" s="488">
        <f>Passby_Length_Adj!J117</f>
        <v>0.32400000000000001</v>
      </c>
      <c r="N122" s="372">
        <v>0.5</v>
      </c>
      <c r="O122" s="481">
        <f t="shared" si="69"/>
        <v>5.0900302114803626E-2</v>
      </c>
      <c r="P122" s="489">
        <f t="shared" si="70"/>
        <v>48.171528123014276</v>
      </c>
      <c r="Q122" s="490">
        <f t="shared" si="71"/>
        <v>28.845226420966632</v>
      </c>
      <c r="R122" s="491">
        <f t="shared" si="72"/>
        <v>261.71052631578948</v>
      </c>
      <c r="S122" s="500">
        <f t="shared" si="73"/>
        <v>7549.099388329294</v>
      </c>
      <c r="T122" s="489">
        <f t="shared" si="74"/>
        <v>3.7184119880091369</v>
      </c>
      <c r="U122" s="493">
        <f t="shared" si="75"/>
        <v>154.50490219883392</v>
      </c>
      <c r="V122" s="500">
        <f t="shared" si="76"/>
        <v>574.51288054232327</v>
      </c>
      <c r="W122" s="489">
        <f t="shared" si="77"/>
        <v>2.8034227600396902</v>
      </c>
      <c r="X122" s="493">
        <f t="shared" si="78"/>
        <v>37.9060089869281</v>
      </c>
      <c r="Y122" s="763">
        <f t="shared" si="79"/>
        <v>106.26656833622327</v>
      </c>
      <c r="Z122" s="381"/>
    </row>
    <row r="123" spans="2:26" s="11" customFormat="1" ht="17.100000000000001" customHeight="1" x14ac:dyDescent="0.25">
      <c r="B123" s="741">
        <f>ITE_LUC_Rates!A114</f>
        <v>881</v>
      </c>
      <c r="C123" s="367" t="str">
        <f>ITE_LUC_Rates!B114</f>
        <v>Pharmacy/Drugstore w/ Drive-Thru</v>
      </c>
      <c r="D123" s="366" t="str">
        <f>ITE_LUC_Rates!C114</f>
        <v>1000 GSF</v>
      </c>
      <c r="E123" s="365">
        <f>ITE_LUC_Rates!G114</f>
        <v>109.16</v>
      </c>
      <c r="F123" s="366" t="s">
        <v>73</v>
      </c>
      <c r="G123" s="373">
        <f>ITE_LUC_Rates!Q114</f>
        <v>11984.3</v>
      </c>
      <c r="H123" s="499">
        <f t="shared" si="66"/>
        <v>9973.0636530817937</v>
      </c>
      <c r="I123" s="487">
        <f>ITECountywide!$B$9*E123</f>
        <v>197.86129008621077</v>
      </c>
      <c r="J123" s="495">
        <f t="shared" si="67"/>
        <v>1.67</v>
      </c>
      <c r="K123" s="372">
        <f t="shared" si="68"/>
        <v>0.72504937644602452</v>
      </c>
      <c r="L123" s="488">
        <f>Passby_Length_Adj!H118</f>
        <v>0.31419939577039274</v>
      </c>
      <c r="M123" s="488">
        <f>Passby_Length_Adj!J118</f>
        <v>0.32400000000000001</v>
      </c>
      <c r="N123" s="372">
        <v>0.5</v>
      </c>
      <c r="O123" s="481">
        <f t="shared" si="69"/>
        <v>5.0900302114803626E-2</v>
      </c>
      <c r="P123" s="489">
        <f t="shared" si="70"/>
        <v>58.37482249010035</v>
      </c>
      <c r="Q123" s="490">
        <f t="shared" si="71"/>
        <v>34.954983527006199</v>
      </c>
      <c r="R123" s="491">
        <f t="shared" si="72"/>
        <v>261.71052631578948</v>
      </c>
      <c r="S123" s="500">
        <f t="shared" si="73"/>
        <v>9148.0871362125436</v>
      </c>
      <c r="T123" s="489">
        <f t="shared" si="74"/>
        <v>4.5060152376895806</v>
      </c>
      <c r="U123" s="493">
        <f t="shared" si="75"/>
        <v>154.50490219883392</v>
      </c>
      <c r="V123" s="500">
        <f t="shared" si="76"/>
        <v>696.20144360568406</v>
      </c>
      <c r="W123" s="489">
        <f t="shared" si="77"/>
        <v>3.3972205648971205</v>
      </c>
      <c r="X123" s="493">
        <f t="shared" si="78"/>
        <v>37.9060089869281</v>
      </c>
      <c r="Y123" s="763">
        <f t="shared" si="79"/>
        <v>128.77507326356721</v>
      </c>
      <c r="Z123" s="381"/>
    </row>
    <row r="124" spans="2:26" s="11" customFormat="1" ht="17.100000000000001" customHeight="1" x14ac:dyDescent="0.25">
      <c r="B124" s="741">
        <f>ITE_LUC_Rates!A115</f>
        <v>882</v>
      </c>
      <c r="C124" s="367" t="str">
        <f>ITE_LUC_Rates!B115</f>
        <v>Marijuana Dispensary</v>
      </c>
      <c r="D124" s="366" t="str">
        <f>ITE_LUC_Rates!C115</f>
        <v>1000 GSF</v>
      </c>
      <c r="E124" s="365">
        <f>ITE_LUC_Rates!G115</f>
        <v>252.7</v>
      </c>
      <c r="F124" s="366" t="s">
        <v>73</v>
      </c>
      <c r="G124" s="373">
        <f>ITE_LUC_Rates!Q115</f>
        <v>0</v>
      </c>
      <c r="H124" s="499">
        <f t="shared" si="66"/>
        <v>194916.78325359832</v>
      </c>
      <c r="I124" s="487">
        <f>ITECountywide!$B$9*E124</f>
        <v>458.03909861474403</v>
      </c>
      <c r="J124" s="495">
        <f t="shared" si="67"/>
        <v>1.67</v>
      </c>
      <c r="K124" s="372">
        <f t="shared" si="68"/>
        <v>0.72504937644602452</v>
      </c>
      <c r="L124" s="488">
        <f>Passby_Length_Adj!H119</f>
        <v>0.8594671567024027</v>
      </c>
      <c r="M124" s="488">
        <f>Passby_Length_Adj!J119</f>
        <v>1</v>
      </c>
      <c r="N124" s="372">
        <v>0.5</v>
      </c>
      <c r="O124" s="481">
        <f t="shared" si="69"/>
        <v>0.42973357835120135</v>
      </c>
      <c r="P124" s="489">
        <f t="shared" si="70"/>
        <v>1140.8964204549279</v>
      </c>
      <c r="Q124" s="490">
        <f t="shared" si="71"/>
        <v>683.17150925444787</v>
      </c>
      <c r="R124" s="491">
        <f t="shared" si="72"/>
        <v>261.71052631578948</v>
      </c>
      <c r="S124" s="500">
        <f t="shared" si="73"/>
        <v>178793.1752509338</v>
      </c>
      <c r="T124" s="489">
        <f t="shared" si="74"/>
        <v>88.067019922283052</v>
      </c>
      <c r="U124" s="493">
        <f t="shared" si="75"/>
        <v>154.50490219883392</v>
      </c>
      <c r="V124" s="500">
        <f t="shared" si="76"/>
        <v>13606.786300035101</v>
      </c>
      <c r="W124" s="489">
        <f t="shared" si="77"/>
        <v>66.396378038567804</v>
      </c>
      <c r="X124" s="493">
        <f t="shared" si="78"/>
        <v>37.9060089869281</v>
      </c>
      <c r="Y124" s="763">
        <f t="shared" si="79"/>
        <v>2516.8217026294269</v>
      </c>
      <c r="Z124" s="381"/>
    </row>
    <row r="125" spans="2:26" s="11" customFormat="1" ht="17.100000000000001" customHeight="1" x14ac:dyDescent="0.25">
      <c r="B125" s="741">
        <f>ITE_LUC_Rates!A116</f>
        <v>890</v>
      </c>
      <c r="C125" s="367" t="str">
        <f>ITE_LUC_Rates!B116</f>
        <v>Furniture Store (free standing)</v>
      </c>
      <c r="D125" s="366" t="str">
        <f>ITE_LUC_Rates!C116</f>
        <v>1000 GSF</v>
      </c>
      <c r="E125" s="365">
        <f>ITE_LUC_Rates!G116</f>
        <v>6.3</v>
      </c>
      <c r="F125" s="366" t="s">
        <v>73</v>
      </c>
      <c r="G125" s="373">
        <f>ITE_LUC_Rates!Q116</f>
        <v>1656.8</v>
      </c>
      <c r="H125" s="499">
        <f t="shared" si="66"/>
        <v>2819.1218483314024</v>
      </c>
      <c r="I125" s="487">
        <f>ITECountywide!$B$9*E125</f>
        <v>11.419257306184756</v>
      </c>
      <c r="J125" s="495">
        <f t="shared" si="67"/>
        <v>1.67</v>
      </c>
      <c r="K125" s="372">
        <f t="shared" si="68"/>
        <v>0.72504937644602452</v>
      </c>
      <c r="L125" s="488">
        <f>Passby_Length_Adj!H120</f>
        <v>0.91993957703927487</v>
      </c>
      <c r="M125" s="488">
        <f>Passby_Length_Adj!J120</f>
        <v>0.54200000000000004</v>
      </c>
      <c r="N125" s="372">
        <v>0.5</v>
      </c>
      <c r="O125" s="481">
        <f t="shared" si="69"/>
        <v>0.2493036253776435</v>
      </c>
      <c r="P125" s="489">
        <f t="shared" si="70"/>
        <v>16.501021471316534</v>
      </c>
      <c r="Q125" s="490">
        <f t="shared" si="71"/>
        <v>9.8808511804290635</v>
      </c>
      <c r="R125" s="491">
        <f t="shared" si="72"/>
        <v>261.71052631578948</v>
      </c>
      <c r="S125" s="500">
        <f t="shared" si="73"/>
        <v>2585.92276287808</v>
      </c>
      <c r="T125" s="489">
        <f t="shared" si="74"/>
        <v>1.2737315680883614</v>
      </c>
      <c r="U125" s="493">
        <f t="shared" si="75"/>
        <v>154.50490219883392</v>
      </c>
      <c r="V125" s="500">
        <f t="shared" si="76"/>
        <v>196.79777135505964</v>
      </c>
      <c r="W125" s="489">
        <f t="shared" si="77"/>
        <v>0.96030458154578802</v>
      </c>
      <c r="X125" s="493">
        <f t="shared" si="78"/>
        <v>37.9060089869281</v>
      </c>
      <c r="Y125" s="763">
        <f t="shared" si="79"/>
        <v>36.401314098262866</v>
      </c>
      <c r="Z125" s="381"/>
    </row>
    <row r="126" spans="2:26" s="11" customFormat="1" ht="17.100000000000001" customHeight="1" x14ac:dyDescent="0.25">
      <c r="B126" s="741">
        <f>ITE_LUC_Rates!A117</f>
        <v>899</v>
      </c>
      <c r="C126" s="367" t="str">
        <f>ITE_LUC_Rates!B117</f>
        <v>Liquor Store</v>
      </c>
      <c r="D126" s="366" t="str">
        <f>ITE_LUC_Rates!C117</f>
        <v>1000 GSF</v>
      </c>
      <c r="E126" s="365">
        <f>ITE_LUC_Rates!G117</f>
        <v>101.49</v>
      </c>
      <c r="F126" s="366" t="s">
        <v>73</v>
      </c>
      <c r="G126" s="373">
        <f>ITE_LUC_Rates!Q117</f>
        <v>0</v>
      </c>
      <c r="H126" s="499">
        <f t="shared" si="66"/>
        <v>55785.760453838615</v>
      </c>
      <c r="I126" s="487">
        <f>ITECountywide!$B$9*E126</f>
        <v>183.95879746106203</v>
      </c>
      <c r="J126" s="495">
        <f t="shared" si="67"/>
        <v>1.67</v>
      </c>
      <c r="K126" s="372">
        <f t="shared" si="68"/>
        <v>0.72504937644602452</v>
      </c>
      <c r="L126" s="488">
        <f>Passby_Length_Adj!H121</f>
        <v>0.61247081225203326</v>
      </c>
      <c r="M126" s="488">
        <f>Passby_Length_Adj!J121</f>
        <v>1</v>
      </c>
      <c r="N126" s="372">
        <v>0.5</v>
      </c>
      <c r="O126" s="481">
        <f t="shared" si="69"/>
        <v>0.30623540612601663</v>
      </c>
      <c r="P126" s="489">
        <f t="shared" si="70"/>
        <v>326.52793336597199</v>
      </c>
      <c r="Q126" s="490">
        <f t="shared" si="71"/>
        <v>195.52570860237844</v>
      </c>
      <c r="R126" s="491">
        <f t="shared" si="72"/>
        <v>261.71052631578948</v>
      </c>
      <c r="S126" s="500">
        <f t="shared" si="73"/>
        <v>51171.136106596146</v>
      </c>
      <c r="T126" s="489">
        <f t="shared" si="74"/>
        <v>25.205041840219369</v>
      </c>
      <c r="U126" s="493">
        <f t="shared" si="75"/>
        <v>154.50490219883392</v>
      </c>
      <c r="V126" s="500">
        <f t="shared" si="76"/>
        <v>3894.3025244406103</v>
      </c>
      <c r="W126" s="489">
        <f t="shared" si="77"/>
        <v>19.002839973215472</v>
      </c>
      <c r="X126" s="493">
        <f t="shared" si="78"/>
        <v>37.9060089869281</v>
      </c>
      <c r="Y126" s="763">
        <f t="shared" si="79"/>
        <v>720.32182280186225</v>
      </c>
      <c r="Z126" s="381"/>
    </row>
    <row r="127" spans="2:26" s="11" customFormat="1" ht="17.100000000000001" customHeight="1" x14ac:dyDescent="0.25">
      <c r="B127" s="739" t="str">
        <f>ITE_LUC_Rates!A118</f>
        <v>Services</v>
      </c>
      <c r="C127" s="466"/>
      <c r="D127" s="466"/>
      <c r="E127" s="466"/>
      <c r="F127" s="466"/>
      <c r="G127" s="467"/>
      <c r="H127" s="482"/>
      <c r="I127" s="483"/>
      <c r="J127" s="484"/>
      <c r="K127" s="484"/>
      <c r="L127" s="484"/>
      <c r="M127" s="484"/>
      <c r="N127" s="484"/>
      <c r="O127" s="485"/>
      <c r="P127" s="483"/>
      <c r="Q127" s="484"/>
      <c r="R127" s="484"/>
      <c r="S127" s="485"/>
      <c r="T127" s="483"/>
      <c r="U127" s="484"/>
      <c r="V127" s="485"/>
      <c r="W127" s="483"/>
      <c r="X127" s="484"/>
      <c r="Y127" s="740"/>
      <c r="Z127" s="381"/>
    </row>
    <row r="128" spans="2:26" s="11" customFormat="1" ht="17.100000000000001" customHeight="1" x14ac:dyDescent="0.25">
      <c r="B128" s="741">
        <f>ITE_LUC_Rates!A119</f>
        <v>911</v>
      </c>
      <c r="C128" s="367" t="str">
        <f>ITE_LUC_Rates!B119</f>
        <v>Bank (Walk-in)</v>
      </c>
      <c r="D128" s="366" t="str">
        <f>ITE_LUC_Rates!C119</f>
        <v>1000 GSF</v>
      </c>
      <c r="E128" s="365">
        <f>ITE_LUC_Rates!G119</f>
        <v>156.47999999999999</v>
      </c>
      <c r="F128" s="366" t="s">
        <v>73</v>
      </c>
      <c r="G128" s="373">
        <f>ITE_LUC_Rates!Q119</f>
        <v>16014.3</v>
      </c>
      <c r="H128" s="499">
        <f t="shared" si="66"/>
        <v>24109.746212583803</v>
      </c>
      <c r="I128" s="487">
        <f>ITECountywide!$B$9*E128</f>
        <v>283.63260051933179</v>
      </c>
      <c r="J128" s="495">
        <f t="shared" ref="J128:J137" si="80">IF(F128="Prod",$M$3,$M$4)</f>
        <v>1.67</v>
      </c>
      <c r="K128" s="372">
        <f t="shared" ref="K128:K137" si="81">IF(F128="Prod",$F$4,$F$5)</f>
        <v>0.72504937644602452</v>
      </c>
      <c r="L128" s="488">
        <f>Passby_Length_Adj!H123</f>
        <v>0.37160120845921452</v>
      </c>
      <c r="M128" s="488">
        <f>Passby_Length_Adj!J123</f>
        <v>0.46200000000000002</v>
      </c>
      <c r="N128" s="372">
        <v>0.5</v>
      </c>
      <c r="O128" s="481">
        <f t="shared" ref="O128:O137" si="82">L128*M128*N128</f>
        <v>8.5839879154078563E-2</v>
      </c>
      <c r="P128" s="489">
        <f t="shared" ref="P128:P137" si="83">IF($F128="Prod",$I128*$O128*$F$4*$F$6,$I128*O128*$F$5*$F$7)</f>
        <v>141.12034219354902</v>
      </c>
      <c r="Q128" s="490">
        <f t="shared" ref="Q128:Q137" si="84">+P128/J128</f>
        <v>84.503198918292824</v>
      </c>
      <c r="R128" s="491">
        <f t="shared" ref="R128:R137" si="85">+$Q$4</f>
        <v>261.71052631578948</v>
      </c>
      <c r="S128" s="500">
        <f t="shared" ref="S128:S137" si="86">+Q128*R128</f>
        <v>22115.376664274267</v>
      </c>
      <c r="T128" s="489">
        <f t="shared" ref="T128:T137" si="87">IF($F128="Prod",$I128*$O128*$G$4*$G$6,$I128*$O128*$G$5*$G$7)</f>
        <v>10.893230765368733</v>
      </c>
      <c r="U128" s="493">
        <f t="shared" ref="U128:U137" si="88">+$R$4</f>
        <v>154.50490219883392</v>
      </c>
      <c r="V128" s="500">
        <f t="shared" ref="V128:V137" si="89">+T128*U128</f>
        <v>1683.0575540326247</v>
      </c>
      <c r="W128" s="489">
        <f t="shared" ref="W128:W137" si="90">IF($F128="Prod",$I128*$O128*$J$4*$J$6,$I128*$O128*$J$5*$J$7)</f>
        <v>8.2127346718107237</v>
      </c>
      <c r="X128" s="493">
        <f t="shared" ref="X128:X137" si="91">$S$4</f>
        <v>37.9060089869281</v>
      </c>
      <c r="Y128" s="763">
        <f t="shared" ref="Y128:Y137" si="92">+W128*X128</f>
        <v>311.31199427691331</v>
      </c>
      <c r="Z128" s="381"/>
    </row>
    <row r="129" spans="1:28" ht="17.100000000000001" customHeight="1" x14ac:dyDescent="0.25">
      <c r="B129" s="741">
        <f>ITE_LUC_Rates!A120</f>
        <v>912</v>
      </c>
      <c r="C129" s="367" t="str">
        <f>ITE_LUC_Rates!B120</f>
        <v>Bank (Drive-in)</v>
      </c>
      <c r="D129" s="366" t="str">
        <f>ITE_LUC_Rates!C120</f>
        <v>1000 GSF</v>
      </c>
      <c r="E129" s="365">
        <f>ITE_LUC_Rates!G120</f>
        <v>100.03</v>
      </c>
      <c r="F129" s="366" t="s">
        <v>73</v>
      </c>
      <c r="G129" s="373">
        <f>ITE_LUC_Rates!Q120</f>
        <v>25226.6</v>
      </c>
      <c r="H129" s="499">
        <f t="shared" si="66"/>
        <v>15412.179918486443</v>
      </c>
      <c r="I129" s="487">
        <f>ITECountywide!$B$9*E129</f>
        <v>181.31242989486685</v>
      </c>
      <c r="J129" s="495">
        <f t="shared" si="80"/>
        <v>1.67</v>
      </c>
      <c r="K129" s="372">
        <f t="shared" si="81"/>
        <v>0.72504937644602452</v>
      </c>
      <c r="L129" s="488">
        <f>Passby_Length_Adj!H124</f>
        <v>0.37160120845921452</v>
      </c>
      <c r="M129" s="488">
        <f>Passby_Length_Adj!J124</f>
        <v>0.46200000000000002</v>
      </c>
      <c r="N129" s="372">
        <v>0.5</v>
      </c>
      <c r="O129" s="481">
        <f t="shared" si="82"/>
        <v>8.5839879154078563E-2</v>
      </c>
      <c r="P129" s="489">
        <f t="shared" si="83"/>
        <v>90.211323042054644</v>
      </c>
      <c r="Q129" s="490">
        <f t="shared" si="84"/>
        <v>54.018756312607572</v>
      </c>
      <c r="R129" s="491">
        <f t="shared" si="85"/>
        <v>261.71052631578948</v>
      </c>
      <c r="S129" s="500">
        <f t="shared" si="86"/>
        <v>14137.277145496902</v>
      </c>
      <c r="T129" s="489">
        <f t="shared" si="87"/>
        <v>6.963508905034729</v>
      </c>
      <c r="U129" s="493">
        <f t="shared" si="88"/>
        <v>154.50490219883392</v>
      </c>
      <c r="V129" s="500">
        <f t="shared" si="89"/>
        <v>1075.8962623330999</v>
      </c>
      <c r="W129" s="489">
        <f t="shared" si="90"/>
        <v>5.2499990364342199</v>
      </c>
      <c r="X129" s="493">
        <f t="shared" si="91"/>
        <v>37.9060089869281</v>
      </c>
      <c r="Y129" s="763">
        <f t="shared" si="92"/>
        <v>199.00651065643942</v>
      </c>
      <c r="Z129" s="381"/>
      <c r="AB129" s="11"/>
    </row>
    <row r="130" spans="1:28" ht="17.100000000000001" customHeight="1" x14ac:dyDescent="0.25">
      <c r="B130" s="741">
        <f>ITE_LUC_Rates!A121</f>
        <v>931</v>
      </c>
      <c r="C130" s="367" t="str">
        <f>ITE_LUC_Rates!B121</f>
        <v>Fine Dining Restaurant</v>
      </c>
      <c r="D130" s="366" t="str">
        <f>ITE_LUC_Rates!C121</f>
        <v>1000 GSF</v>
      </c>
      <c r="E130" s="365">
        <f>ITE_LUC_Rates!G121</f>
        <v>83.84</v>
      </c>
      <c r="F130" s="366" t="s">
        <v>73</v>
      </c>
      <c r="G130" s="373">
        <f>ITE_LUC_Rates!Q121</f>
        <v>68047</v>
      </c>
      <c r="H130" s="499">
        <f t="shared" si="66"/>
        <v>27373.668302102844</v>
      </c>
      <c r="I130" s="487">
        <f>ITECountywide!$B$9*E130</f>
        <v>151.96675119849681</v>
      </c>
      <c r="J130" s="495">
        <f t="shared" si="80"/>
        <v>1.67</v>
      </c>
      <c r="K130" s="372">
        <f t="shared" si="81"/>
        <v>0.72504937644602452</v>
      </c>
      <c r="L130" s="488">
        <f>Passby_Length_Adj!H125</f>
        <v>0.47432024169184289</v>
      </c>
      <c r="M130" s="488">
        <f>Passby_Length_Adj!J125</f>
        <v>0.76700000000000002</v>
      </c>
      <c r="N130" s="372">
        <v>0.5</v>
      </c>
      <c r="O130" s="481">
        <f t="shared" si="82"/>
        <v>0.18190181268882175</v>
      </c>
      <c r="P130" s="489">
        <f t="shared" si="83"/>
        <v>160.22489012635148</v>
      </c>
      <c r="Q130" s="490">
        <f t="shared" si="84"/>
        <v>95.943047979851187</v>
      </c>
      <c r="R130" s="491">
        <f t="shared" si="85"/>
        <v>261.71052631578948</v>
      </c>
      <c r="S130" s="500">
        <f t="shared" si="86"/>
        <v>25109.305583147896</v>
      </c>
      <c r="T130" s="489">
        <f t="shared" si="87"/>
        <v>12.367931336988937</v>
      </c>
      <c r="U130" s="493">
        <f t="shared" si="88"/>
        <v>154.50490219883392</v>
      </c>
      <c r="V130" s="500">
        <f t="shared" si="89"/>
        <v>1910.9060216233688</v>
      </c>
      <c r="W130" s="489">
        <f t="shared" si="90"/>
        <v>9.3245558363442171</v>
      </c>
      <c r="X130" s="493">
        <f t="shared" si="91"/>
        <v>37.9060089869281</v>
      </c>
      <c r="Y130" s="763">
        <f t="shared" si="92"/>
        <v>353.45669733157678</v>
      </c>
      <c r="Z130" s="381"/>
      <c r="AB130" s="11"/>
    </row>
    <row r="131" spans="1:28" ht="17.100000000000001" customHeight="1" x14ac:dyDescent="0.25">
      <c r="B131" s="741">
        <f>ITE_LUC_Rates!A122</f>
        <v>931</v>
      </c>
      <c r="C131" s="367" t="str">
        <f>ITE_LUC_Rates!B122</f>
        <v>Quality Restaurant / Seats</v>
      </c>
      <c r="D131" s="366" t="str">
        <f>ITE_LUC_Rates!C122</f>
        <v>Seat</v>
      </c>
      <c r="E131" s="365">
        <f>ITE_LUC_Rates!G122</f>
        <v>2.6</v>
      </c>
      <c r="F131" s="366" t="s">
        <v>73</v>
      </c>
      <c r="G131" s="373">
        <f>ITE_LUC_Rates!Q122</f>
        <v>2163.0520000000001</v>
      </c>
      <c r="H131" s="499">
        <f t="shared" si="66"/>
        <v>848.8971563152121</v>
      </c>
      <c r="I131" s="487">
        <f>ITECountywide!$B$9*E131</f>
        <v>4.7127093644572007</v>
      </c>
      <c r="J131" s="495">
        <f t="shared" si="80"/>
        <v>1.67</v>
      </c>
      <c r="K131" s="372">
        <f t="shared" si="81"/>
        <v>0.72504937644602452</v>
      </c>
      <c r="L131" s="488">
        <f>Passby_Length_Adj!H126</f>
        <v>0.47432024169184289</v>
      </c>
      <c r="M131" s="488">
        <f>Passby_Length_Adj!J126</f>
        <v>0.76700000000000002</v>
      </c>
      <c r="N131" s="372">
        <v>0.5</v>
      </c>
      <c r="O131" s="481">
        <f t="shared" si="82"/>
        <v>0.18190181268882175</v>
      </c>
      <c r="P131" s="489">
        <f t="shared" si="83"/>
        <v>4.9688062300633806</v>
      </c>
      <c r="Q131" s="490">
        <f t="shared" si="84"/>
        <v>2.9753330718942399</v>
      </c>
      <c r="R131" s="491">
        <f t="shared" si="85"/>
        <v>261.71052631578948</v>
      </c>
      <c r="S131" s="500">
        <f t="shared" si="86"/>
        <v>778.67598421021626</v>
      </c>
      <c r="T131" s="489">
        <f t="shared" si="87"/>
        <v>0.38354748898105007</v>
      </c>
      <c r="U131" s="493">
        <f t="shared" si="88"/>
        <v>154.50490219883392</v>
      </c>
      <c r="V131" s="500">
        <f t="shared" si="89"/>
        <v>59.25996727362547</v>
      </c>
      <c r="W131" s="489">
        <f t="shared" si="90"/>
        <v>0.28916800064998766</v>
      </c>
      <c r="X131" s="493">
        <f t="shared" si="91"/>
        <v>37.9060089869281</v>
      </c>
      <c r="Y131" s="763">
        <f t="shared" si="92"/>
        <v>10.961204831370463</v>
      </c>
      <c r="Z131" s="381"/>
      <c r="AB131" s="11"/>
    </row>
    <row r="132" spans="1:28" ht="17.100000000000001" customHeight="1" x14ac:dyDescent="0.25">
      <c r="B132" s="741">
        <f>ITE_LUC_Rates!A123</f>
        <v>932</v>
      </c>
      <c r="C132" s="367" t="str">
        <f>ITE_LUC_Rates!B123</f>
        <v>High-Turnover (Sit-Down) Restaurant</v>
      </c>
      <c r="D132" s="366" t="str">
        <f>ITE_LUC_Rates!C123</f>
        <v>1000 GSF</v>
      </c>
      <c r="E132" s="365">
        <f>ITE_LUC_Rates!G123</f>
        <v>112.18</v>
      </c>
      <c r="F132" s="366" t="s">
        <v>73</v>
      </c>
      <c r="G132" s="373">
        <f>ITE_LUC_Rates!Q123</f>
        <v>51864.5</v>
      </c>
      <c r="H132" s="499">
        <f t="shared" si="66"/>
        <v>34132.230855411726</v>
      </c>
      <c r="I132" s="487">
        <f>ITECountywide!$B$9*E132</f>
        <v>203.3352832710803</v>
      </c>
      <c r="J132" s="495">
        <f t="shared" si="80"/>
        <v>1.67</v>
      </c>
      <c r="K132" s="372">
        <f t="shared" si="81"/>
        <v>0.72504937644602452</v>
      </c>
      <c r="L132" s="488">
        <f>Passby_Length_Adj!H127</f>
        <v>0.47885196374622352</v>
      </c>
      <c r="M132" s="488">
        <f>Passby_Length_Adj!J127</f>
        <v>0.70799999999999996</v>
      </c>
      <c r="N132" s="372">
        <v>0.5</v>
      </c>
      <c r="O132" s="481">
        <f t="shared" si="82"/>
        <v>0.16951359516616313</v>
      </c>
      <c r="P132" s="489">
        <f t="shared" si="83"/>
        <v>199.78443803074401</v>
      </c>
      <c r="Q132" s="490">
        <f t="shared" si="84"/>
        <v>119.63140001840959</v>
      </c>
      <c r="R132" s="491">
        <f t="shared" si="85"/>
        <v>261.71052631578948</v>
      </c>
      <c r="S132" s="500">
        <f t="shared" si="86"/>
        <v>31308.796662712721</v>
      </c>
      <c r="T132" s="489">
        <f t="shared" si="87"/>
        <v>15.421575323375937</v>
      </c>
      <c r="U132" s="493">
        <f t="shared" si="88"/>
        <v>154.50490219883392</v>
      </c>
      <c r="V132" s="500">
        <f t="shared" si="89"/>
        <v>2382.7089870901495</v>
      </c>
      <c r="W132" s="489">
        <f t="shared" si="90"/>
        <v>11.626789983636508</v>
      </c>
      <c r="X132" s="493">
        <f t="shared" si="91"/>
        <v>37.9060089869281</v>
      </c>
      <c r="Y132" s="763">
        <f t="shared" si="92"/>
        <v>440.72520560885107</v>
      </c>
      <c r="Z132" s="381"/>
      <c r="AB132" s="11"/>
    </row>
    <row r="133" spans="1:28" ht="17.100000000000001" customHeight="1" x14ac:dyDescent="0.25">
      <c r="B133" s="741">
        <f>ITE_LUC_Rates!A124</f>
        <v>932</v>
      </c>
      <c r="C133" s="367" t="str">
        <f>ITE_LUC_Rates!B124</f>
        <v>High-Turnover (Sit-Down) Restaurant</v>
      </c>
      <c r="D133" s="366" t="str">
        <f>ITE_LUC_Rates!C124</f>
        <v>Seat</v>
      </c>
      <c r="E133" s="365">
        <f>ITE_LUC_Rates!G124</f>
        <v>4.37</v>
      </c>
      <c r="F133" s="366" t="s">
        <v>73</v>
      </c>
      <c r="G133" s="373">
        <f>ITE_LUC_Rates!Q124</f>
        <v>1581.08</v>
      </c>
      <c r="H133" s="499">
        <f t="shared" si="66"/>
        <v>1329.6296027647461</v>
      </c>
      <c r="I133" s="487">
        <f>ITECountywide!$B$9*E133</f>
        <v>7.9209768933376798</v>
      </c>
      <c r="J133" s="495">
        <f t="shared" si="80"/>
        <v>1.67</v>
      </c>
      <c r="K133" s="372">
        <f t="shared" si="81"/>
        <v>0.72504937644602452</v>
      </c>
      <c r="L133" s="488">
        <f>Passby_Length_Adj!H128</f>
        <v>0.47885196374622352</v>
      </c>
      <c r="M133" s="488">
        <f>Passby_Length_Adj!J128</f>
        <v>0.70799999999999996</v>
      </c>
      <c r="N133" s="372">
        <v>0.5</v>
      </c>
      <c r="O133" s="481">
        <f t="shared" si="82"/>
        <v>0.16951359516616313</v>
      </c>
      <c r="P133" s="489">
        <f t="shared" si="83"/>
        <v>7.7826528275481497</v>
      </c>
      <c r="Q133" s="490">
        <f t="shared" si="84"/>
        <v>4.6602711542204487</v>
      </c>
      <c r="R133" s="491">
        <f t="shared" si="85"/>
        <v>261.71052631578948</v>
      </c>
      <c r="S133" s="500">
        <f t="shared" si="86"/>
        <v>1219.6420165453253</v>
      </c>
      <c r="T133" s="489">
        <f t="shared" si="87"/>
        <v>0.60075132967688405</v>
      </c>
      <c r="U133" s="493">
        <f t="shared" si="88"/>
        <v>154.50490219883392</v>
      </c>
      <c r="V133" s="500">
        <f t="shared" si="89"/>
        <v>92.819025437546401</v>
      </c>
      <c r="W133" s="489">
        <f t="shared" si="90"/>
        <v>0.45292451621047908</v>
      </c>
      <c r="X133" s="493">
        <f t="shared" si="91"/>
        <v>37.9060089869281</v>
      </c>
      <c r="Y133" s="763">
        <f t="shared" si="92"/>
        <v>17.168560781874483</v>
      </c>
      <c r="Z133" s="381"/>
      <c r="AB133" s="11"/>
    </row>
    <row r="134" spans="1:28" ht="17.100000000000001" customHeight="1" x14ac:dyDescent="0.25">
      <c r="B134" s="741">
        <f>ITE_LUC_Rates!A125</f>
        <v>933</v>
      </c>
      <c r="C134" s="367" t="str">
        <f>ITE_LUC_Rates!B125</f>
        <v>Fast-Food Restaurant without Drive-Through Window</v>
      </c>
      <c r="D134" s="366" t="str">
        <f>ITE_LUC_Rates!C125</f>
        <v>1000 GSF</v>
      </c>
      <c r="E134" s="365">
        <f>ITE_LUC_Rates!G125</f>
        <v>346.23</v>
      </c>
      <c r="F134" s="366" t="s">
        <v>73</v>
      </c>
      <c r="G134" s="373">
        <f>ITE_LUC_Rates!Q125</f>
        <v>73276.3</v>
      </c>
      <c r="H134" s="499">
        <f t="shared" si="66"/>
        <v>55712.652939143634</v>
      </c>
      <c r="I134" s="487">
        <f>ITECountywide!$B$9*E134</f>
        <v>627.56975509846791</v>
      </c>
      <c r="J134" s="495">
        <f t="shared" si="80"/>
        <v>1.67</v>
      </c>
      <c r="K134" s="372">
        <f t="shared" si="81"/>
        <v>0.72504937644602452</v>
      </c>
      <c r="L134" s="488">
        <f>Passby_Length_Adj!H129</f>
        <v>0.30966767371601206</v>
      </c>
      <c r="M134" s="488">
        <f>Passby_Length_Adj!J129</f>
        <v>0.57899999999999996</v>
      </c>
      <c r="N134" s="372">
        <v>0.5</v>
      </c>
      <c r="O134" s="481">
        <f t="shared" si="82"/>
        <v>8.9648791540785491E-2</v>
      </c>
      <c r="P134" s="489">
        <f t="shared" si="83"/>
        <v>326.10001689602211</v>
      </c>
      <c r="Q134" s="490">
        <f t="shared" si="84"/>
        <v>195.26947119522282</v>
      </c>
      <c r="R134" s="491">
        <f t="shared" si="85"/>
        <v>261.71052631578948</v>
      </c>
      <c r="S134" s="500">
        <f t="shared" si="86"/>
        <v>51104.07607990766</v>
      </c>
      <c r="T134" s="489">
        <f t="shared" si="87"/>
        <v>25.172010508357424</v>
      </c>
      <c r="U134" s="493">
        <f t="shared" si="88"/>
        <v>154.50490219883392</v>
      </c>
      <c r="V134" s="500">
        <f t="shared" si="89"/>
        <v>3889.1990217417833</v>
      </c>
      <c r="W134" s="489">
        <f t="shared" si="90"/>
        <v>18.977936657543406</v>
      </c>
      <c r="X134" s="493">
        <f t="shared" si="91"/>
        <v>37.9060089869281</v>
      </c>
      <c r="Y134" s="763">
        <f t="shared" si="92"/>
        <v>719.37783749419259</v>
      </c>
      <c r="Z134" s="381"/>
      <c r="AB134" s="11"/>
    </row>
    <row r="135" spans="1:28" ht="17.100000000000001" customHeight="1" x14ac:dyDescent="0.25">
      <c r="B135" s="741">
        <f>ITE_LUC_Rates!A126</f>
        <v>934</v>
      </c>
      <c r="C135" s="367" t="str">
        <f>ITE_LUC_Rates!B126</f>
        <v>Fast Food Rest. w/ Drive-Thru</v>
      </c>
      <c r="D135" s="366" t="str">
        <f>ITE_LUC_Rates!C126</f>
        <v>1000 GSF</v>
      </c>
      <c r="E135" s="365">
        <f>ITE_LUC_Rates!G126</f>
        <v>470.95</v>
      </c>
      <c r="F135" s="366" t="s">
        <v>73</v>
      </c>
      <c r="G135" s="373">
        <f>ITE_LUC_Rates!Q126</f>
        <v>50772.9</v>
      </c>
      <c r="H135" s="499">
        <f t="shared" si="66"/>
        <v>75781.630423965849</v>
      </c>
      <c r="I135" s="487">
        <f>ITECountywide!$B$9*E135</f>
        <v>853.63479815043024</v>
      </c>
      <c r="J135" s="495">
        <f t="shared" si="80"/>
        <v>1.67</v>
      </c>
      <c r="K135" s="372">
        <f t="shared" si="81"/>
        <v>0.72504937644602452</v>
      </c>
      <c r="L135" s="488">
        <f>Passby_Length_Adj!H130</f>
        <v>0.30966767371601206</v>
      </c>
      <c r="M135" s="488">
        <f>Passby_Length_Adj!J130</f>
        <v>0.57899999999999996</v>
      </c>
      <c r="N135" s="372">
        <v>0.5</v>
      </c>
      <c r="O135" s="481">
        <f t="shared" si="82"/>
        <v>8.9648791540785491E-2</v>
      </c>
      <c r="P135" s="489">
        <f t="shared" si="83"/>
        <v>443.56873453248306</v>
      </c>
      <c r="Q135" s="490">
        <f t="shared" si="84"/>
        <v>265.61002067813359</v>
      </c>
      <c r="R135" s="491">
        <f t="shared" si="85"/>
        <v>261.71052631578948</v>
      </c>
      <c r="S135" s="500">
        <f t="shared" si="86"/>
        <v>69512.938306422075</v>
      </c>
      <c r="T135" s="489">
        <f t="shared" si="87"/>
        <v>34.239546974297227</v>
      </c>
      <c r="U135" s="493">
        <f t="shared" si="88"/>
        <v>154.50490219883392</v>
      </c>
      <c r="V135" s="500">
        <f t="shared" si="89"/>
        <v>5290.1778565961731</v>
      </c>
      <c r="W135" s="489">
        <f t="shared" si="90"/>
        <v>25.814225424920046</v>
      </c>
      <c r="X135" s="493">
        <f t="shared" si="91"/>
        <v>37.9060089869281</v>
      </c>
      <c r="Y135" s="763">
        <f t="shared" si="92"/>
        <v>978.51426094760711</v>
      </c>
      <c r="Z135" s="381"/>
      <c r="AB135" s="11"/>
    </row>
    <row r="136" spans="1:28" ht="17.100000000000001" customHeight="1" x14ac:dyDescent="0.25">
      <c r="B136" s="741">
        <f>ITE_LUC_Rates!A127</f>
        <v>937</v>
      </c>
      <c r="C136" s="367" t="str">
        <f>ITE_LUC_Rates!B127</f>
        <v>Coffee/Donut Shop with Drive Through</v>
      </c>
      <c r="D136" s="366" t="str">
        <f>ITE_LUC_Rates!C127</f>
        <v>1000 GSF</v>
      </c>
      <c r="E136" s="365">
        <f>ITE_LUC_Rates!G127</f>
        <v>820.38</v>
      </c>
      <c r="F136" s="366" t="s">
        <v>73</v>
      </c>
      <c r="G136" s="373">
        <f>ITE_LUC_Rates!Q127</f>
        <v>58641.2</v>
      </c>
      <c r="H136" s="499">
        <f t="shared" si="66"/>
        <v>132009.2026058246</v>
      </c>
      <c r="I136" s="487">
        <f>ITECountywide!$B$9*E136</f>
        <v>1487.00481092823</v>
      </c>
      <c r="J136" s="495">
        <f t="shared" si="80"/>
        <v>1.67</v>
      </c>
      <c r="K136" s="372">
        <f t="shared" si="81"/>
        <v>0.72504937644602452</v>
      </c>
      <c r="L136" s="488">
        <f>Passby_Length_Adj!H131</f>
        <v>0.30966767371601206</v>
      </c>
      <c r="M136" s="488">
        <f>Passby_Length_Adj!J131</f>
        <v>0.57899999999999996</v>
      </c>
      <c r="N136" s="372">
        <v>0.5</v>
      </c>
      <c r="O136" s="481">
        <f t="shared" si="82"/>
        <v>8.9648791540785491E-2</v>
      </c>
      <c r="P136" s="489">
        <f t="shared" si="83"/>
        <v>772.68270184894016</v>
      </c>
      <c r="Q136" s="490">
        <f t="shared" si="84"/>
        <v>462.6842526041558</v>
      </c>
      <c r="R136" s="491">
        <f t="shared" si="85"/>
        <v>261.71052631578948</v>
      </c>
      <c r="S136" s="500">
        <f t="shared" si="86"/>
        <v>121089.33926706131</v>
      </c>
      <c r="T136" s="489">
        <f t="shared" si="87"/>
        <v>59.644207552338798</v>
      </c>
      <c r="U136" s="493">
        <f t="shared" si="88"/>
        <v>154.50490219883392</v>
      </c>
      <c r="V136" s="500">
        <f t="shared" si="89"/>
        <v>9215.322454601057</v>
      </c>
      <c r="W136" s="489">
        <f t="shared" si="90"/>
        <v>44.967563975147904</v>
      </c>
      <c r="X136" s="493">
        <f t="shared" si="91"/>
        <v>37.9060089869281</v>
      </c>
      <c r="Y136" s="763">
        <f t="shared" si="92"/>
        <v>1704.5408841622207</v>
      </c>
      <c r="Z136" s="381"/>
      <c r="AB136" s="11"/>
    </row>
    <row r="137" spans="1:28" ht="17.100000000000001" customHeight="1" thickBot="1" x14ac:dyDescent="0.3">
      <c r="B137" s="745">
        <f>ITE_LUC_Rates!A128</f>
        <v>944</v>
      </c>
      <c r="C137" s="746" t="str">
        <f>ITE_LUC_Rates!B128</f>
        <v>Gasoline/Service Station</v>
      </c>
      <c r="D137" s="747" t="str">
        <f>ITE_LUC_Rates!C128</f>
        <v>Pump</v>
      </c>
      <c r="E137" s="748">
        <f>ITE_LUC_Rates!G128</f>
        <v>172.01</v>
      </c>
      <c r="F137" s="747" t="s">
        <v>73</v>
      </c>
      <c r="G137" s="749">
        <f>ITE_LUC_Rates!Q128</f>
        <v>12075.078</v>
      </c>
      <c r="H137" s="766">
        <f t="shared" si="66"/>
        <v>34415.618343850467</v>
      </c>
      <c r="I137" s="751">
        <f>ITECountywide!$B$9*E137</f>
        <v>311.78197606933963</v>
      </c>
      <c r="J137" s="752">
        <f t="shared" si="80"/>
        <v>1.67</v>
      </c>
      <c r="K137" s="753">
        <f t="shared" si="81"/>
        <v>0.72504937644602452</v>
      </c>
      <c r="L137" s="754">
        <f>Passby_Length_Adj!H132</f>
        <v>0.32930513595166166</v>
      </c>
      <c r="M137" s="754">
        <f>Passby_Length_Adj!J132</f>
        <v>0.67700000000000005</v>
      </c>
      <c r="N137" s="753">
        <v>0.5</v>
      </c>
      <c r="O137" s="755">
        <f t="shared" si="82"/>
        <v>0.11146978851963749</v>
      </c>
      <c r="P137" s="756">
        <f t="shared" si="83"/>
        <v>201.44317549688012</v>
      </c>
      <c r="Q137" s="757">
        <f t="shared" si="84"/>
        <v>120.62465598615576</v>
      </c>
      <c r="R137" s="758">
        <f t="shared" si="85"/>
        <v>261.71052631578948</v>
      </c>
      <c r="S137" s="767">
        <f t="shared" si="86"/>
        <v>31568.742204797869</v>
      </c>
      <c r="T137" s="756">
        <f t="shared" si="87"/>
        <v>15.549615049732342</v>
      </c>
      <c r="U137" s="760">
        <f t="shared" si="88"/>
        <v>154.50490219883392</v>
      </c>
      <c r="V137" s="767">
        <f t="shared" si="89"/>
        <v>2402.4917524884113</v>
      </c>
      <c r="W137" s="756">
        <f t="shared" si="90"/>
        <v>11.723322988643567</v>
      </c>
      <c r="X137" s="760">
        <f t="shared" si="91"/>
        <v>37.9060089869281</v>
      </c>
      <c r="Y137" s="768">
        <f t="shared" si="92"/>
        <v>444.38438656418384</v>
      </c>
      <c r="Z137" s="381"/>
      <c r="AB137" s="11"/>
    </row>
    <row r="138" spans="1:28" ht="17.100000000000001" customHeight="1" x14ac:dyDescent="0.25">
      <c r="A138" s="90"/>
      <c r="E138" s="371"/>
      <c r="H138" s="501"/>
      <c r="I138" s="381"/>
      <c r="J138" s="496"/>
      <c r="K138" s="23"/>
      <c r="L138" s="23"/>
      <c r="M138" s="23"/>
      <c r="N138" s="23"/>
      <c r="O138" s="369"/>
      <c r="P138" s="23"/>
      <c r="Q138" s="381"/>
      <c r="R138" s="379"/>
      <c r="S138" s="380"/>
      <c r="T138" s="497"/>
      <c r="U138" s="381"/>
      <c r="V138" s="382"/>
      <c r="W138" s="381"/>
      <c r="X138" s="381"/>
      <c r="Y138" s="502"/>
      <c r="Z138" s="381"/>
      <c r="AB138" s="11"/>
    </row>
    <row r="139" spans="1:28" x14ac:dyDescent="0.25">
      <c r="H139" s="501"/>
      <c r="I139" s="381"/>
      <c r="J139" s="496"/>
      <c r="K139" s="23"/>
      <c r="L139" s="23"/>
      <c r="M139" s="23"/>
      <c r="N139" s="23"/>
      <c r="O139" s="369"/>
      <c r="P139" s="23"/>
      <c r="Q139" s="381"/>
      <c r="R139" s="379"/>
      <c r="S139" s="380"/>
      <c r="T139" s="497"/>
      <c r="U139" s="381"/>
      <c r="V139" s="382"/>
      <c r="W139" s="381"/>
      <c r="X139" s="381"/>
      <c r="Y139" s="502"/>
      <c r="Z139" s="494"/>
    </row>
    <row r="140" spans="1:28" x14ac:dyDescent="0.25">
      <c r="H140" s="382"/>
      <c r="I140" s="381"/>
      <c r="J140" s="496"/>
      <c r="K140" s="23"/>
      <c r="L140" s="23"/>
      <c r="M140" s="23"/>
      <c r="N140" s="23"/>
      <c r="O140" s="369"/>
      <c r="P140" s="23"/>
      <c r="Q140" s="381"/>
      <c r="R140" s="379"/>
      <c r="S140" s="380"/>
      <c r="T140" s="497"/>
      <c r="U140" s="381"/>
      <c r="V140" s="382"/>
      <c r="W140" s="381"/>
      <c r="X140" s="381"/>
      <c r="Y140" s="502"/>
      <c r="Z140" s="494"/>
    </row>
    <row r="141" spans="1:28" x14ac:dyDescent="0.25">
      <c r="Y141" s="378"/>
      <c r="Z141" s="58"/>
    </row>
    <row r="142" spans="1:28" x14ac:dyDescent="0.25">
      <c r="Y142" s="378"/>
      <c r="Z142" s="58"/>
    </row>
    <row r="143" spans="1:28" x14ac:dyDescent="0.25">
      <c r="Y143" s="378"/>
      <c r="Z143" s="58"/>
    </row>
    <row r="144" spans="1:28" x14ac:dyDescent="0.25">
      <c r="Y144" s="378"/>
      <c r="Z144" s="58"/>
    </row>
    <row r="145" spans="25:26" x14ac:dyDescent="0.25">
      <c r="Y145" s="378"/>
      <c r="Z145" s="58"/>
    </row>
    <row r="146" spans="25:26" x14ac:dyDescent="0.25">
      <c r="Y146" s="378"/>
      <c r="Z146" s="58"/>
    </row>
    <row r="147" spans="25:26" x14ac:dyDescent="0.25">
      <c r="Y147" s="378"/>
      <c r="Z147" s="58"/>
    </row>
    <row r="148" spans="25:26" x14ac:dyDescent="0.25">
      <c r="Y148" s="378"/>
      <c r="Z148" s="58"/>
    </row>
    <row r="149" spans="25:26" x14ac:dyDescent="0.25">
      <c r="Y149" s="378"/>
      <c r="Z149" s="58"/>
    </row>
    <row r="150" spans="25:26" x14ac:dyDescent="0.25">
      <c r="Y150" s="378"/>
      <c r="Z150" s="58"/>
    </row>
    <row r="151" spans="25:26" x14ac:dyDescent="0.25">
      <c r="Y151" s="378"/>
      <c r="Z151" s="58"/>
    </row>
    <row r="152" spans="25:26" x14ac:dyDescent="0.25">
      <c r="Y152" s="378"/>
    </row>
    <row r="153" spans="25:26" x14ac:dyDescent="0.25">
      <c r="Y153" s="378"/>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696DEC-3799-41DC-AE81-50B11C87380E}">
  <ds:schemaRefs>
    <ds:schemaRef ds:uri="http://purl.org/dc/dcmitype/"/>
    <ds:schemaRef ds:uri="http://schemas.microsoft.com/office/infopath/2007/PartnerControls"/>
    <ds:schemaRef ds:uri="http://purl.org/dc/terms/"/>
    <ds:schemaRef ds:uri="23d37c51-de62-4c07-9dce-c6fca7b41c24"/>
    <ds:schemaRef ds:uri="E86CB381-5C01-4B57-B905-007C920881CB"/>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e86cb381-5c01-4b57-b905-007c920881cb"/>
    <ds:schemaRef ds:uri="http://www.w3.org/XML/1998/namespace"/>
  </ds:schemaRefs>
</ds:datastoreItem>
</file>

<file path=customXml/itemProps2.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TOC</vt:lpstr>
      <vt:lpstr>ContextAreas_Map</vt:lpstr>
      <vt:lpstr>Calc_Worksheet</vt:lpstr>
      <vt:lpstr>FEE_ByContextArea</vt:lpstr>
      <vt:lpstr>FEE_ByContextArea_ByMode</vt:lpstr>
      <vt:lpstr>FEE_ByContextArea_ByMode_CODE</vt:lpstr>
      <vt:lpstr>RIF_FEE_RATIO</vt:lpstr>
      <vt:lpstr>FEE_1_In</vt:lpstr>
      <vt:lpstr>FEE_2_In</vt:lpstr>
      <vt:lpstr>FEE_2_Out</vt:lpstr>
      <vt:lpstr>FEE_3_In</vt:lpstr>
      <vt:lpstr>FEE_3_Out</vt:lpstr>
      <vt:lpstr>FEE_4_In</vt:lpstr>
      <vt:lpstr>FEE_4_Out</vt:lpstr>
      <vt:lpstr>AreaModeSharesandPMT</vt:lpstr>
      <vt:lpstr>ITE_LUC_Rates</vt:lpstr>
      <vt:lpstr>Road_Sort_VMT</vt:lpstr>
      <vt:lpstr>ITECountywide</vt:lpstr>
      <vt:lpstr>Passby_Length_Adj</vt:lpstr>
      <vt:lpstr>HillsboroughLength_PassBy</vt:lpstr>
      <vt:lpstr>ITE_PassBy</vt:lpstr>
      <vt:lpstr>SurveyTripLengthsAndPassBy</vt:lpstr>
      <vt:lpstr>2045_24hr_all_productions</vt:lpstr>
      <vt:lpstr>PMT_Pivot</vt:lpstr>
      <vt:lpstr>2045_24hr_all_attractions</vt:lpstr>
      <vt:lpstr>RoadCapCost</vt:lpstr>
      <vt:lpstr>TransitCapCost</vt:lpstr>
      <vt:lpstr>WalkBikeCapCost</vt:lpstr>
      <vt:lpstr>Credits</vt:lpstr>
      <vt:lpstr>CurrentFee_RIF</vt:lpstr>
      <vt:lpstr>RoadFeeCalc</vt:lpstr>
      <vt:lpstr>RIFvMIF (Simple)</vt:lpstr>
      <vt:lpstr>RIFvMIF (Scenario1)</vt:lpstr>
      <vt:lpstr>RIFvMIF(Scenario2)</vt:lpstr>
      <vt:lpstr>RIFvMIF(Scenario3)</vt:lpstr>
      <vt:lpstr>RIFvMIF (Scenario1) (RoadsOnly)</vt:lpstr>
      <vt:lpstr>RIFvMIF (Scenario1) (BW_Only)</vt:lpstr>
      <vt:lpstr>ImpTypePct</vt:lpstr>
      <vt:lpstr>Average_Fee_Vs_RIF</vt:lpstr>
      <vt:lpstr>FEE_1_Out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2021-11-04T19:04:30Z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