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30"/>
  </bookViews>
  <sheets>
    <sheet name="史记智能预算" sheetId="1" r:id="rId1"/>
    <sheet name="AIOT" sheetId="2" r:id="rId2"/>
    <sheet name="AIOT销售" sheetId="9" r:id="rId3"/>
    <sheet name="自动化" sheetId="3" r:id="rId4"/>
    <sheet name="设备服务" sheetId="4" r:id="rId5"/>
    <sheet name="软件中心" sheetId="5" r:id="rId6"/>
    <sheet name="企划" sheetId="6" r:id="rId7"/>
    <sheet name="算法" sheetId="7" r:id="rId8"/>
    <sheet name="行政人事" sheetId="8" r:id="rId9"/>
  </sheets>
  <calcPr calcId="144525"/>
</workbook>
</file>

<file path=xl/sharedStrings.xml><?xml version="1.0" encoding="utf-8"?>
<sst xmlns="http://schemas.openxmlformats.org/spreadsheetml/2006/main" count="408" uniqueCount="63">
  <si>
    <t>预算</t>
  </si>
  <si>
    <t>序号</t>
  </si>
  <si>
    <t>科目</t>
  </si>
  <si>
    <t>金额（万元）</t>
  </si>
  <si>
    <t>2022年4季度</t>
  </si>
  <si>
    <t>2023年</t>
  </si>
  <si>
    <t>AIOT</t>
  </si>
  <si>
    <t>自动化</t>
  </si>
  <si>
    <t>设备服务</t>
  </si>
  <si>
    <t>软件中心</t>
  </si>
  <si>
    <t>企划</t>
  </si>
  <si>
    <t>算法</t>
  </si>
  <si>
    <t>行政人事</t>
  </si>
  <si>
    <t>合计</t>
  </si>
  <si>
    <t>推广服务</t>
  </si>
  <si>
    <t>企划-采购</t>
  </si>
  <si>
    <t>销售产品购成</t>
  </si>
  <si>
    <t>5000元×632台环控器</t>
  </si>
  <si>
    <t>31.6万来自环控器的安装</t>
  </si>
  <si>
    <t>5000元价格销售3462台环控器。其它见“AIOT销售”页</t>
  </si>
  <si>
    <t>1260（饲喂器总价格）销售数量5.2万台</t>
  </si>
  <si>
    <t>236万来自物联网安装，其余来自5.2万台饲喂器每台150元安装费</t>
  </si>
  <si>
    <t>1.5元价格内部销售电子耳标400万枚</t>
  </si>
  <si>
    <t>销售总额（比照市场价，需考虑大规模采购的折价，含安装费）</t>
  </si>
  <si>
    <t>生产制造成本（开模、生产制造）</t>
  </si>
  <si>
    <t>产品平均毛利率（销售额-安装费-生产制造成本）/（销售额-安装费）</t>
  </si>
  <si>
    <t>安装费、售后服务费</t>
  </si>
  <si>
    <t>年度平均员工人数</t>
  </si>
  <si>
    <t>年度固定资产总额（不含折旧）</t>
  </si>
  <si>
    <t>年度人工成本（含五险一金、福利费）</t>
  </si>
  <si>
    <t>年度研发费用（不含人工，工业设计、研发材料等）</t>
  </si>
  <si>
    <t>年度管理费用（房租分摊、差旅费、日常团建、）</t>
  </si>
  <si>
    <t>年度销售费用（安装费、售后服务费、销售提成）</t>
  </si>
  <si>
    <t>年度财务费用（贷款利息，没有则不填）</t>
  </si>
  <si>
    <t>所得税增值税</t>
  </si>
  <si>
    <t>年度净现金流（主要由亏损额＋合同质保金组成）</t>
  </si>
  <si>
    <t>年度利润</t>
  </si>
  <si>
    <t>注1：内部销售定价原则：市场化定价原则的前提下打折，毛利高的产品例如环控器，打6折；毛利低的产品例如饲喂器，打9折
注2：财务费用按照占用资金的6%计息，设备类固定资产折旧按照6年计算，无形资产按照20年计提折旧
注3：净现金流值是指在不做贷款或融资的前提下，实际运行时可以从第二年开始融资贷款，不占用公司母公司现金流。</t>
  </si>
  <si>
    <t>明细</t>
  </si>
  <si>
    <t>注1：销售定价，可以按照市场化定价原则；
注2：财务费用按照占用资金的6%计息，固定资产折旧按照6年计算
注3：净现金流值是指在不做贷款或融资的前提下，实际运行时可以从第二年开始融资贷款，不占用公司母公司现金流。</t>
  </si>
  <si>
    <t>环控器 2022年度Q4销售数 基于双改18个猪场</t>
  </si>
  <si>
    <t>月份</t>
  </si>
  <si>
    <t>成本</t>
  </si>
  <si>
    <t>成本总计</t>
  </si>
  <si>
    <t>售价</t>
  </si>
  <si>
    <t>销售总计</t>
  </si>
  <si>
    <t>安装费</t>
  </si>
  <si>
    <t>安装费总额</t>
  </si>
  <si>
    <t>毛利润</t>
  </si>
  <si>
    <t>台数</t>
  </si>
  <si>
    <t>环控器 2023年度销售数 7440</t>
  </si>
  <si>
    <t>温湿度传感器 2023年度销售数</t>
  </si>
  <si>
    <t>CO2 传感器 2023年度销售数</t>
  </si>
  <si>
    <t>智能报警器 2023年度销售数 5800</t>
  </si>
  <si>
    <t>智能养殖助理 2023年度销售数 1500</t>
  </si>
  <si>
    <t>料塔防偷料装置 2023年度销售数</t>
  </si>
  <si>
    <t>可穿戴生物传感器 2023年度销售数</t>
  </si>
  <si>
    <t>咳嗽自动识别 2023年度销售数</t>
  </si>
  <si>
    <t>1260（饲喂器总价格）x52000（饲喂器安装数量）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</si>
  <si>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00万耳标知识产权和50万研发</t>
    </r>
  </si>
  <si>
    <r>
      <rPr>
        <sz val="11"/>
        <color theme="1"/>
        <rFont val="宋体"/>
        <charset val="134"/>
        <scheme val="minor"/>
      </rPr>
      <t>耳标开模1</t>
    </r>
    <r>
      <rPr>
        <sz val="11"/>
        <color theme="1"/>
        <rFont val="宋体"/>
        <charset val="134"/>
        <scheme val="minor"/>
      </rPr>
      <t>22万，按销售400万耳标计算</t>
    </r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</si>
  <si>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0万猎头费用</t>
    </r>
  </si>
  <si>
    <t>40万猎头费用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</si>
</sst>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  <numFmt numFmtId="178" formatCode="0.00_ "/>
    <numFmt numFmtId="179" formatCode="0.0"/>
  </numFmts>
  <fonts count="36">
    <font>
      <sz val="11"/>
      <color theme="1"/>
      <name val="宋体"/>
      <charset val="134"/>
      <scheme val="minor"/>
    </font>
    <font>
      <sz val="11"/>
      <color theme="1"/>
      <name val="楷体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楷体"/>
      <charset val="134"/>
    </font>
    <font>
      <sz val="11"/>
      <color rgb="FF000000"/>
      <name val="微软雅黑"/>
      <charset val="134"/>
    </font>
    <font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楷体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25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9" fillId="20" borderId="28" applyNumberFormat="0" applyAlignment="0" applyProtection="0">
      <alignment vertical="center"/>
    </xf>
    <xf numFmtId="0" fontId="30" fillId="20" borderId="24" applyNumberFormat="0" applyAlignment="0" applyProtection="0">
      <alignment vertical="center"/>
    </xf>
    <xf numFmtId="0" fontId="31" fillId="21" borderId="29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1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vertical="center" wrapText="1"/>
    </xf>
    <xf numFmtId="0" fontId="0" fillId="5" borderId="6" xfId="0" applyFill="1" applyBorder="1">
      <alignment vertical="center"/>
    </xf>
    <xf numFmtId="176" fontId="0" fillId="5" borderId="6" xfId="0" applyNumberFormat="1" applyFill="1" applyBorder="1">
      <alignment vertical="center"/>
    </xf>
    <xf numFmtId="9" fontId="0" fillId="5" borderId="6" xfId="0" applyNumberFormat="1" applyFill="1" applyBorder="1">
      <alignment vertical="center"/>
    </xf>
    <xf numFmtId="0" fontId="0" fillId="0" borderId="6" xfId="0" applyBorder="1">
      <alignment vertical="center"/>
    </xf>
    <xf numFmtId="176" fontId="0" fillId="0" borderId="6" xfId="0" applyNumberFormat="1" applyBorder="1">
      <alignment vertical="center"/>
    </xf>
    <xf numFmtId="0" fontId="0" fillId="6" borderId="6" xfId="0" applyFill="1" applyBorder="1" applyAlignment="1">
      <alignment vertical="center" wrapText="1"/>
    </xf>
    <xf numFmtId="0" fontId="0" fillId="6" borderId="6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0" borderId="9" xfId="0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49" fontId="0" fillId="3" borderId="10" xfId="0" applyNumberForma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176" fontId="3" fillId="5" borderId="6" xfId="0" applyNumberFormat="1" applyFont="1" applyFill="1" applyBorder="1">
      <alignment vertical="center"/>
    </xf>
    <xf numFmtId="177" fontId="0" fillId="5" borderId="6" xfId="0" applyNumberFormat="1" applyFill="1" applyBorder="1">
      <alignment vertical="center"/>
    </xf>
    <xf numFmtId="0" fontId="4" fillId="7" borderId="11" xfId="0" applyFont="1" applyFill="1" applyBorder="1">
      <alignment vertical="center"/>
    </xf>
    <xf numFmtId="0" fontId="4" fillId="0" borderId="11" xfId="0" applyFont="1" applyBorder="1">
      <alignment vertical="center"/>
    </xf>
    <xf numFmtId="176" fontId="4" fillId="7" borderId="11" xfId="0" applyNumberFormat="1" applyFont="1" applyFill="1" applyBorder="1">
      <alignment vertical="center"/>
    </xf>
    <xf numFmtId="9" fontId="4" fillId="7" borderId="11" xfId="0" applyNumberFormat="1" applyFont="1" applyFill="1" applyBorder="1">
      <alignment vertical="center"/>
    </xf>
    <xf numFmtId="176" fontId="4" fillId="0" borderId="11" xfId="0" applyNumberFormat="1" applyFont="1" applyBorder="1">
      <alignment vertical="center"/>
    </xf>
    <xf numFmtId="176" fontId="5" fillId="7" borderId="11" xfId="0" applyNumberFormat="1" applyFont="1" applyFill="1" applyBorder="1" applyAlignment="1">
      <alignment vertical="center" wrapText="1"/>
    </xf>
    <xf numFmtId="176" fontId="5" fillId="7" borderId="11" xfId="0" applyNumberFormat="1" applyFont="1" applyFill="1" applyBorder="1">
      <alignment vertical="center"/>
    </xf>
    <xf numFmtId="9" fontId="5" fillId="7" borderId="11" xfId="0" applyNumberFormat="1" applyFont="1" applyFill="1" applyBorder="1">
      <alignment vertical="center"/>
    </xf>
    <xf numFmtId="0" fontId="5" fillId="7" borderId="11" xfId="0" applyFont="1" applyFill="1" applyBorder="1">
      <alignment vertical="center"/>
    </xf>
    <xf numFmtId="0" fontId="5" fillId="0" borderId="11" xfId="0" applyFont="1" applyBorder="1">
      <alignment vertical="center"/>
    </xf>
    <xf numFmtId="176" fontId="5" fillId="0" borderId="11" xfId="0" applyNumberFormat="1" applyFont="1" applyBorder="1">
      <alignment vertical="center"/>
    </xf>
    <xf numFmtId="176" fontId="5" fillId="6" borderId="11" xfId="0" applyNumberFormat="1" applyFont="1" applyFill="1" applyBorder="1">
      <alignment vertical="center"/>
    </xf>
    <xf numFmtId="0" fontId="6" fillId="0" borderId="0" xfId="49">
      <alignment vertical="center"/>
    </xf>
    <xf numFmtId="0" fontId="3" fillId="0" borderId="0" xfId="49" applyFont="1">
      <alignment vertical="center"/>
    </xf>
    <xf numFmtId="0" fontId="7" fillId="6" borderId="7" xfId="49" applyFont="1" applyFill="1" applyBorder="1" applyAlignment="1">
      <alignment horizontal="center" vertical="center"/>
    </xf>
    <xf numFmtId="0" fontId="7" fillId="6" borderId="8" xfId="49" applyFont="1" applyFill="1" applyBorder="1" applyAlignment="1">
      <alignment horizontal="center" vertical="center"/>
    </xf>
    <xf numFmtId="0" fontId="7" fillId="6" borderId="6" xfId="49" applyFont="1" applyFill="1" applyBorder="1" applyAlignment="1">
      <alignment horizontal="center" vertical="center"/>
    </xf>
    <xf numFmtId="0" fontId="7" fillId="0" borderId="7" xfId="49" applyFont="1" applyBorder="1" applyAlignment="1">
      <alignment horizontal="center" vertical="center"/>
    </xf>
    <xf numFmtId="0" fontId="7" fillId="0" borderId="8" xfId="49" applyFont="1" applyBorder="1" applyAlignment="1">
      <alignment horizontal="center" vertical="center"/>
    </xf>
    <xf numFmtId="0" fontId="7" fillId="0" borderId="6" xfId="49" applyFont="1" applyBorder="1" applyAlignment="1">
      <alignment horizontal="center" vertical="center"/>
    </xf>
    <xf numFmtId="0" fontId="7" fillId="0" borderId="0" xfId="49" applyFont="1" applyAlignment="1">
      <alignment horizontal="center" vertical="center"/>
    </xf>
    <xf numFmtId="0" fontId="7" fillId="8" borderId="6" xfId="49" applyFont="1" applyFill="1" applyBorder="1" applyAlignment="1">
      <alignment horizontal="center" vertical="center"/>
    </xf>
    <xf numFmtId="176" fontId="7" fillId="6" borderId="6" xfId="49" applyNumberFormat="1" applyFont="1" applyFill="1" applyBorder="1" applyAlignment="1">
      <alignment horizontal="center" vertical="center"/>
    </xf>
    <xf numFmtId="176" fontId="7" fillId="0" borderId="6" xfId="49" applyNumberFormat="1" applyFont="1" applyBorder="1" applyAlignment="1">
      <alignment horizontal="center" vertical="center"/>
    </xf>
    <xf numFmtId="176" fontId="7" fillId="0" borderId="0" xfId="49" applyNumberFormat="1" applyFont="1" applyAlignment="1">
      <alignment horizontal="center" vertical="center"/>
    </xf>
    <xf numFmtId="176" fontId="7" fillId="0" borderId="8" xfId="49" applyNumberFormat="1" applyFont="1" applyBorder="1" applyAlignment="1">
      <alignment horizontal="center" vertical="center"/>
    </xf>
    <xf numFmtId="0" fontId="7" fillId="6" borderId="10" xfId="49" applyFont="1" applyFill="1" applyBorder="1" applyAlignment="1">
      <alignment horizontal="center" vertical="center"/>
    </xf>
    <xf numFmtId="0" fontId="7" fillId="0" borderId="10" xfId="49" applyFont="1" applyBorder="1" applyAlignment="1">
      <alignment horizontal="center" vertical="center"/>
    </xf>
    <xf numFmtId="0" fontId="7" fillId="8" borderId="0" xfId="49" applyFont="1" applyFill="1" applyAlignment="1">
      <alignment horizontal="center" vertical="center"/>
    </xf>
    <xf numFmtId="0" fontId="7" fillId="8" borderId="8" xfId="49" applyFont="1" applyFill="1" applyBorder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4" fillId="0" borderId="0" xfId="0" applyFont="1">
      <alignment vertical="center"/>
    </xf>
    <xf numFmtId="0" fontId="4" fillId="9" borderId="0" xfId="0" applyFont="1" applyFill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49" fontId="4" fillId="3" borderId="17" xfId="0" applyNumberFormat="1" applyFont="1" applyFill="1" applyBorder="1" applyAlignment="1">
      <alignment horizontal="center" vertical="center"/>
    </xf>
    <xf numFmtId="49" fontId="4" fillId="3" borderId="18" xfId="0" applyNumberFormat="1" applyFont="1" applyFill="1" applyBorder="1" applyAlignment="1">
      <alignment horizontal="center" vertical="center"/>
    </xf>
    <xf numFmtId="49" fontId="4" fillId="10" borderId="11" xfId="0" applyNumberFormat="1" applyFont="1" applyFill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11" xfId="0" applyFont="1" applyBorder="1" applyAlignment="1">
      <alignment vertical="center" wrapText="1"/>
    </xf>
    <xf numFmtId="0" fontId="4" fillId="7" borderId="11" xfId="0" applyFont="1" applyFill="1" applyBorder="1" applyAlignment="1">
      <alignment horizontal="center" vertical="center"/>
    </xf>
    <xf numFmtId="176" fontId="4" fillId="7" borderId="11" xfId="0" applyNumberFormat="1" applyFont="1" applyFill="1" applyBorder="1" applyAlignment="1">
      <alignment horizontal="center" vertical="center"/>
    </xf>
    <xf numFmtId="178" fontId="8" fillId="6" borderId="6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9" fontId="8" fillId="5" borderId="6" xfId="0" applyNumberFormat="1" applyFont="1" applyFill="1" applyBorder="1" applyAlignment="1">
      <alignment horizontal="center" vertical="center"/>
    </xf>
    <xf numFmtId="9" fontId="4" fillId="7" borderId="11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0" fontId="4" fillId="6" borderId="11" xfId="0" applyFont="1" applyFill="1" applyBorder="1" applyAlignment="1">
      <alignment vertical="center" wrapText="1"/>
    </xf>
    <xf numFmtId="0" fontId="4" fillId="6" borderId="11" xfId="0" applyFont="1" applyFill="1" applyBorder="1" applyAlignment="1">
      <alignment horizontal="center" vertical="center"/>
    </xf>
    <xf numFmtId="176" fontId="4" fillId="6" borderId="11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49" fontId="4" fillId="3" borderId="20" xfId="0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78" fontId="4" fillId="7" borderId="11" xfId="0" applyNumberFormat="1" applyFont="1" applyFill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  <xf numFmtId="178" fontId="8" fillId="0" borderId="6" xfId="0" applyNumberFormat="1" applyFont="1" applyBorder="1" applyAlignment="1">
      <alignment horizontal="center" vertical="center"/>
    </xf>
    <xf numFmtId="178" fontId="4" fillId="6" borderId="1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9" fontId="12" fillId="3" borderId="7" xfId="0" applyNumberFormat="1" applyFont="1" applyFill="1" applyBorder="1" applyAlignment="1">
      <alignment horizontal="center" vertical="center"/>
    </xf>
    <xf numFmtId="49" fontId="12" fillId="3" borderId="8" xfId="0" applyNumberFormat="1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13" fillId="4" borderId="6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76" fontId="0" fillId="5" borderId="6" xfId="0" applyNumberFormat="1" applyFill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5" borderId="6" xfId="0" applyFont="1" applyFill="1" applyBorder="1" applyAlignment="1">
      <alignment vertical="center"/>
    </xf>
    <xf numFmtId="10" fontId="13" fillId="5" borderId="6" xfId="11" applyNumberFormat="1" applyFont="1" applyFill="1" applyBorder="1" applyAlignment="1">
      <alignment vertical="center"/>
    </xf>
    <xf numFmtId="0" fontId="12" fillId="6" borderId="6" xfId="0" applyFont="1" applyFill="1" applyBorder="1" applyAlignment="1">
      <alignment vertical="center" wrapText="1"/>
    </xf>
    <xf numFmtId="179" fontId="12" fillId="6" borderId="6" xfId="0" applyNumberFormat="1" applyFont="1" applyFill="1" applyBorder="1" applyAlignment="1">
      <alignment vertical="center"/>
    </xf>
    <xf numFmtId="0" fontId="15" fillId="0" borderId="6" xfId="0" applyFont="1" applyBorder="1" applyAlignment="1">
      <alignment horizontal="left" vertical="center" wrapText="1"/>
    </xf>
    <xf numFmtId="49" fontId="12" fillId="3" borderId="10" xfId="0" applyNumberFormat="1" applyFont="1" applyFill="1" applyBorder="1" applyAlignment="1">
      <alignment horizontal="center" vertical="center"/>
    </xf>
    <xf numFmtId="49" fontId="12" fillId="3" borderId="8" xfId="0" applyNumberFormat="1" applyFont="1" applyFill="1" applyBorder="1" applyAlignment="1">
      <alignment horizontal="center" vertical="center"/>
    </xf>
    <xf numFmtId="49" fontId="16" fillId="3" borderId="6" xfId="0" applyNumberFormat="1" applyFont="1" applyFill="1" applyBorder="1" applyAlignment="1">
      <alignment horizontal="center" vertical="center"/>
    </xf>
    <xf numFmtId="176" fontId="3" fillId="5" borderId="6" xfId="0" applyNumberFormat="1" applyFont="1" applyFill="1" applyBorder="1" applyAlignment="1">
      <alignment vertical="center" wrapText="1"/>
    </xf>
    <xf numFmtId="176" fontId="13" fillId="5" borderId="6" xfId="0" applyNumberFormat="1" applyFont="1" applyFill="1" applyBorder="1" applyAlignment="1">
      <alignment vertical="center"/>
    </xf>
    <xf numFmtId="176" fontId="13" fillId="6" borderId="6" xfId="0" applyNumberFormat="1" applyFont="1" applyFill="1" applyBorder="1" applyAlignment="1">
      <alignment vertical="center"/>
    </xf>
    <xf numFmtId="0" fontId="13" fillId="6" borderId="6" xfId="0" applyFont="1" applyFill="1" applyBorder="1" applyAlignment="1">
      <alignment vertical="center"/>
    </xf>
    <xf numFmtId="176" fontId="12" fillId="6" borderId="6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tabSelected="1" zoomScale="70" zoomScaleNormal="70" topLeftCell="B1" workbookViewId="0">
      <pane xSplit="1" ySplit="3" topLeftCell="C4" activePane="bottomRight" state="frozen"/>
      <selection/>
      <selection pane="topRight"/>
      <selection pane="bottomLeft"/>
      <selection pane="bottomRight" activeCell="C6" sqref="C6:S19"/>
    </sheetView>
  </sheetViews>
  <sheetFormatPr defaultColWidth="9.36363636363636" defaultRowHeight="14"/>
  <cols>
    <col min="1" max="1" width="4.72727272727273" customWidth="1"/>
    <col min="2" max="2" width="40.7727272727273" customWidth="1"/>
    <col min="3" max="3" width="10.5090909090909" customWidth="1"/>
    <col min="4" max="4" width="11.4181818181818" customWidth="1"/>
    <col min="5" max="5" width="10" customWidth="1"/>
    <col min="6" max="6" width="10.6454545454545" customWidth="1"/>
    <col min="7" max="7" width="9.72727272727273" customWidth="1"/>
    <col min="8" max="8" width="10.1272727272727" customWidth="1"/>
    <col min="9" max="9" width="11.1636363636364" customWidth="1"/>
    <col min="10" max="10" width="10.2545454545455" customWidth="1"/>
    <col min="11" max="11" width="12.1818181818182" customWidth="1"/>
    <col min="12" max="12" width="11" customWidth="1"/>
    <col min="13" max="13" width="11.2727272727273" customWidth="1"/>
    <col min="14" max="14" width="11.5454545454545" customWidth="1"/>
    <col min="15" max="15" width="12.3636363636364" customWidth="1"/>
    <col min="16" max="16" width="11.3" customWidth="1"/>
    <col min="17" max="17" width="11.1636363636364" customWidth="1"/>
    <col min="18" max="18" width="10.3818181818182" customWidth="1"/>
    <col min="19" max="19" width="10.6454545454545" customWidth="1"/>
  </cols>
  <sheetData>
    <row r="1" ht="25" customHeight="1" spans="1:19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</row>
    <row r="2" spans="1:19">
      <c r="A2" s="2" t="s">
        <v>1</v>
      </c>
      <c r="B2" s="9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ht="17.5" spans="1:19">
      <c r="A3" s="6"/>
      <c r="B3" s="94"/>
      <c r="C3" s="95" t="s">
        <v>4</v>
      </c>
      <c r="D3" s="96"/>
      <c r="E3" s="96"/>
      <c r="F3" s="96"/>
      <c r="G3" s="96"/>
      <c r="H3" s="96"/>
      <c r="I3" s="96"/>
      <c r="J3" s="108"/>
      <c r="K3" s="109" t="s">
        <v>5</v>
      </c>
      <c r="L3" s="96"/>
      <c r="M3" s="96"/>
      <c r="N3" s="96"/>
      <c r="O3" s="96"/>
      <c r="P3" s="96"/>
      <c r="Q3" s="96"/>
      <c r="R3" s="96"/>
      <c r="S3" s="108"/>
    </row>
    <row r="4" ht="19" spans="1:19">
      <c r="A4" s="6"/>
      <c r="B4" s="97"/>
      <c r="C4" s="98" t="s">
        <v>6</v>
      </c>
      <c r="D4" s="98" t="s">
        <v>7</v>
      </c>
      <c r="E4" s="98" t="s">
        <v>8</v>
      </c>
      <c r="F4" s="98" t="s">
        <v>9</v>
      </c>
      <c r="G4" s="98" t="s">
        <v>10</v>
      </c>
      <c r="H4" s="98" t="s">
        <v>11</v>
      </c>
      <c r="I4" s="98" t="s">
        <v>12</v>
      </c>
      <c r="J4" s="110" t="s">
        <v>13</v>
      </c>
      <c r="K4" s="98" t="s">
        <v>6</v>
      </c>
      <c r="L4" s="98" t="s">
        <v>7</v>
      </c>
      <c r="M4" s="98" t="s">
        <v>8</v>
      </c>
      <c r="N4" s="98" t="s">
        <v>14</v>
      </c>
      <c r="O4" s="98" t="s">
        <v>9</v>
      </c>
      <c r="P4" s="98" t="s">
        <v>15</v>
      </c>
      <c r="Q4" s="98" t="s">
        <v>11</v>
      </c>
      <c r="R4" s="98" t="s">
        <v>12</v>
      </c>
      <c r="S4" s="110" t="s">
        <v>13</v>
      </c>
    </row>
    <row r="5" ht="39" hidden="1" customHeight="1" spans="1:19">
      <c r="A5" s="11"/>
      <c r="B5" s="99" t="s">
        <v>16</v>
      </c>
      <c r="C5" s="100" t="s">
        <v>17</v>
      </c>
      <c r="D5" s="14"/>
      <c r="E5" s="101" t="s">
        <v>18</v>
      </c>
      <c r="F5" s="14"/>
      <c r="G5" s="14"/>
      <c r="H5" s="14"/>
      <c r="I5" s="14"/>
      <c r="J5" s="14"/>
      <c r="K5" s="111" t="s">
        <v>19</v>
      </c>
      <c r="L5" s="32" t="s">
        <v>20</v>
      </c>
      <c r="M5" s="111" t="s">
        <v>21</v>
      </c>
      <c r="N5" s="111"/>
      <c r="O5" s="111" t="s">
        <v>22</v>
      </c>
      <c r="P5" s="14"/>
      <c r="Q5" s="14"/>
      <c r="R5" s="14"/>
      <c r="S5" s="14"/>
    </row>
    <row r="6" ht="35" spans="1:19">
      <c r="A6" s="11">
        <v>1</v>
      </c>
      <c r="B6" s="102" t="s">
        <v>23</v>
      </c>
      <c r="C6" s="103">
        <f>AIOT!C6+自动化!C6+设备服务!C6+软件中心!C6+企划!C6+算法!C6+行政人事!C6</f>
        <v>316</v>
      </c>
      <c r="D6" s="103">
        <f>AIOT!D6+自动化!D6+设备服务!D6+软件中心!D6+企划!D6+算法!D6+行政人事!D6</f>
        <v>0</v>
      </c>
      <c r="E6" s="103">
        <v>31.6</v>
      </c>
      <c r="F6" s="103">
        <f>AIOT!F6+自动化!F6+设备服务!F6+软件中心!F6+企划!F6+算法!F6+行政人事!F6</f>
        <v>0</v>
      </c>
      <c r="G6" s="103">
        <f>AIOT!G6+自动化!G6+设备服务!G6+软件中心!G6+企划!G6+算法!G6+行政人事!G6</f>
        <v>0</v>
      </c>
      <c r="H6" s="103">
        <f>AIOT!H6+自动化!H6+设备服务!H6+软件中心!H6+企划!H6+算法!H6+行政人事!H6</f>
        <v>0</v>
      </c>
      <c r="I6" s="103">
        <f>AIOT!I6+自动化!I6+设备服务!I6+软件中心!I6+企划!I6+算法!I6+行政人事!I6</f>
        <v>0</v>
      </c>
      <c r="J6" s="112">
        <f>SUM(C6:I6)</f>
        <v>347.6</v>
      </c>
      <c r="K6" s="103">
        <f>AIOT!K6+自动化!K6+设备服务!K6+软件中心!K6+企划!K6+算法!K6+行政人事!K6-116</f>
        <v>3145.51</v>
      </c>
      <c r="L6" s="103">
        <f>AIOT!L6+自动化!L6+设备服务!L6+软件中心!L6+企划!L6+算法!L6+行政人事!L6-900</f>
        <v>5652</v>
      </c>
      <c r="M6" s="103">
        <f>AIOT!M6+自动化!M6+设备服务!M6+软件中心!M6+企划!M6+算法!M6+行政人事!M6</f>
        <v>1016</v>
      </c>
      <c r="N6" s="103">
        <v>0</v>
      </c>
      <c r="O6" s="103">
        <f>AIOT!N6+自动化!N6+设备服务!N6+软件中心!N6+企划!N6+算法!N6+行政人事!N6</f>
        <v>600</v>
      </c>
      <c r="P6" s="103">
        <f>AIOT!O6+自动化!O6+设备服务!O6+软件中心!O6+企划!O6+算法!O6+行政人事!O6</f>
        <v>0</v>
      </c>
      <c r="Q6" s="103">
        <f>AIOT!P6+自动化!P6+设备服务!P6+软件中心!P6+企划!P6+算法!P6+行政人事!P6</f>
        <v>0</v>
      </c>
      <c r="R6" s="103">
        <f>AIOT!Q6+自动化!Q6+设备服务!Q6+软件中心!Q6+企划!Q6+算法!Q6+行政人事!Q6</f>
        <v>0</v>
      </c>
      <c r="S6" s="115">
        <f>SUM(K6:R6)</f>
        <v>10413.51</v>
      </c>
    </row>
    <row r="7" ht="17.5" spans="1:19">
      <c r="A7" s="11">
        <v>2</v>
      </c>
      <c r="B7" s="102" t="s">
        <v>24</v>
      </c>
      <c r="C7" s="103">
        <f>AIOT!C7+自动化!C7+设备服务!C7+软件中心!C7+企划!C7+算法!C7+行政人事!C7</f>
        <v>31.6</v>
      </c>
      <c r="D7" s="103">
        <f>AIOT!D7+自动化!D7+设备服务!D7+软件中心!D7+企划!D7+算法!D7+行政人事!D7</f>
        <v>0</v>
      </c>
      <c r="E7" s="103">
        <f>AIOT!E7+自动化!E7+设备服务!E7+软件中心!E7+企划!E7+算法!E7+行政人事!E7</f>
        <v>0</v>
      </c>
      <c r="F7" s="103">
        <f>AIOT!F7+自动化!F7+设备服务!F7+软件中心!F7+企划!F7+算法!F7+行政人事!F7</f>
        <v>0</v>
      </c>
      <c r="G7" s="103">
        <f>AIOT!G7+自动化!G7+设备服务!G7+软件中心!G7+企划!G7+算法!G7+行政人事!G7</f>
        <v>0</v>
      </c>
      <c r="H7" s="103">
        <f>AIOT!H7+自动化!H7+设备服务!H7+软件中心!H7+企划!H7+算法!H7+行政人事!H7</f>
        <v>0</v>
      </c>
      <c r="I7" s="103">
        <f>AIOT!I7+自动化!I7+设备服务!I7+软件中心!I7+企划!I7+算法!I7+行政人事!I7</f>
        <v>0</v>
      </c>
      <c r="J7" s="112">
        <f t="shared" ref="J7:J18" si="0">SUM(C7:I7)</f>
        <v>31.6</v>
      </c>
      <c r="K7" s="103">
        <f>AIOT!K7+自动化!K7+设备服务!K7+软件中心!K7+企划!K7+算法!K7+行政人事!K7</f>
        <v>647.574</v>
      </c>
      <c r="L7" s="103">
        <f>AIOT!L7+自动化!L7+设备服务!L7+软件中心!L7+企划!L7+算法!L7+行政人事!L7</f>
        <v>2704</v>
      </c>
      <c r="M7" s="103">
        <f>AIOT!M7+自动化!M7+设备服务!M7+软件中心!M7+企划!M7+算法!M7+行政人事!M7</f>
        <v>0</v>
      </c>
      <c r="N7" s="103">
        <v>0</v>
      </c>
      <c r="O7" s="103">
        <f>AIOT!N7+自动化!N7+设备服务!N7+软件中心!N7+企划!N7+算法!N7+行政人事!N7</f>
        <v>400</v>
      </c>
      <c r="P7" s="103">
        <f>AIOT!O7+自动化!O7+设备服务!O7+软件中心!O7+企划!O7+算法!O7+行政人事!O7</f>
        <v>0</v>
      </c>
      <c r="Q7" s="103">
        <f>AIOT!P7+自动化!P7+设备服务!P7+软件中心!P7+企划!P7+算法!P7+行政人事!P7</f>
        <v>0</v>
      </c>
      <c r="R7" s="103">
        <f>AIOT!Q7+自动化!Q7+设备服务!Q7+软件中心!Q7+企划!Q7+算法!Q7+行政人事!Q7</f>
        <v>0</v>
      </c>
      <c r="S7" s="112">
        <f t="shared" ref="S7:S18" si="1">SUM(K7:R7)</f>
        <v>3751.574</v>
      </c>
    </row>
    <row r="8" ht="52.5" spans="1:19">
      <c r="A8" s="11">
        <v>3</v>
      </c>
      <c r="B8" s="102" t="s">
        <v>25</v>
      </c>
      <c r="C8" s="104">
        <f>(C6-C9-C7)/(C6-C9)</f>
        <v>0.888888888888889</v>
      </c>
      <c r="D8" s="104"/>
      <c r="E8" s="104"/>
      <c r="F8" s="104"/>
      <c r="G8" s="104"/>
      <c r="H8" s="104"/>
      <c r="I8" s="104"/>
      <c r="J8" s="104">
        <f t="shared" ref="J8" si="2">(J6-J9-J7)/(J6-J9)</f>
        <v>0.75</v>
      </c>
      <c r="K8" s="104">
        <f t="shared" ref="K8" si="3">(K6-K9-K7)/(K6-K9)</f>
        <v>0.785962036152583</v>
      </c>
      <c r="L8" s="104">
        <f t="shared" ref="L8" si="4">(L6-L9-L7)/(L6-L9)</f>
        <v>0.469387755102041</v>
      </c>
      <c r="M8" s="104"/>
      <c r="N8" s="104"/>
      <c r="O8" s="104">
        <f t="shared" ref="O8" si="5">(O6-O9-O7)/(O6-O9)</f>
        <v>0.333333333333333</v>
      </c>
      <c r="P8" s="104"/>
      <c r="Q8" s="104"/>
      <c r="R8" s="104"/>
      <c r="S8" s="104">
        <f t="shared" ref="S8" si="6">(S6-S9-S7)/(S6-S9)</f>
        <v>0.614729638275083</v>
      </c>
    </row>
    <row r="9" ht="17.5" spans="1:19">
      <c r="A9" s="11">
        <v>4</v>
      </c>
      <c r="B9" s="102" t="s">
        <v>26</v>
      </c>
      <c r="C9" s="103">
        <f>AIOT!C9+自动化!C9+设备服务!C9+软件中心!C9+企划!C9+算法!C9+行政人事!C9</f>
        <v>31.6</v>
      </c>
      <c r="D9" s="103">
        <f>AIOT!D9+自动化!D9+设备服务!D9+软件中心!D9+企划!D9+算法!D9+行政人事!D9</f>
        <v>31.6</v>
      </c>
      <c r="E9" s="103">
        <f>AIOT!E9+自动化!E9+设备服务!E9+软件中心!E9+企划!E9+算法!E9+行政人事!E9</f>
        <v>31.6</v>
      </c>
      <c r="F9" s="103">
        <f>AIOT!F9+自动化!F9+设备服务!F9+软件中心!F9+企划!F9+算法!F9+行政人事!F9</f>
        <v>31.6</v>
      </c>
      <c r="G9" s="103">
        <f>AIOT!G9+自动化!G9+设备服务!G9+软件中心!G9+企划!G9+算法!G9+行政人事!G9</f>
        <v>31.6</v>
      </c>
      <c r="H9" s="103">
        <f>AIOT!H9+自动化!H9+设备服务!H9+软件中心!H9+企划!H9+算法!H9+行政人事!H9</f>
        <v>31.6</v>
      </c>
      <c r="I9" s="103">
        <f>AIOT!I9+自动化!I9+设备服务!I9+软件中心!I9+企划!I9+算法!I9+行政人事!I9</f>
        <v>31.6</v>
      </c>
      <c r="J9" s="112">
        <f t="shared" si="0"/>
        <v>221.2</v>
      </c>
      <c r="K9" s="103">
        <f>AIOT!K9+自动化!K9+设备服务!K9+软件中心!K9+企划!K9+算法!K9+行政人事!K9-116</f>
        <v>120</v>
      </c>
      <c r="L9" s="103">
        <f>AIOT!L9+自动化!L9+设备服务!L9+软件中心!L9+企划!L9+算法!L9+行政人事!L9-900</f>
        <v>556</v>
      </c>
      <c r="M9" s="103">
        <f>AIOT!M9+自动化!M9+设备服务!M9+软件中心!M9+企划!M9+算法!M9+行政人事!M9</f>
        <v>0</v>
      </c>
      <c r="N9" s="103"/>
      <c r="O9" s="103">
        <f>AIOT!N9+自动化!N9+设备服务!N9+软件中心!N9+企划!N9+算法!N9+行政人事!N9</f>
        <v>0</v>
      </c>
      <c r="P9" s="103">
        <f>AIOT!O9+自动化!O9+设备服务!O9+软件中心!O9+企划!O9+算法!O9+行政人事!O9</f>
        <v>0</v>
      </c>
      <c r="Q9" s="103">
        <f>AIOT!P9+自动化!P9+设备服务!P9+软件中心!P9+企划!P9+算法!P9+行政人事!P9</f>
        <v>0</v>
      </c>
      <c r="R9" s="103">
        <f>AIOT!Q9+自动化!Q9+设备服务!Q9+软件中心!Q9+企划!Q9+算法!Q9+行政人事!Q9</f>
        <v>0</v>
      </c>
      <c r="S9" s="112">
        <f t="shared" si="1"/>
        <v>676</v>
      </c>
    </row>
    <row r="10" ht="17.5" spans="1:19">
      <c r="A10" s="11">
        <v>5</v>
      </c>
      <c r="B10" s="102" t="s">
        <v>27</v>
      </c>
      <c r="C10" s="103">
        <f>AIOT!C10+自动化!C10+设备服务!C10+软件中心!C10+企划!C10+算法!C10+行政人事!C10</f>
        <v>3</v>
      </c>
      <c r="D10" s="103">
        <f>AIOT!D10+自动化!D10+设备服务!D10+软件中心!D10+企划!D10+算法!D10+行政人事!D10</f>
        <v>4</v>
      </c>
      <c r="E10" s="103">
        <f>AIOT!E10+自动化!E10+设备服务!E10+软件中心!E10+企划!E10+算法!E10+行政人事!E10</f>
        <v>7.5</v>
      </c>
      <c r="F10" s="103">
        <f>AIOT!F10+自动化!F10+设备服务!F10+软件中心!F10+企划!F10+算法!F10+行政人事!F10</f>
        <v>3</v>
      </c>
      <c r="G10" s="103">
        <f>AIOT!G10+自动化!G10+设备服务!G10+软件中心!G10+企划!G10+算法!G10+行政人事!G10</f>
        <v>1</v>
      </c>
      <c r="H10" s="103">
        <f>AIOT!H10+自动化!H10+设备服务!H10+软件中心!H10+企划!H10+算法!H10+行政人事!H10</f>
        <v>0.75</v>
      </c>
      <c r="I10" s="103">
        <f>AIOT!I10+自动化!I10+设备服务!I10+软件中心!I10+企划!I10+算法!I10+行政人事!I10</f>
        <v>1</v>
      </c>
      <c r="J10" s="113">
        <f t="shared" si="0"/>
        <v>20.25</v>
      </c>
      <c r="K10" s="103">
        <f>AIOT!K10+自动化!K10+设备服务!K10+软件中心!K10+企划!K10+算法!K10+行政人事!K10</f>
        <v>16.87</v>
      </c>
      <c r="L10" s="103">
        <f>AIOT!L10+自动化!L10+设备服务!L10+软件中心!L10+企划!L10+算法!L10+行政人事!L10</f>
        <v>15</v>
      </c>
      <c r="M10" s="114">
        <f>AIOT!M10+自动化!M10+设备服务!M10+软件中心!M10+企划!M10+算法!M10+行政人事!M10</f>
        <v>50</v>
      </c>
      <c r="N10" s="114">
        <v>50</v>
      </c>
      <c r="O10" s="103">
        <f>AIOT!N10+自动化!N10+设备服务!N10+软件中心!N10+企划!N10+算法!N10+行政人事!N10</f>
        <v>20</v>
      </c>
      <c r="P10" s="103">
        <v>8</v>
      </c>
      <c r="Q10" s="103">
        <v>4</v>
      </c>
      <c r="R10" s="103">
        <v>3</v>
      </c>
      <c r="S10" s="115">
        <f t="shared" si="1"/>
        <v>166.87</v>
      </c>
    </row>
    <row r="11" ht="17.5" spans="1:19">
      <c r="A11" s="11">
        <v>6</v>
      </c>
      <c r="B11" s="102" t="s">
        <v>28</v>
      </c>
      <c r="C11" s="103">
        <f>AIOT!C11+自动化!C11+设备服务!C11+软件中心!C11+企划!C11+算法!C11+行政人事!C11</f>
        <v>3</v>
      </c>
      <c r="D11" s="103">
        <f>AIOT!D11+自动化!D11+设备服务!D11+软件中心!D11+企划!D11+算法!D11+行政人事!D11</f>
        <v>0</v>
      </c>
      <c r="E11" s="103">
        <f>AIOT!E11+自动化!E11+设备服务!E11+软件中心!E11+企划!E11+算法!E11+行政人事!E11</f>
        <v>0</v>
      </c>
      <c r="F11" s="103">
        <f>AIOT!F11+自动化!F11+设备服务!F11+软件中心!F11+企划!F11+算法!F11+行政人事!F11</f>
        <v>400</v>
      </c>
      <c r="G11" s="103">
        <f>AIOT!G11+自动化!G11+设备服务!G11+软件中心!G11+企划!G11+算法!G11+行政人事!G11</f>
        <v>0</v>
      </c>
      <c r="H11" s="103">
        <f>AIOT!H11+自动化!H11+设备服务!H11+软件中心!H11+企划!H11+算法!H11+行政人事!H11</f>
        <v>0</v>
      </c>
      <c r="I11" s="103">
        <f>AIOT!I11+自动化!I11+设备服务!I11+软件中心!I11+企划!I11+算法!I11+行政人事!I11</f>
        <v>0</v>
      </c>
      <c r="J11" s="112">
        <f t="shared" si="0"/>
        <v>403</v>
      </c>
      <c r="K11" s="103">
        <f>AIOT!K11+自动化!K11+设备服务!K11+软件中心!K11+企划!K11+算法!K11+行政人事!K11</f>
        <v>5</v>
      </c>
      <c r="L11" s="103">
        <f>AIOT!L11+自动化!L11+设备服务!L11+软件中心!L11+企划!L11+算法!L11+行政人事!L11</f>
        <v>0</v>
      </c>
      <c r="M11" s="103">
        <f>AIOT!M11+自动化!M11+设备服务!M11+软件中心!M11+企划!M11+算法!M11+行政人事!M11</f>
        <v>0</v>
      </c>
      <c r="N11" s="103">
        <v>0</v>
      </c>
      <c r="O11" s="103">
        <f>AIOT!N11+自动化!N11+设备服务!N11+软件中心!N11+企划!N11+算法!N11+行政人事!N11</f>
        <v>122</v>
      </c>
      <c r="P11" s="103">
        <f>AIOT!O11+自动化!O11+设备服务!O11+软件中心!O11+企划!O11+算法!O11+行政人事!O11</f>
        <v>0</v>
      </c>
      <c r="Q11" s="103">
        <f>AIOT!P11+自动化!P11+设备服务!P11+软件中心!P11+企划!P11+算法!P11+行政人事!P11</f>
        <v>0</v>
      </c>
      <c r="R11" s="103">
        <f>AIOT!Q11+自动化!Q11+设备服务!Q11+软件中心!Q11+企划!Q11+算法!Q11+行政人事!Q11</f>
        <v>0</v>
      </c>
      <c r="S11" s="112">
        <f t="shared" si="1"/>
        <v>127</v>
      </c>
    </row>
    <row r="12" ht="35" spans="1:19">
      <c r="A12" s="11">
        <v>7</v>
      </c>
      <c r="B12" s="102" t="s">
        <v>29</v>
      </c>
      <c r="C12" s="103">
        <f>AIOT!C12+自动化!C12+设备服务!C12+软件中心!C12+企划!C12+算法!C12+行政人事!C12</f>
        <v>60</v>
      </c>
      <c r="D12" s="103">
        <f>AIOT!D12+自动化!D12+设备服务!D12+软件中心!D12+企划!D12+算法!D12+行政人事!D12</f>
        <v>100</v>
      </c>
      <c r="E12" s="103">
        <f>AIOT!E12+自动化!E12+设备服务!E12+软件中心!E12+企划!E12+算法!E12+行政人事!E12</f>
        <v>30</v>
      </c>
      <c r="F12" s="103">
        <f>AIOT!F12+自动化!F12+设备服务!F12+软件中心!F12+企划!F12+算法!F12+行政人事!F12</f>
        <v>90</v>
      </c>
      <c r="G12" s="103">
        <f>AIOT!G12+自动化!G12+设备服务!G12+软件中心!G12+企划!G12+算法!G12+行政人事!G12</f>
        <v>30</v>
      </c>
      <c r="H12" s="103">
        <f>AIOT!H12+自动化!H12+设备服务!H12+软件中心!H12+企划!H12+算法!H12+行政人事!H12</f>
        <v>30</v>
      </c>
      <c r="I12" s="103">
        <f>AIOT!I12+自动化!I12+设备服务!I12+软件中心!I12+企划!I12+算法!I12+行政人事!I12</f>
        <v>12</v>
      </c>
      <c r="J12" s="112">
        <f t="shared" si="0"/>
        <v>352</v>
      </c>
      <c r="K12" s="103">
        <f>AIOT!K12+自动化!K12+设备服务!K12+软件中心!K12+企划!K12+算法!K12+行政人事!K12</f>
        <v>404.88</v>
      </c>
      <c r="L12" s="103">
        <f>AIOT!L12+自动化!L12+设备服务!L12+软件中心!L12+企划!L12+算法!L12+行政人事!L12</f>
        <v>360</v>
      </c>
      <c r="M12" s="103">
        <f>AIOT!M12+自动化!M12+设备服务!M12+软件中心!M12+企划!M12+算法!M12+行政人事!M12</f>
        <v>1000</v>
      </c>
      <c r="N12" s="103">
        <v>960</v>
      </c>
      <c r="O12" s="103">
        <f>AIOT!N12+自动化!N12+设备服务!N12+软件中心!N12+企划!N12+算法!N12+行政人事!N12</f>
        <v>600</v>
      </c>
      <c r="P12" s="103">
        <v>200</v>
      </c>
      <c r="Q12" s="103">
        <v>150</v>
      </c>
      <c r="R12" s="103">
        <v>90</v>
      </c>
      <c r="S12" s="112">
        <f t="shared" si="1"/>
        <v>3764.88</v>
      </c>
    </row>
    <row r="13" ht="35" spans="1:19">
      <c r="A13" s="11">
        <v>8</v>
      </c>
      <c r="B13" s="102" t="s">
        <v>30</v>
      </c>
      <c r="C13" s="103">
        <f>AIOT!C13+自动化!C13+设备服务!C13+软件中心!C13+企划!C13+算法!C13+行政人事!C13</f>
        <v>3</v>
      </c>
      <c r="D13" s="103">
        <f>AIOT!D13+自动化!D13+设备服务!D13+软件中心!D13+企划!D13+算法!D13+行政人事!D13</f>
        <v>40</v>
      </c>
      <c r="E13" s="103">
        <f>AIOT!E13+自动化!E13+设备服务!E13+软件中心!E13+企划!E13+算法!E13+行政人事!E13</f>
        <v>0</v>
      </c>
      <c r="F13" s="103">
        <f>AIOT!F13+自动化!F13+设备服务!F13+软件中心!F13+企划!F13+算法!F13+行政人事!F13</f>
        <v>0</v>
      </c>
      <c r="G13" s="103">
        <f>AIOT!G13+自动化!G13+设备服务!G13+软件中心!G13+企划!G13+算法!G13+行政人事!G13</f>
        <v>0</v>
      </c>
      <c r="H13" s="103">
        <f>AIOT!H13+自动化!H13+设备服务!H13+软件中心!H13+企划!H13+算法!H13+行政人事!H13</f>
        <v>0</v>
      </c>
      <c r="I13" s="103">
        <f>AIOT!I13+自动化!I13+设备服务!I13+软件中心!I13+企划!I13+算法!I13+行政人事!I13</f>
        <v>80</v>
      </c>
      <c r="J13" s="112">
        <f t="shared" si="0"/>
        <v>123</v>
      </c>
      <c r="K13" s="103">
        <v>205</v>
      </c>
      <c r="L13" s="103">
        <f>AIOT!L13+自动化!L13+设备服务!L13+软件中心!L13+企划!L13+算法!L13+行政人事!L13</f>
        <v>100</v>
      </c>
      <c r="M13" s="103">
        <f>AIOT!M13+自动化!M13+设备服务!M13+软件中心!M13+企划!M13+算法!M13+行政人事!M13</f>
        <v>0</v>
      </c>
      <c r="N13" s="103">
        <v>0</v>
      </c>
      <c r="O13" s="103">
        <f>AIOT!N13+自动化!N13+设备服务!N13+软件中心!N13+企划!N13+算法!N13+行政人事!N13</f>
        <v>0</v>
      </c>
      <c r="P13" s="103">
        <f>AIOT!O13+自动化!O13+设备服务!O13+软件中心!O13+企划!O13+算法!O13+行政人事!O13</f>
        <v>0</v>
      </c>
      <c r="Q13" s="103">
        <f>AIOT!P13+自动化!P13+设备服务!P13+软件中心!P13+企划!P13+算法!P13+行政人事!P13</f>
        <v>0</v>
      </c>
      <c r="R13" s="103">
        <f>AIOT!Q13+自动化!Q13+设备服务!Q13+软件中心!Q13+企划!Q13+算法!Q13+行政人事!Q13</f>
        <v>40</v>
      </c>
      <c r="S13" s="112">
        <f t="shared" si="1"/>
        <v>345</v>
      </c>
    </row>
    <row r="14" ht="35" spans="1:19">
      <c r="A14" s="11">
        <v>9</v>
      </c>
      <c r="B14" s="102" t="s">
        <v>31</v>
      </c>
      <c r="C14" s="103">
        <f>AIOT!C14+自动化!C14+设备服务!C14+软件中心!C14+企划!C14+算法!C14+行政人事!C14</f>
        <v>9.35</v>
      </c>
      <c r="D14" s="103">
        <f>AIOT!D14+自动化!D14+设备服务!D14+软件中心!D14+企划!D14+算法!D14+行政人事!D14</f>
        <v>21.4</v>
      </c>
      <c r="E14" s="103">
        <f>AIOT!E14+自动化!E14+设备服务!E14+软件中心!E14+企划!E14+算法!E14+行政人事!E14</f>
        <v>5</v>
      </c>
      <c r="F14" s="103">
        <f>AIOT!F14+自动化!F14+设备服务!F14+软件中心!F14+企划!F14+算法!F14+行政人事!F14</f>
        <v>6</v>
      </c>
      <c r="G14" s="103">
        <f>AIOT!G14+自动化!G14+设备服务!G14+软件中心!G14+企划!G14+算法!G14+行政人事!G14</f>
        <v>4</v>
      </c>
      <c r="H14" s="103">
        <f>AIOT!H14+自动化!H14+设备服务!H14+软件中心!H14+企划!H14+算法!H14+行政人事!H14</f>
        <v>1.5</v>
      </c>
      <c r="I14" s="103">
        <f>AIOT!I14+自动化!I14+设备服务!I14+软件中心!I14+企划!I14+算法!I14+行政人事!I14</f>
        <v>0.5</v>
      </c>
      <c r="J14" s="112">
        <f t="shared" si="0"/>
        <v>47.75</v>
      </c>
      <c r="K14" s="103">
        <f>AIOT!K14+自动化!K14+设备服务!K14+软件中心!K14+企划!K14+算法!K14+行政人事!K14</f>
        <v>31.5469</v>
      </c>
      <c r="L14" s="103">
        <f>AIOT!L14+自动化!L14+设备服务!L14+软件中心!L14+企划!L14+算法!L14+行政人事!L14</f>
        <v>33</v>
      </c>
      <c r="M14" s="103">
        <f>AIOT!M14+自动化!M14+设备服务!M14+软件中心!M14+企划!M14+算法!M14+行政人事!M14</f>
        <v>150</v>
      </c>
      <c r="N14" s="103">
        <v>150</v>
      </c>
      <c r="O14" s="103">
        <f>AIOT!N14+自动化!N14+设备服务!N14+软件中心!N14+企划!N14+算法!N14+行政人事!N14</f>
        <v>40</v>
      </c>
      <c r="P14" s="103">
        <v>28</v>
      </c>
      <c r="Q14" s="103">
        <v>8</v>
      </c>
      <c r="R14" s="103">
        <v>5</v>
      </c>
      <c r="S14" s="112">
        <f t="shared" si="1"/>
        <v>445.5469</v>
      </c>
    </row>
    <row r="15" ht="35" spans="1:19">
      <c r="A15" s="11">
        <v>10</v>
      </c>
      <c r="B15" s="102" t="s">
        <v>32</v>
      </c>
      <c r="C15" s="103">
        <f>AIOT!C15+自动化!C15+设备服务!C15+软件中心!C15+企划!C15+算法!C15+行政人事!C15</f>
        <v>9.48</v>
      </c>
      <c r="D15" s="103">
        <f>AIOT!D15+自动化!D15+设备服务!D15+软件中心!D15+企划!D15+算法!D15+行政人事!D15</f>
        <v>0</v>
      </c>
      <c r="E15" s="103">
        <f>AIOT!E15+自动化!E15+设备服务!E15+软件中心!E15+企划!E15+算法!E15+行政人事!E15</f>
        <v>0</v>
      </c>
      <c r="F15" s="103">
        <f>AIOT!F15+自动化!F15+设备服务!F15+软件中心!F15+企划!F15+算法!F15+行政人事!F15</f>
        <v>0</v>
      </c>
      <c r="G15" s="103">
        <f>AIOT!G15+自动化!G15+设备服务!G15+软件中心!G15+企划!G15+算法!G15+行政人事!G15</f>
        <v>0</v>
      </c>
      <c r="H15" s="103">
        <f>AIOT!H15+自动化!H15+设备服务!H15+软件中心!H15+企划!H15+算法!H15+行政人事!H15</f>
        <v>0</v>
      </c>
      <c r="I15" s="103">
        <f>AIOT!I15+自动化!I15+设备服务!I15+软件中心!I15+企划!I15+算法!I15+行政人事!I15</f>
        <v>0</v>
      </c>
      <c r="J15" s="112">
        <f t="shared" si="0"/>
        <v>9.48</v>
      </c>
      <c r="K15" s="103">
        <f>AIOT!K15+自动化!K15+设备服务!K15+软件中心!K15+企划!K15+算法!K15+行政人事!K15</f>
        <v>97.8453</v>
      </c>
      <c r="L15" s="103">
        <f>AIOT!L15+自动化!L15+设备服务!L15+软件中心!L15+企划!L15+算法!L15+行政人事!L15</f>
        <v>98.28</v>
      </c>
      <c r="M15" s="103">
        <f>AIOT!M15+自动化!M15+设备服务!M15+软件中心!M15+企划!M15+算法!M15+行政人事!M15</f>
        <v>0</v>
      </c>
      <c r="N15" s="103">
        <v>24</v>
      </c>
      <c r="O15" s="103">
        <f>AIOT!N15+自动化!N15+设备服务!N15+软件中心!N15+企划!N15+算法!N15+行政人事!N15</f>
        <v>18</v>
      </c>
      <c r="P15" s="103">
        <f>AIOT!O15+自动化!O15+设备服务!O15+软件中心!O15+企划!O15+算法!O15+行政人事!O15</f>
        <v>0</v>
      </c>
      <c r="Q15" s="103">
        <f>AIOT!P15+自动化!P15+设备服务!P15+软件中心!P15+企划!P15+算法!P15+行政人事!P15</f>
        <v>0</v>
      </c>
      <c r="R15" s="103">
        <f>AIOT!Q15+自动化!Q15+设备服务!Q15+软件中心!Q15+企划!Q15+算法!Q15+行政人事!Q15</f>
        <v>0</v>
      </c>
      <c r="S15" s="112">
        <f t="shared" si="1"/>
        <v>238.1253</v>
      </c>
    </row>
    <row r="16" ht="35" spans="1:19">
      <c r="A16" s="11">
        <v>11</v>
      </c>
      <c r="B16" s="102" t="s">
        <v>33</v>
      </c>
      <c r="C16" s="103">
        <f>AIOT!C16+自动化!C16+设备服务!C16+软件中心!C16+企划!C16+算法!C16+行政人事!C16</f>
        <v>0</v>
      </c>
      <c r="D16" s="103">
        <f>AIOT!D16+自动化!D16+设备服务!D16+软件中心!D16+企划!D16+算法!D16+行政人事!D16</f>
        <v>0</v>
      </c>
      <c r="E16" s="103">
        <f>AIOT!E16+自动化!E16+设备服务!E16+软件中心!E16+企划!E16+算法!E16+行政人事!E16</f>
        <v>0</v>
      </c>
      <c r="F16" s="103">
        <f>AIOT!F16+自动化!F16+设备服务!F16+软件中心!F16+企划!F16+算法!F16+行政人事!F16</f>
        <v>0</v>
      </c>
      <c r="G16" s="103">
        <f>AIOT!G16+自动化!G16+设备服务!G16+软件中心!G16+企划!G16+算法!G16+行政人事!G16</f>
        <v>0</v>
      </c>
      <c r="H16" s="103">
        <f>AIOT!H16+自动化!H16+设备服务!H16+软件中心!H16+企划!H16+算法!H16+行政人事!H16</f>
        <v>0</v>
      </c>
      <c r="I16" s="103">
        <f>AIOT!I16+自动化!I16+设备服务!I16+软件中心!I16+企划!I16+算法!I16+行政人事!I16</f>
        <v>0</v>
      </c>
      <c r="J16" s="112">
        <f t="shared" si="0"/>
        <v>0</v>
      </c>
      <c r="K16" s="103">
        <f>AIOT!K16+自动化!K16+设备服务!K16+软件中心!K16+企划!K16+算法!K16+行政人事!K16</f>
        <v>0</v>
      </c>
      <c r="L16" s="103">
        <f>AIOT!L16+自动化!L16+设备服务!L16+软件中心!L16+企划!L16+算法!L16+行政人事!L16</f>
        <v>0</v>
      </c>
      <c r="M16" s="103">
        <f>AIOT!M16+自动化!M16+设备服务!M16+软件中心!M16+企划!M16+算法!M16+行政人事!M16</f>
        <v>0</v>
      </c>
      <c r="N16" s="103">
        <v>0</v>
      </c>
      <c r="O16" s="103">
        <f>AIOT!N16+自动化!N16+设备服务!N16+软件中心!N16+企划!N16+算法!N16+行政人事!N16</f>
        <v>0</v>
      </c>
      <c r="P16" s="103">
        <f>AIOT!O16+自动化!O16+设备服务!O16+软件中心!O16+企划!O16+算法!O16+行政人事!O16</f>
        <v>0</v>
      </c>
      <c r="Q16" s="103">
        <f>AIOT!P16+自动化!P16+设备服务!P16+软件中心!P16+企划!P16+算法!P16+行政人事!P16</f>
        <v>0</v>
      </c>
      <c r="R16" s="103">
        <f>AIOT!Q16+自动化!Q16+设备服务!Q16+软件中心!Q16+企划!Q16+算法!Q16+行政人事!Q16</f>
        <v>0</v>
      </c>
      <c r="S16" s="112">
        <f t="shared" si="1"/>
        <v>0</v>
      </c>
    </row>
    <row r="17" ht="17.5" spans="1:19">
      <c r="A17" s="11">
        <v>12</v>
      </c>
      <c r="B17" s="102" t="s">
        <v>34</v>
      </c>
      <c r="C17" s="103">
        <f>AIOT!C17+自动化!C17+设备服务!C17+软件中心!C17+企划!C17+算法!C17+行政人事!C17</f>
        <v>28.44</v>
      </c>
      <c r="D17" s="103">
        <f>AIOT!D17+自动化!D17+设备服务!D17+软件中心!D17+企划!D17+算法!D17+行政人事!D17</f>
        <v>0</v>
      </c>
      <c r="E17" s="103">
        <f>AIOT!E17+自动化!E17+设备服务!E17+软件中心!E17+企划!E17+算法!E17+行政人事!E17</f>
        <v>0</v>
      </c>
      <c r="F17" s="103">
        <f>AIOT!F17+自动化!F17+设备服务!F17+软件中心!F17+企划!F17+算法!F17+行政人事!F17</f>
        <v>0</v>
      </c>
      <c r="G17" s="103">
        <f>AIOT!G17+自动化!G17+设备服务!G17+软件中心!G17+企划!G17+算法!G17+行政人事!G17</f>
        <v>0</v>
      </c>
      <c r="H17" s="103">
        <f>AIOT!H17+自动化!H17+设备服务!H17+软件中心!H17+企划!H17+算法!H17+行政人事!H17</f>
        <v>0</v>
      </c>
      <c r="I17" s="103">
        <f>AIOT!I17+自动化!I17+设备服务!I17+软件中心!I17+企划!I17+算法!I17+行政人事!I17</f>
        <v>0</v>
      </c>
      <c r="J17" s="112">
        <f t="shared" si="0"/>
        <v>28.44</v>
      </c>
      <c r="K17" s="103">
        <f>AIOT!K17+自动化!K17+设备服务!K17+软件中心!K17+企划!K17+算法!K17+行政人事!K17</f>
        <v>293.5359</v>
      </c>
      <c r="L17" s="103">
        <f>AIOT!L17+自动化!L17+设备服务!L17+软件中心!L17+企划!L17+算法!L17+行政人事!L17</f>
        <v>589.68</v>
      </c>
      <c r="M17" s="103">
        <f>AIOT!M17+自动化!M17+设备服务!M17+软件中心!M17+企划!M17+算法!M17+行政人事!M17</f>
        <v>0</v>
      </c>
      <c r="N17" s="103">
        <v>0</v>
      </c>
      <c r="O17" s="103">
        <f>AIOT!N17+自动化!N17+设备服务!N17+软件中心!N17+企划!N17+算法!N17+行政人事!N17</f>
        <v>54</v>
      </c>
      <c r="P17" s="103">
        <f>AIOT!O17+自动化!O17+设备服务!O17+软件中心!O17+企划!O17+算法!O17+行政人事!O17</f>
        <v>0</v>
      </c>
      <c r="Q17" s="103">
        <f>AIOT!P17+自动化!P17+设备服务!P17+软件中心!P17+企划!P17+算法!P17+行政人事!P17</f>
        <v>0</v>
      </c>
      <c r="R17" s="103">
        <f>AIOT!Q17+自动化!Q17+设备服务!Q17+软件中心!Q17+企划!Q17+算法!Q17+行政人事!Q17</f>
        <v>0</v>
      </c>
      <c r="S17" s="112">
        <f t="shared" si="1"/>
        <v>937.2159</v>
      </c>
    </row>
    <row r="18" ht="35" spans="1:19">
      <c r="A18" s="11">
        <v>13</v>
      </c>
      <c r="B18" s="102" t="s">
        <v>35</v>
      </c>
      <c r="C18" s="103">
        <f>AIOT!C18+自动化!C18+设备服务!C18+软件中心!C18+企划!C18+算法!C18+行政人事!C18</f>
        <v>0</v>
      </c>
      <c r="D18" s="103">
        <f>AIOT!D18+自动化!D18+设备服务!D18+软件中心!D18+企划!D18+算法!D18+行政人事!D18</f>
        <v>-161.4</v>
      </c>
      <c r="E18" s="103">
        <f>AIOT!E18+自动化!E18+设备服务!E18+软件中心!E18+企划!E18+算法!E18+行政人事!E18</f>
        <v>0</v>
      </c>
      <c r="F18" s="103">
        <f>AIOT!F18+自动化!F18+设备服务!F18+软件中心!F18+企划!F18+算法!F18+行政人事!F18</f>
        <v>0</v>
      </c>
      <c r="G18" s="103">
        <f>AIOT!G18+自动化!G18+设备服务!G18+软件中心!G18+企划!G18+算法!G18+行政人事!G18</f>
        <v>0</v>
      </c>
      <c r="H18" s="103">
        <f>AIOT!H18+自动化!H18+设备服务!H18+软件中心!H18+企划!H18+算法!H18+行政人事!H18</f>
        <v>0</v>
      </c>
      <c r="I18" s="103">
        <f>AIOT!I18+自动化!I18+设备服务!I18+软件中心!I18+企划!I18+算法!I18+行政人事!I18</f>
        <v>0</v>
      </c>
      <c r="J18" s="112">
        <f t="shared" si="0"/>
        <v>-161.4</v>
      </c>
      <c r="K18" s="103">
        <f>AIOT!K18+自动化!K18+设备服务!K18+软件中心!K18+企划!K18+算法!K18+行政人事!K18</f>
        <v>0</v>
      </c>
      <c r="L18" s="103">
        <f>AIOT!L18+自动化!L18+设备服务!L18+软件中心!L18+企划!L18+算法!L18+行政人事!L18</f>
        <v>0</v>
      </c>
      <c r="M18" s="103">
        <f>AIOT!M18+自动化!M18+设备服务!M18+软件中心!M18+企划!M18+算法!M18+行政人事!M18</f>
        <v>0</v>
      </c>
      <c r="N18" s="103">
        <v>0</v>
      </c>
      <c r="O18" s="103">
        <f>AIOT!N18+自动化!N18+设备服务!N18+软件中心!N18+企划!N18+算法!N18+行政人事!N18</f>
        <v>0</v>
      </c>
      <c r="P18" s="103">
        <f>AIOT!O18+自动化!O18+设备服务!O18+软件中心!O18+企划!O18+算法!O18+行政人事!O18</f>
        <v>0</v>
      </c>
      <c r="Q18" s="103">
        <f>AIOT!P18+自动化!P18+设备服务!P18+软件中心!P18+企划!P18+算法!P18+行政人事!P18</f>
        <v>0</v>
      </c>
      <c r="R18" s="103">
        <f>AIOT!Q18+自动化!Q18+设备服务!Q18+软件中心!Q18+企划!Q18+算法!Q18+行政人事!Q18</f>
        <v>0</v>
      </c>
      <c r="S18" s="112">
        <f t="shared" si="1"/>
        <v>0</v>
      </c>
    </row>
    <row r="19" ht="24" customHeight="1" spans="1:19">
      <c r="A19" s="11">
        <v>14</v>
      </c>
      <c r="B19" s="105" t="s">
        <v>36</v>
      </c>
      <c r="C19" s="106">
        <f>C6-C7-C9-C11/6-C12-C13-C14-C15-C16-C17</f>
        <v>142.03</v>
      </c>
      <c r="D19" s="106">
        <f t="shared" ref="D19:R19" si="7">D6-D7-D9-D11/6-D12-D13-D14-D15-D16-D17</f>
        <v>-193</v>
      </c>
      <c r="E19" s="106">
        <f t="shared" si="7"/>
        <v>-35</v>
      </c>
      <c r="F19" s="106">
        <f t="shared" si="7"/>
        <v>-194.266666666667</v>
      </c>
      <c r="G19" s="106">
        <f t="shared" si="7"/>
        <v>-65.6</v>
      </c>
      <c r="H19" s="106">
        <f t="shared" si="7"/>
        <v>-63.1</v>
      </c>
      <c r="I19" s="106">
        <f t="shared" si="7"/>
        <v>-124.1</v>
      </c>
      <c r="J19" s="106">
        <f t="shared" si="7"/>
        <v>-533.036666666667</v>
      </c>
      <c r="K19" s="106">
        <f t="shared" si="7"/>
        <v>1344.29456666667</v>
      </c>
      <c r="L19" s="106">
        <f t="shared" si="7"/>
        <v>1211.04</v>
      </c>
      <c r="M19" s="106">
        <f t="shared" si="7"/>
        <v>-134</v>
      </c>
      <c r="N19" s="106">
        <f>N6-N10-N12-N14-N15</f>
        <v>-1184</v>
      </c>
      <c r="O19" s="106">
        <f>O6-O7-O9-O11/6-O12-O13-O14-O15-O16-O17</f>
        <v>-532.333333333333</v>
      </c>
      <c r="P19" s="106">
        <f>P6-P7-P9-P11/6-P12-P13-P14-P15-P16-P17</f>
        <v>-228</v>
      </c>
      <c r="Q19" s="106">
        <f>Q6-Q7-Q9-Q11/6-Q12-Q13-Q14-Q15-Q16-Q17</f>
        <v>-158</v>
      </c>
      <c r="R19" s="106">
        <f>R6-R7-R9-R11/6-R12-R13-R14-R15-R16-R17</f>
        <v>-135</v>
      </c>
      <c r="S19" s="106">
        <f>S6-S7-S9-S11/6-S12-S13-S14-S15-S16-S17</f>
        <v>234.001233333333</v>
      </c>
    </row>
    <row r="20" ht="73" customHeight="1" spans="1:19">
      <c r="A20" s="21"/>
      <c r="B20" s="107" t="s">
        <v>37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</row>
  </sheetData>
  <mergeCells count="7">
    <mergeCell ref="A1:S1"/>
    <mergeCell ref="C2:S2"/>
    <mergeCell ref="C3:J3"/>
    <mergeCell ref="K3:S3"/>
    <mergeCell ref="B20:S20"/>
    <mergeCell ref="A2:A3"/>
    <mergeCell ref="B2:B4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K11" sqref="K11"/>
    </sheetView>
  </sheetViews>
  <sheetFormatPr defaultColWidth="11" defaultRowHeight="14"/>
  <cols>
    <col min="1" max="1" width="5.54545454545455" style="58" customWidth="1"/>
    <col min="2" max="2" width="54.1818181818182" style="58" customWidth="1"/>
    <col min="3" max="3" width="14.3636363636364" style="58" customWidth="1"/>
    <col min="4" max="4" width="15.1818181818182" style="58" hidden="1" customWidth="1"/>
    <col min="5" max="5" width="14.7272727272727" style="58" hidden="1" customWidth="1"/>
    <col min="6" max="6" width="16.1818181818182" style="58" hidden="1" customWidth="1"/>
    <col min="7" max="7" width="15.5454545454545" style="58" hidden="1" customWidth="1"/>
    <col min="8" max="8" width="16.3636363636364" style="58" hidden="1" customWidth="1"/>
    <col min="9" max="9" width="15.1818181818182" style="58" hidden="1" customWidth="1"/>
    <col min="10" max="10" width="19.7272727272727" style="58" customWidth="1"/>
    <col min="11" max="11" width="14.3636363636364" style="58" customWidth="1"/>
    <col min="12" max="12" width="13" style="58" hidden="1" customWidth="1"/>
    <col min="13" max="13" width="13.3636363636364" style="58" hidden="1" customWidth="1"/>
    <col min="14" max="14" width="14.5454545454545" style="58" hidden="1" customWidth="1"/>
    <col min="15" max="15" width="14.1818181818182" style="58" hidden="1" customWidth="1"/>
    <col min="16" max="16" width="15" style="58" hidden="1" customWidth="1"/>
    <col min="17" max="17" width="15.5454545454545" style="58" hidden="1" customWidth="1"/>
    <col min="18" max="18" width="19.7272727272727" style="58" customWidth="1"/>
  </cols>
  <sheetData>
    <row r="1" ht="25" customHeight="1" spans="1:18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8">
      <c r="A2" s="60" t="s">
        <v>1</v>
      </c>
      <c r="B2" s="61" t="s">
        <v>38</v>
      </c>
      <c r="C2" s="62" t="s">
        <v>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spans="1:18">
      <c r="A3" s="64"/>
      <c r="B3" s="65"/>
      <c r="C3" s="66" t="s">
        <v>4</v>
      </c>
      <c r="D3" s="67"/>
      <c r="E3" s="67"/>
      <c r="F3" s="67"/>
      <c r="G3" s="67"/>
      <c r="H3" s="67"/>
      <c r="I3" s="67"/>
      <c r="J3" s="85"/>
      <c r="K3" s="67" t="s">
        <v>5</v>
      </c>
      <c r="L3" s="67"/>
      <c r="M3" s="67"/>
      <c r="N3" s="67"/>
      <c r="O3" s="67"/>
      <c r="P3" s="67"/>
      <c r="Q3" s="67"/>
      <c r="R3" s="85"/>
    </row>
    <row r="4" ht="16.5" spans="1:18">
      <c r="A4" s="64"/>
      <c r="B4" s="65"/>
      <c r="C4" s="68" t="s">
        <v>6</v>
      </c>
      <c r="D4" s="68" t="s">
        <v>7</v>
      </c>
      <c r="E4" s="68" t="s">
        <v>8</v>
      </c>
      <c r="F4" s="68" t="s">
        <v>9</v>
      </c>
      <c r="G4" s="68" t="s">
        <v>10</v>
      </c>
      <c r="H4" s="68" t="s">
        <v>11</v>
      </c>
      <c r="I4" s="68" t="s">
        <v>12</v>
      </c>
      <c r="J4" s="86" t="s">
        <v>13</v>
      </c>
      <c r="K4" s="68" t="s">
        <v>6</v>
      </c>
      <c r="L4" s="68" t="s">
        <v>7</v>
      </c>
      <c r="M4" s="68" t="s">
        <v>8</v>
      </c>
      <c r="N4" s="68" t="s">
        <v>9</v>
      </c>
      <c r="O4" s="68" t="s">
        <v>10</v>
      </c>
      <c r="P4" s="68" t="s">
        <v>11</v>
      </c>
      <c r="Q4" s="68" t="s">
        <v>12</v>
      </c>
      <c r="R4" s="86" t="s">
        <v>13</v>
      </c>
    </row>
    <row r="5" spans="1:18">
      <c r="A5" s="69"/>
      <c r="B5" s="70"/>
      <c r="C5" s="71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ht="28" spans="1:18">
      <c r="A6" s="69">
        <v>1</v>
      </c>
      <c r="B6" s="70" t="s">
        <v>23</v>
      </c>
      <c r="C6" s="73">
        <v>316</v>
      </c>
      <c r="D6" s="72"/>
      <c r="E6" s="72"/>
      <c r="F6" s="72"/>
      <c r="G6" s="72"/>
      <c r="H6" s="72"/>
      <c r="I6" s="72"/>
      <c r="J6" s="87">
        <v>316</v>
      </c>
      <c r="K6" s="87">
        <v>3261.51</v>
      </c>
      <c r="L6" s="72"/>
      <c r="M6" s="72"/>
      <c r="N6" s="72"/>
      <c r="O6" s="72"/>
      <c r="P6" s="72"/>
      <c r="Q6" s="72"/>
      <c r="R6" s="87">
        <v>3261.51</v>
      </c>
    </row>
    <row r="7" spans="1:18">
      <c r="A7" s="69">
        <v>2</v>
      </c>
      <c r="B7" s="70" t="s">
        <v>24</v>
      </c>
      <c r="C7" s="74">
        <v>31.6</v>
      </c>
      <c r="D7" s="72"/>
      <c r="E7" s="72"/>
      <c r="F7" s="72"/>
      <c r="G7" s="72"/>
      <c r="H7" s="72"/>
      <c r="I7" s="72"/>
      <c r="J7" s="87">
        <v>31.6</v>
      </c>
      <c r="K7" s="87">
        <v>647.574</v>
      </c>
      <c r="L7" s="72"/>
      <c r="M7" s="72"/>
      <c r="N7" s="72"/>
      <c r="O7" s="72"/>
      <c r="P7" s="72"/>
      <c r="Q7" s="72"/>
      <c r="R7" s="87">
        <v>647.574</v>
      </c>
    </row>
    <row r="8" ht="28" spans="1:18">
      <c r="A8" s="69">
        <v>3</v>
      </c>
      <c r="B8" s="70" t="s">
        <v>25</v>
      </c>
      <c r="C8" s="75"/>
      <c r="D8" s="76"/>
      <c r="E8" s="76"/>
      <c r="F8" s="76"/>
      <c r="G8" s="76"/>
      <c r="H8" s="76"/>
      <c r="I8" s="76"/>
      <c r="J8" s="87">
        <v>0</v>
      </c>
      <c r="K8" s="87"/>
      <c r="L8" s="76"/>
      <c r="M8" s="76"/>
      <c r="N8" s="76"/>
      <c r="O8" s="76"/>
      <c r="P8" s="76"/>
      <c r="Q8" s="76"/>
      <c r="R8" s="87">
        <v>0</v>
      </c>
    </row>
    <row r="9" spans="1:18">
      <c r="A9" s="69">
        <v>4</v>
      </c>
      <c r="B9" s="70" t="s">
        <v>26</v>
      </c>
      <c r="C9" s="74">
        <v>31.6</v>
      </c>
      <c r="D9" s="74">
        <v>31.6</v>
      </c>
      <c r="E9" s="74">
        <v>31.6</v>
      </c>
      <c r="F9" s="74">
        <v>31.6</v>
      </c>
      <c r="G9" s="74">
        <v>31.6</v>
      </c>
      <c r="H9" s="74">
        <v>31.6</v>
      </c>
      <c r="I9" s="74">
        <v>31.6</v>
      </c>
      <c r="J9" s="74">
        <v>31.6</v>
      </c>
      <c r="K9" s="87">
        <v>236</v>
      </c>
      <c r="L9" s="71"/>
      <c r="M9" s="71"/>
      <c r="N9" s="71"/>
      <c r="O9" s="71"/>
      <c r="P9" s="71"/>
      <c r="Q9" s="71"/>
      <c r="R9" s="87">
        <v>236</v>
      </c>
    </row>
    <row r="10" spans="1:18">
      <c r="A10" s="69">
        <v>5</v>
      </c>
      <c r="B10" s="70" t="s">
        <v>27</v>
      </c>
      <c r="C10" s="74">
        <v>3</v>
      </c>
      <c r="D10" s="71"/>
      <c r="E10" s="71"/>
      <c r="F10" s="71"/>
      <c r="G10" s="71"/>
      <c r="H10" s="71"/>
      <c r="I10" s="71"/>
      <c r="J10" s="87">
        <v>3</v>
      </c>
      <c r="K10" s="87">
        <v>16.87</v>
      </c>
      <c r="L10" s="71"/>
      <c r="M10" s="71"/>
      <c r="N10" s="71"/>
      <c r="O10" s="71"/>
      <c r="P10" s="71"/>
      <c r="Q10" s="71"/>
      <c r="R10" s="87">
        <v>16.87</v>
      </c>
    </row>
    <row r="11" spans="1:18">
      <c r="A11" s="69">
        <v>6</v>
      </c>
      <c r="B11" s="70" t="s">
        <v>28</v>
      </c>
      <c r="C11" s="77">
        <v>3</v>
      </c>
      <c r="D11" s="78"/>
      <c r="E11" s="78"/>
      <c r="F11" s="78"/>
      <c r="G11" s="78"/>
      <c r="H11" s="78"/>
      <c r="I11" s="78"/>
      <c r="J11" s="87">
        <v>3</v>
      </c>
      <c r="K11" s="88">
        <v>5</v>
      </c>
      <c r="L11" s="78"/>
      <c r="M11" s="78"/>
      <c r="N11" s="78"/>
      <c r="O11" s="78"/>
      <c r="P11" s="78"/>
      <c r="Q11" s="78"/>
      <c r="R11" s="87">
        <v>5</v>
      </c>
    </row>
    <row r="12" spans="1:18">
      <c r="A12" s="69">
        <v>7</v>
      </c>
      <c r="B12" s="70" t="s">
        <v>29</v>
      </c>
      <c r="C12" s="77">
        <v>60</v>
      </c>
      <c r="D12" s="78"/>
      <c r="E12" s="78"/>
      <c r="F12" s="78"/>
      <c r="G12" s="78"/>
      <c r="H12" s="78"/>
      <c r="I12" s="78"/>
      <c r="J12" s="87">
        <v>60</v>
      </c>
      <c r="K12" s="89">
        <v>404.88</v>
      </c>
      <c r="L12" s="78"/>
      <c r="M12" s="78"/>
      <c r="N12" s="78"/>
      <c r="O12" s="78"/>
      <c r="P12" s="78"/>
      <c r="Q12" s="78"/>
      <c r="R12" s="87">
        <v>404.88</v>
      </c>
    </row>
    <row r="13" spans="1:18">
      <c r="A13" s="69">
        <v>8</v>
      </c>
      <c r="B13" s="70" t="s">
        <v>30</v>
      </c>
      <c r="C13" s="77">
        <v>3</v>
      </c>
      <c r="D13" s="78"/>
      <c r="E13" s="78"/>
      <c r="F13" s="78"/>
      <c r="G13" s="78"/>
      <c r="H13" s="78"/>
      <c r="I13" s="78"/>
      <c r="J13" s="87">
        <v>3</v>
      </c>
      <c r="K13" s="88">
        <v>5</v>
      </c>
      <c r="L13" s="78"/>
      <c r="M13" s="78"/>
      <c r="N13" s="78"/>
      <c r="O13" s="78"/>
      <c r="P13" s="78"/>
      <c r="Q13" s="78"/>
      <c r="R13" s="87">
        <v>5</v>
      </c>
    </row>
    <row r="14" spans="1:18">
      <c r="A14" s="69">
        <v>9</v>
      </c>
      <c r="B14" s="70" t="s">
        <v>31</v>
      </c>
      <c r="C14" s="77">
        <v>9.35</v>
      </c>
      <c r="D14" s="78"/>
      <c r="E14" s="78"/>
      <c r="F14" s="78"/>
      <c r="G14" s="78"/>
      <c r="H14" s="78"/>
      <c r="I14" s="78"/>
      <c r="J14" s="87">
        <v>9.35</v>
      </c>
      <c r="K14" s="88">
        <v>31.5469</v>
      </c>
      <c r="L14" s="78"/>
      <c r="M14" s="78"/>
      <c r="N14" s="78"/>
      <c r="O14" s="78"/>
      <c r="P14" s="78"/>
      <c r="Q14" s="78"/>
      <c r="R14" s="87">
        <v>31.5469</v>
      </c>
    </row>
    <row r="15" spans="1:18">
      <c r="A15" s="69">
        <v>10</v>
      </c>
      <c r="B15" s="70" t="s">
        <v>32</v>
      </c>
      <c r="C15" s="78">
        <v>9.48</v>
      </c>
      <c r="D15" s="78"/>
      <c r="E15" s="78"/>
      <c r="F15" s="78"/>
      <c r="G15" s="78"/>
      <c r="H15" s="78"/>
      <c r="I15" s="78"/>
      <c r="J15" s="87">
        <v>9.48</v>
      </c>
      <c r="K15" s="78">
        <v>97.8453</v>
      </c>
      <c r="L15" s="78"/>
      <c r="M15" s="78"/>
      <c r="N15" s="78"/>
      <c r="O15" s="78"/>
      <c r="P15" s="78"/>
      <c r="Q15" s="78"/>
      <c r="R15" s="87">
        <v>97.8453</v>
      </c>
    </row>
    <row r="16" spans="1:18">
      <c r="A16" s="69">
        <v>11</v>
      </c>
      <c r="B16" s="70" t="s">
        <v>33</v>
      </c>
      <c r="C16" s="78"/>
      <c r="D16" s="78"/>
      <c r="E16" s="78"/>
      <c r="F16" s="78"/>
      <c r="G16" s="78"/>
      <c r="H16" s="78"/>
      <c r="I16" s="78"/>
      <c r="J16" s="87">
        <v>0</v>
      </c>
      <c r="K16" s="88"/>
      <c r="L16" s="78"/>
      <c r="M16" s="78"/>
      <c r="N16" s="78"/>
      <c r="O16" s="78"/>
      <c r="P16" s="78"/>
      <c r="Q16" s="78"/>
      <c r="R16" s="87">
        <v>0</v>
      </c>
    </row>
    <row r="17" spans="1:18">
      <c r="A17" s="69">
        <v>12</v>
      </c>
      <c r="B17" s="70" t="s">
        <v>34</v>
      </c>
      <c r="C17" s="79">
        <v>28.44</v>
      </c>
      <c r="D17" s="79"/>
      <c r="E17" s="79"/>
      <c r="F17" s="79"/>
      <c r="G17" s="79"/>
      <c r="H17" s="79"/>
      <c r="I17" s="79"/>
      <c r="J17" s="87">
        <v>28.44</v>
      </c>
      <c r="K17" s="79">
        <v>293.5359</v>
      </c>
      <c r="L17" s="79"/>
      <c r="M17" s="79"/>
      <c r="N17" s="79"/>
      <c r="O17" s="79"/>
      <c r="P17" s="79"/>
      <c r="Q17" s="79"/>
      <c r="R17" s="87">
        <v>293.5359</v>
      </c>
    </row>
    <row r="18" s="58" customFormat="1" spans="1:18">
      <c r="A18" s="69">
        <v>13</v>
      </c>
      <c r="B18" s="70" t="s">
        <v>35</v>
      </c>
      <c r="C18" s="79"/>
      <c r="D18" s="79"/>
      <c r="E18" s="79"/>
      <c r="F18" s="79"/>
      <c r="G18" s="79"/>
      <c r="H18" s="79"/>
      <c r="I18" s="79"/>
      <c r="J18" s="87">
        <v>0</v>
      </c>
      <c r="K18" s="88"/>
      <c r="L18" s="79"/>
      <c r="M18" s="79"/>
      <c r="N18" s="79"/>
      <c r="O18" s="79"/>
      <c r="P18" s="79"/>
      <c r="Q18" s="79"/>
      <c r="R18" s="87">
        <v>0</v>
      </c>
    </row>
    <row r="19" spans="1:18">
      <c r="A19" s="69">
        <v>14</v>
      </c>
      <c r="B19" s="80" t="s">
        <v>36</v>
      </c>
      <c r="C19" s="81">
        <v>180.45</v>
      </c>
      <c r="D19" s="82"/>
      <c r="E19" s="82"/>
      <c r="F19" s="82"/>
      <c r="G19" s="82"/>
      <c r="H19" s="82"/>
      <c r="I19" s="82"/>
      <c r="J19" s="87">
        <v>180.45</v>
      </c>
      <c r="K19" s="90">
        <v>1936.3581</v>
      </c>
      <c r="L19" s="82"/>
      <c r="M19" s="82"/>
      <c r="N19" s="82"/>
      <c r="O19" s="82"/>
      <c r="P19" s="82"/>
      <c r="Q19" s="82"/>
      <c r="R19" s="87">
        <v>1936.3581</v>
      </c>
    </row>
    <row r="20" spans="1:18">
      <c r="A20" s="6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ht="73" customHeight="1" spans="1:18">
      <c r="A21" s="83"/>
      <c r="B21" s="84" t="s">
        <v>39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</row>
  </sheetData>
  <mergeCells count="7">
    <mergeCell ref="A1:R1"/>
    <mergeCell ref="C2:R2"/>
    <mergeCell ref="C3:J3"/>
    <mergeCell ref="K3:R3"/>
    <mergeCell ref="B21:R21"/>
    <mergeCell ref="A2:A3"/>
    <mergeCell ref="B2:B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zoomScale="70" zoomScaleNormal="70" workbookViewId="0">
      <selection activeCell="Q7" sqref="Q7"/>
    </sheetView>
  </sheetViews>
  <sheetFormatPr defaultColWidth="10.6363636363636" defaultRowHeight="14"/>
  <cols>
    <col min="1" max="13" width="10.6363636363636" style="40"/>
    <col min="14" max="14" width="11.5454545454545" style="40" customWidth="1"/>
    <col min="15" max="15" width="10.6363636363636" style="40"/>
    <col min="16" max="16" width="13.2727272727273" style="40" customWidth="1"/>
    <col min="17" max="17" width="7.81818181818182" style="40" customWidth="1"/>
    <col min="18" max="18" width="13.2727272727273" style="40" customWidth="1"/>
    <col min="19" max="19" width="10.3636363636364" style="40" customWidth="1"/>
    <col min="20" max="20" width="16.3636363636364" style="40" customWidth="1"/>
    <col min="21" max="21" width="13.9090909090909" style="40" customWidth="1"/>
    <col min="22" max="16384" width="10.6363636363636" style="40"/>
  </cols>
  <sheetData>
    <row r="1" ht="17.5" spans="1:21">
      <c r="A1" s="41" t="s">
        <v>40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53"/>
    </row>
    <row r="2" ht="17.5" spans="1:21">
      <c r="A2" s="43" t="s">
        <v>41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3">
        <v>10</v>
      </c>
      <c r="L2" s="43">
        <v>11</v>
      </c>
      <c r="M2" s="43">
        <v>12</v>
      </c>
      <c r="N2" s="48" t="s">
        <v>13</v>
      </c>
      <c r="O2" s="43" t="s">
        <v>42</v>
      </c>
      <c r="P2" s="43" t="s">
        <v>43</v>
      </c>
      <c r="Q2" s="43" t="s">
        <v>44</v>
      </c>
      <c r="R2" s="48" t="s">
        <v>45</v>
      </c>
      <c r="S2" s="43" t="s">
        <v>46</v>
      </c>
      <c r="T2" s="43" t="s">
        <v>47</v>
      </c>
      <c r="U2" s="48" t="s">
        <v>48</v>
      </c>
    </row>
    <row r="3" ht="17.5" spans="1:21">
      <c r="A3" s="43" t="s">
        <v>49</v>
      </c>
      <c r="B3" s="43">
        <v>0</v>
      </c>
      <c r="C3" s="43">
        <v>0</v>
      </c>
      <c r="D3" s="43">
        <v>0</v>
      </c>
      <c r="E3" s="43">
        <v>0</v>
      </c>
      <c r="F3" s="43">
        <v>0</v>
      </c>
      <c r="G3" s="43">
        <v>1</v>
      </c>
      <c r="H3" s="43">
        <v>2</v>
      </c>
      <c r="I3" s="43">
        <v>3</v>
      </c>
      <c r="J3" s="43">
        <v>4</v>
      </c>
      <c r="K3" s="43">
        <v>20</v>
      </c>
      <c r="L3" s="43">
        <v>351</v>
      </c>
      <c r="M3" s="43">
        <v>251</v>
      </c>
      <c r="N3" s="49">
        <f>SUM(B3:M3)</f>
        <v>632</v>
      </c>
      <c r="O3" s="43">
        <v>500</v>
      </c>
      <c r="P3" s="43">
        <f>N3*O3/10000</f>
        <v>31.6</v>
      </c>
      <c r="Q3" s="43">
        <v>5000</v>
      </c>
      <c r="R3" s="43">
        <f>N3*Q3/10000</f>
        <v>316</v>
      </c>
      <c r="S3" s="43">
        <f>Q3*0.1</f>
        <v>500</v>
      </c>
      <c r="T3" s="43">
        <f>N3*S3/10000</f>
        <v>31.6</v>
      </c>
      <c r="U3" s="43">
        <f>R3-P3-T3</f>
        <v>252.8</v>
      </c>
    </row>
    <row r="5" ht="17.5" spans="1:21">
      <c r="A5" s="44" t="s">
        <v>50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54"/>
    </row>
    <row r="6" ht="17.5" spans="1:21">
      <c r="A6" s="46" t="s">
        <v>41</v>
      </c>
      <c r="B6" s="46">
        <v>1</v>
      </c>
      <c r="C6" s="46">
        <v>2</v>
      </c>
      <c r="D6" s="46">
        <v>3</v>
      </c>
      <c r="E6" s="46">
        <v>4</v>
      </c>
      <c r="F6" s="46">
        <v>5</v>
      </c>
      <c r="G6" s="46">
        <v>6</v>
      </c>
      <c r="H6" s="46">
        <v>7</v>
      </c>
      <c r="I6" s="46">
        <v>8</v>
      </c>
      <c r="J6" s="46">
        <v>9</v>
      </c>
      <c r="K6" s="46">
        <v>10</v>
      </c>
      <c r="L6" s="46">
        <v>11</v>
      </c>
      <c r="M6" s="46">
        <v>12</v>
      </c>
      <c r="N6" s="48" t="s">
        <v>13</v>
      </c>
      <c r="O6" s="46" t="s">
        <v>42</v>
      </c>
      <c r="P6" s="46" t="s">
        <v>43</v>
      </c>
      <c r="Q6" s="46" t="s">
        <v>44</v>
      </c>
      <c r="R6" s="48" t="s">
        <v>45</v>
      </c>
      <c r="S6" s="46" t="s">
        <v>46</v>
      </c>
      <c r="T6" s="46" t="s">
        <v>47</v>
      </c>
      <c r="U6" s="48" t="s">
        <v>48</v>
      </c>
    </row>
    <row r="7" ht="17.5" spans="1:21">
      <c r="A7" s="46" t="s">
        <v>49</v>
      </c>
      <c r="B7" s="46">
        <v>200</v>
      </c>
      <c r="C7" s="46">
        <f>2*39*2</f>
        <v>156</v>
      </c>
      <c r="D7" s="46">
        <f>2*39*3</f>
        <v>234</v>
      </c>
      <c r="E7" s="46">
        <f>2*39*3</f>
        <v>234</v>
      </c>
      <c r="F7" s="46">
        <f>2*39*3</f>
        <v>234</v>
      </c>
      <c r="G7" s="46">
        <f>2*39*2</f>
        <v>156</v>
      </c>
      <c r="H7" s="46">
        <f>2*39*2</f>
        <v>156</v>
      </c>
      <c r="I7" s="46">
        <f>2*39*2</f>
        <v>156</v>
      </c>
      <c r="J7" s="46">
        <f>2*39*3</f>
        <v>234</v>
      </c>
      <c r="K7" s="46">
        <f>2*39*3</f>
        <v>234</v>
      </c>
      <c r="L7" s="46">
        <f>2*39*3</f>
        <v>234</v>
      </c>
      <c r="M7" s="46">
        <f>2*39*3</f>
        <v>234</v>
      </c>
      <c r="N7" s="50">
        <f>SUM(B7:M7)+1000</f>
        <v>3462</v>
      </c>
      <c r="O7" s="46">
        <v>500</v>
      </c>
      <c r="P7" s="46">
        <f>N7*O7/10000</f>
        <v>173.1</v>
      </c>
      <c r="Q7" s="46">
        <v>5000</v>
      </c>
      <c r="R7" s="48">
        <f>N7*Q7/10000</f>
        <v>1731</v>
      </c>
      <c r="S7" s="46">
        <f>Q7*0.1</f>
        <v>500</v>
      </c>
      <c r="T7" s="46">
        <f>N7*S7/10000</f>
        <v>173.1</v>
      </c>
      <c r="U7" s="46">
        <f>R7-P7-T7</f>
        <v>1384.8</v>
      </c>
    </row>
    <row r="8" ht="17.5" spans="1:21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51"/>
      <c r="O8" s="47"/>
      <c r="P8" s="47"/>
      <c r="Q8" s="47"/>
      <c r="R8" s="55"/>
      <c r="S8" s="47"/>
      <c r="T8" s="47"/>
      <c r="U8" s="47"/>
    </row>
    <row r="9" ht="17.5" spans="1:21">
      <c r="A9" s="44" t="s">
        <v>51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54"/>
    </row>
    <row r="10" ht="17.5" spans="1:21">
      <c r="A10" s="46" t="s">
        <v>41</v>
      </c>
      <c r="B10" s="46">
        <v>1</v>
      </c>
      <c r="C10" s="46">
        <v>2</v>
      </c>
      <c r="D10" s="46">
        <v>3</v>
      </c>
      <c r="E10" s="46">
        <v>4</v>
      </c>
      <c r="F10" s="46">
        <v>5</v>
      </c>
      <c r="G10" s="46">
        <v>6</v>
      </c>
      <c r="H10" s="46">
        <v>7</v>
      </c>
      <c r="I10" s="46">
        <v>8</v>
      </c>
      <c r="J10" s="46">
        <v>9</v>
      </c>
      <c r="K10" s="46">
        <v>10</v>
      </c>
      <c r="L10" s="46">
        <v>11</v>
      </c>
      <c r="M10" s="46">
        <v>12</v>
      </c>
      <c r="N10" s="48" t="s">
        <v>13</v>
      </c>
      <c r="O10" s="46" t="s">
        <v>42</v>
      </c>
      <c r="P10" s="46" t="s">
        <v>43</v>
      </c>
      <c r="Q10" s="46" t="s">
        <v>44</v>
      </c>
      <c r="R10" s="48" t="s">
        <v>45</v>
      </c>
      <c r="S10" s="46" t="s">
        <v>46</v>
      </c>
      <c r="T10" s="46" t="s">
        <v>47</v>
      </c>
      <c r="U10" s="48" t="s">
        <v>48</v>
      </c>
    </row>
    <row r="11" ht="17.5" spans="1:21">
      <c r="A11" s="46" t="s">
        <v>49</v>
      </c>
      <c r="B11" s="46">
        <f>B7*5</f>
        <v>1000</v>
      </c>
      <c r="C11" s="46">
        <f t="shared" ref="C11:M11" si="0">C7*5</f>
        <v>780</v>
      </c>
      <c r="D11" s="46">
        <f t="shared" si="0"/>
        <v>1170</v>
      </c>
      <c r="E11" s="46">
        <f t="shared" si="0"/>
        <v>1170</v>
      </c>
      <c r="F11" s="46">
        <f t="shared" si="0"/>
        <v>1170</v>
      </c>
      <c r="G11" s="46">
        <f t="shared" si="0"/>
        <v>780</v>
      </c>
      <c r="H11" s="46">
        <f t="shared" si="0"/>
        <v>780</v>
      </c>
      <c r="I11" s="46">
        <f t="shared" si="0"/>
        <v>780</v>
      </c>
      <c r="J11" s="46">
        <f t="shared" si="0"/>
        <v>1170</v>
      </c>
      <c r="K11" s="46">
        <f t="shared" si="0"/>
        <v>1170</v>
      </c>
      <c r="L11" s="46">
        <f t="shared" si="0"/>
        <v>1170</v>
      </c>
      <c r="M11" s="46">
        <f t="shared" si="0"/>
        <v>1170</v>
      </c>
      <c r="N11" s="50">
        <f>SUM(B11:M11)</f>
        <v>12310</v>
      </c>
      <c r="O11" s="46">
        <v>40</v>
      </c>
      <c r="P11" s="46">
        <f>N11*O11/10000</f>
        <v>49.24</v>
      </c>
      <c r="Q11" s="46">
        <v>150</v>
      </c>
      <c r="R11" s="48">
        <f>N11*Q11/10000</f>
        <v>184.65</v>
      </c>
      <c r="S11" s="46">
        <f>Q11*0.1</f>
        <v>15</v>
      </c>
      <c r="T11" s="46">
        <f>N11*S11/10000</f>
        <v>18.465</v>
      </c>
      <c r="U11" s="46">
        <f>R11-P11-T11</f>
        <v>116.945</v>
      </c>
    </row>
    <row r="12" s="39" customFormat="1" ht="17.5" spans="1:21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52"/>
      <c r="O12" s="45"/>
      <c r="P12" s="45"/>
      <c r="Q12" s="45"/>
      <c r="R12" s="56"/>
      <c r="S12" s="45"/>
      <c r="T12" s="45"/>
      <c r="U12" s="54"/>
    </row>
    <row r="13" s="39" customFormat="1" ht="17.5" spans="1:21">
      <c r="A13" s="44" t="s">
        <v>52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54"/>
    </row>
    <row r="14" s="39" customFormat="1" ht="17.5" spans="1:21">
      <c r="A14" s="46" t="s">
        <v>41</v>
      </c>
      <c r="B14" s="46">
        <v>1</v>
      </c>
      <c r="C14" s="46">
        <v>2</v>
      </c>
      <c r="D14" s="46">
        <v>3</v>
      </c>
      <c r="E14" s="46">
        <v>4</v>
      </c>
      <c r="F14" s="46">
        <v>5</v>
      </c>
      <c r="G14" s="46">
        <v>6</v>
      </c>
      <c r="H14" s="46">
        <v>7</v>
      </c>
      <c r="I14" s="46">
        <v>8</v>
      </c>
      <c r="J14" s="46">
        <v>9</v>
      </c>
      <c r="K14" s="46">
        <v>10</v>
      </c>
      <c r="L14" s="46">
        <v>11</v>
      </c>
      <c r="M14" s="46">
        <v>12</v>
      </c>
      <c r="N14" s="48" t="s">
        <v>13</v>
      </c>
      <c r="O14" s="46" t="s">
        <v>42</v>
      </c>
      <c r="P14" s="46" t="s">
        <v>43</v>
      </c>
      <c r="Q14" s="46" t="s">
        <v>44</v>
      </c>
      <c r="R14" s="48" t="s">
        <v>45</v>
      </c>
      <c r="S14" s="46" t="s">
        <v>46</v>
      </c>
      <c r="T14" s="46" t="s">
        <v>47</v>
      </c>
      <c r="U14" s="48" t="s">
        <v>48</v>
      </c>
    </row>
    <row r="15" s="39" customFormat="1" ht="17.5" spans="1:21">
      <c r="A15" s="46" t="s">
        <v>49</v>
      </c>
      <c r="B15" s="46">
        <f>B7</f>
        <v>200</v>
      </c>
      <c r="C15" s="46">
        <f t="shared" ref="C15:M15" si="1">C7</f>
        <v>156</v>
      </c>
      <c r="D15" s="46">
        <f t="shared" si="1"/>
        <v>234</v>
      </c>
      <c r="E15" s="46">
        <f t="shared" si="1"/>
        <v>234</v>
      </c>
      <c r="F15" s="46">
        <f t="shared" si="1"/>
        <v>234</v>
      </c>
      <c r="G15" s="46">
        <f t="shared" si="1"/>
        <v>156</v>
      </c>
      <c r="H15" s="46">
        <f t="shared" si="1"/>
        <v>156</v>
      </c>
      <c r="I15" s="46">
        <f t="shared" si="1"/>
        <v>156</v>
      </c>
      <c r="J15" s="46">
        <f t="shared" si="1"/>
        <v>234</v>
      </c>
      <c r="K15" s="46">
        <f t="shared" si="1"/>
        <v>234</v>
      </c>
      <c r="L15" s="46">
        <f t="shared" si="1"/>
        <v>234</v>
      </c>
      <c r="M15" s="46">
        <f t="shared" si="1"/>
        <v>234</v>
      </c>
      <c r="N15" s="50">
        <f>SUM(B15:M15)</f>
        <v>2462</v>
      </c>
      <c r="O15" s="46">
        <v>70</v>
      </c>
      <c r="P15" s="46">
        <f>N15*O15/10000</f>
        <v>17.234</v>
      </c>
      <c r="Q15" s="46">
        <v>300</v>
      </c>
      <c r="R15" s="48">
        <f>N15*Q15/10000</f>
        <v>73.86</v>
      </c>
      <c r="S15" s="46">
        <f>Q15*0.1</f>
        <v>30</v>
      </c>
      <c r="T15" s="46">
        <f>N15*S15/10000</f>
        <v>7.386</v>
      </c>
      <c r="U15" s="46">
        <f>R15-P15-T15</f>
        <v>49.24</v>
      </c>
    </row>
    <row r="16" s="39" customFormat="1" ht="17.5" spans="1:21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52"/>
      <c r="O16" s="45"/>
      <c r="P16" s="45"/>
      <c r="Q16" s="45"/>
      <c r="R16" s="56"/>
      <c r="S16" s="45"/>
      <c r="T16" s="45"/>
      <c r="U16" s="54"/>
    </row>
    <row r="17" ht="17.5" spans="1:21">
      <c r="A17" s="44" t="s">
        <v>53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54"/>
    </row>
    <row r="18" ht="17.5" spans="1:21">
      <c r="A18" s="46" t="s">
        <v>41</v>
      </c>
      <c r="B18" s="46">
        <v>1</v>
      </c>
      <c r="C18" s="46">
        <v>2</v>
      </c>
      <c r="D18" s="46">
        <v>3</v>
      </c>
      <c r="E18" s="46">
        <v>4</v>
      </c>
      <c r="F18" s="46">
        <v>5</v>
      </c>
      <c r="G18" s="46">
        <v>6</v>
      </c>
      <c r="H18" s="46">
        <v>7</v>
      </c>
      <c r="I18" s="46">
        <v>8</v>
      </c>
      <c r="J18" s="46">
        <v>9</v>
      </c>
      <c r="K18" s="46">
        <v>10</v>
      </c>
      <c r="L18" s="46">
        <v>11</v>
      </c>
      <c r="M18" s="46">
        <v>12</v>
      </c>
      <c r="N18" s="48" t="s">
        <v>13</v>
      </c>
      <c r="O18" s="46" t="s">
        <v>42</v>
      </c>
      <c r="P18" s="46" t="s">
        <v>43</v>
      </c>
      <c r="Q18" s="46" t="s">
        <v>44</v>
      </c>
      <c r="R18" s="48" t="s">
        <v>45</v>
      </c>
      <c r="S18" s="46" t="s">
        <v>46</v>
      </c>
      <c r="T18" s="46" t="s">
        <v>47</v>
      </c>
      <c r="U18" s="48" t="s">
        <v>48</v>
      </c>
    </row>
    <row r="19" ht="17.5" spans="1:21">
      <c r="A19" s="46" t="s">
        <v>49</v>
      </c>
      <c r="B19" s="46">
        <v>200</v>
      </c>
      <c r="C19" s="46">
        <v>200</v>
      </c>
      <c r="D19" s="46">
        <v>200</v>
      </c>
      <c r="E19" s="46">
        <v>200</v>
      </c>
      <c r="F19" s="46">
        <v>200</v>
      </c>
      <c r="G19" s="46">
        <v>200</v>
      </c>
      <c r="H19" s="46">
        <v>200</v>
      </c>
      <c r="I19" s="46">
        <v>200</v>
      </c>
      <c r="J19" s="46">
        <v>200</v>
      </c>
      <c r="K19" s="46">
        <v>200</v>
      </c>
      <c r="L19" s="46">
        <v>200</v>
      </c>
      <c r="M19" s="46">
        <v>200</v>
      </c>
      <c r="N19" s="50">
        <f>SUM(B19:M19)</f>
        <v>2400</v>
      </c>
      <c r="O19" s="46">
        <v>300</v>
      </c>
      <c r="P19" s="46">
        <f>N19*O19/10000</f>
        <v>72</v>
      </c>
      <c r="Q19" s="46">
        <v>800</v>
      </c>
      <c r="R19" s="48">
        <f>N19*Q19/10000</f>
        <v>192</v>
      </c>
      <c r="S19" s="46">
        <f>Q19*0.1</f>
        <v>80</v>
      </c>
      <c r="T19" s="46">
        <f>N19*S19/10000</f>
        <v>19.2</v>
      </c>
      <c r="U19" s="46">
        <f>R19-P19-T19</f>
        <v>100.8</v>
      </c>
    </row>
    <row r="21" ht="17.5" spans="1:21">
      <c r="A21" s="44" t="s">
        <v>54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54"/>
    </row>
    <row r="22" ht="17.5" spans="1:21">
      <c r="A22" s="46" t="s">
        <v>41</v>
      </c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46">
        <v>6</v>
      </c>
      <c r="H22" s="46">
        <v>7</v>
      </c>
      <c r="I22" s="46">
        <v>8</v>
      </c>
      <c r="J22" s="46">
        <v>9</v>
      </c>
      <c r="K22" s="46">
        <v>10</v>
      </c>
      <c r="L22" s="46">
        <v>11</v>
      </c>
      <c r="M22" s="46">
        <v>12</v>
      </c>
      <c r="N22" s="48" t="s">
        <v>13</v>
      </c>
      <c r="O22" s="46" t="s">
        <v>42</v>
      </c>
      <c r="P22" s="46" t="s">
        <v>43</v>
      </c>
      <c r="Q22" s="46" t="s">
        <v>44</v>
      </c>
      <c r="R22" s="48" t="s">
        <v>45</v>
      </c>
      <c r="S22" s="46" t="s">
        <v>46</v>
      </c>
      <c r="T22" s="46" t="s">
        <v>47</v>
      </c>
      <c r="U22" s="48" t="s">
        <v>48</v>
      </c>
    </row>
    <row r="23" ht="17.5" spans="1:21">
      <c r="A23" s="46" t="s">
        <v>49</v>
      </c>
      <c r="B23" s="46"/>
      <c r="C23" s="46"/>
      <c r="D23" s="46"/>
      <c r="E23" s="46"/>
      <c r="F23" s="46">
        <v>100</v>
      </c>
      <c r="G23" s="46">
        <v>200</v>
      </c>
      <c r="H23" s="46">
        <v>200</v>
      </c>
      <c r="I23" s="46">
        <v>200</v>
      </c>
      <c r="J23" s="46">
        <v>200</v>
      </c>
      <c r="K23" s="46">
        <v>200</v>
      </c>
      <c r="L23" s="46">
        <v>200</v>
      </c>
      <c r="M23" s="46">
        <v>200</v>
      </c>
      <c r="N23" s="50">
        <f>SUM(B23:M23)</f>
        <v>1500</v>
      </c>
      <c r="O23" s="46">
        <v>2000</v>
      </c>
      <c r="P23" s="46">
        <f>N23*O23/10000</f>
        <v>300</v>
      </c>
      <c r="Q23" s="46">
        <v>6000</v>
      </c>
      <c r="R23" s="48">
        <f>N23*Q23/10000</f>
        <v>900</v>
      </c>
      <c r="S23" s="46"/>
      <c r="T23" s="46"/>
      <c r="U23" s="46">
        <f>R23-P23-T23</f>
        <v>600</v>
      </c>
    </row>
    <row r="25" ht="17.5" spans="1:21">
      <c r="A25" s="44" t="s">
        <v>55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54"/>
    </row>
    <row r="26" ht="17.5" spans="1:21">
      <c r="A26" s="46" t="s">
        <v>41</v>
      </c>
      <c r="B26" s="46">
        <v>1</v>
      </c>
      <c r="C26" s="46">
        <v>2</v>
      </c>
      <c r="D26" s="46">
        <v>3</v>
      </c>
      <c r="E26" s="46">
        <v>4</v>
      </c>
      <c r="F26" s="46">
        <v>5</v>
      </c>
      <c r="G26" s="46">
        <v>6</v>
      </c>
      <c r="H26" s="46">
        <v>7</v>
      </c>
      <c r="I26" s="46">
        <v>8</v>
      </c>
      <c r="J26" s="46">
        <v>9</v>
      </c>
      <c r="K26" s="46">
        <v>10</v>
      </c>
      <c r="L26" s="46">
        <v>11</v>
      </c>
      <c r="M26" s="46">
        <v>12</v>
      </c>
      <c r="N26" s="48" t="s">
        <v>13</v>
      </c>
      <c r="O26" s="46" t="s">
        <v>42</v>
      </c>
      <c r="P26" s="46" t="s">
        <v>43</v>
      </c>
      <c r="Q26" s="46" t="s">
        <v>44</v>
      </c>
      <c r="R26" s="48" t="s">
        <v>45</v>
      </c>
      <c r="S26" s="46" t="s">
        <v>46</v>
      </c>
      <c r="T26" s="46" t="s">
        <v>47</v>
      </c>
      <c r="U26" s="48" t="s">
        <v>48</v>
      </c>
    </row>
    <row r="27" ht="17.5" spans="1:21">
      <c r="A27" s="46" t="s">
        <v>49</v>
      </c>
      <c r="B27" s="46">
        <f>B23*5</f>
        <v>0</v>
      </c>
      <c r="C27" s="46">
        <v>100</v>
      </c>
      <c r="D27" s="46">
        <v>100</v>
      </c>
      <c r="E27" s="46">
        <v>100</v>
      </c>
      <c r="F27" s="46">
        <v>100</v>
      </c>
      <c r="G27" s="46">
        <v>100</v>
      </c>
      <c r="H27" s="46">
        <v>100</v>
      </c>
      <c r="I27" s="46">
        <v>100</v>
      </c>
      <c r="J27" s="46">
        <v>100</v>
      </c>
      <c r="K27" s="46">
        <v>100</v>
      </c>
      <c r="L27" s="46">
        <v>100</v>
      </c>
      <c r="M27" s="46">
        <v>100</v>
      </c>
      <c r="N27" s="50">
        <f>SUM(B27:M27)</f>
        <v>1100</v>
      </c>
      <c r="O27" s="46">
        <v>300</v>
      </c>
      <c r="P27" s="46">
        <f>N27*O27/10000</f>
        <v>33</v>
      </c>
      <c r="Q27" s="46">
        <v>1500</v>
      </c>
      <c r="R27" s="48">
        <f>N27*Q27/10000</f>
        <v>165</v>
      </c>
      <c r="S27" s="46">
        <f>Q27*0.1</f>
        <v>150</v>
      </c>
      <c r="T27" s="46">
        <f>N27*S27/10000</f>
        <v>16.5</v>
      </c>
      <c r="U27" s="46">
        <f>R27-P27-T27</f>
        <v>115.5</v>
      </c>
    </row>
    <row r="29" ht="17.5" spans="1:21">
      <c r="A29" s="44" t="s">
        <v>56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54"/>
    </row>
    <row r="30" ht="17.5" spans="1:21">
      <c r="A30" s="46" t="s">
        <v>41</v>
      </c>
      <c r="B30" s="46">
        <v>1</v>
      </c>
      <c r="C30" s="46">
        <v>2</v>
      </c>
      <c r="D30" s="46">
        <v>3</v>
      </c>
      <c r="E30" s="46">
        <v>4</v>
      </c>
      <c r="F30" s="46">
        <v>5</v>
      </c>
      <c r="G30" s="46">
        <v>6</v>
      </c>
      <c r="H30" s="46">
        <v>7</v>
      </c>
      <c r="I30" s="46">
        <v>8</v>
      </c>
      <c r="J30" s="46">
        <v>9</v>
      </c>
      <c r="K30" s="46">
        <v>10</v>
      </c>
      <c r="L30" s="46">
        <v>11</v>
      </c>
      <c r="M30" s="46">
        <v>12</v>
      </c>
      <c r="N30" s="48" t="s">
        <v>13</v>
      </c>
      <c r="O30" s="46" t="s">
        <v>42</v>
      </c>
      <c r="P30" s="46" t="s">
        <v>43</v>
      </c>
      <c r="Q30" s="46" t="s">
        <v>44</v>
      </c>
      <c r="R30" s="48" t="s">
        <v>45</v>
      </c>
      <c r="S30" s="46" t="s">
        <v>46</v>
      </c>
      <c r="T30" s="46" t="s">
        <v>47</v>
      </c>
      <c r="U30" s="48" t="s">
        <v>48</v>
      </c>
    </row>
    <row r="31" ht="17.5" spans="1:21">
      <c r="A31" s="46" t="s">
        <v>49</v>
      </c>
      <c r="B31" s="46">
        <f>B27*5</f>
        <v>0</v>
      </c>
      <c r="C31" s="46">
        <v>100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50">
        <f>SUM(B31:M31)</f>
        <v>100</v>
      </c>
      <c r="O31" s="46">
        <v>300</v>
      </c>
      <c r="P31" s="46">
        <f>N31*O31/10000</f>
        <v>3</v>
      </c>
      <c r="Q31" s="46">
        <v>1500</v>
      </c>
      <c r="R31" s="48">
        <f>N31*Q31/10000</f>
        <v>15</v>
      </c>
      <c r="S31" s="46">
        <f>Q31*0.1</f>
        <v>150</v>
      </c>
      <c r="T31" s="46">
        <f>N31*S31/10000</f>
        <v>1.5</v>
      </c>
      <c r="U31" s="46">
        <f>R31-P31-T31</f>
        <v>10.5</v>
      </c>
    </row>
    <row r="33" ht="17.5" spans="1:21">
      <c r="A33" s="44" t="s">
        <v>57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54"/>
    </row>
    <row r="34" ht="17.5" spans="1:21">
      <c r="A34" s="46" t="s">
        <v>41</v>
      </c>
      <c r="B34" s="46">
        <v>1</v>
      </c>
      <c r="C34" s="46">
        <v>2</v>
      </c>
      <c r="D34" s="46">
        <v>3</v>
      </c>
      <c r="E34" s="46">
        <v>4</v>
      </c>
      <c r="F34" s="46">
        <v>5</v>
      </c>
      <c r="G34" s="46">
        <v>6</v>
      </c>
      <c r="H34" s="46">
        <v>7</v>
      </c>
      <c r="I34" s="46">
        <v>8</v>
      </c>
      <c r="J34" s="46">
        <v>9</v>
      </c>
      <c r="K34" s="46">
        <v>10</v>
      </c>
      <c r="L34" s="46">
        <v>11</v>
      </c>
      <c r="M34" s="46">
        <v>12</v>
      </c>
      <c r="N34" s="48" t="s">
        <v>13</v>
      </c>
      <c r="O34" s="46" t="s">
        <v>42</v>
      </c>
      <c r="P34" s="46" t="s">
        <v>43</v>
      </c>
      <c r="Q34" s="46" t="s">
        <v>44</v>
      </c>
      <c r="R34" s="48" t="s">
        <v>45</v>
      </c>
      <c r="S34" s="46" t="s">
        <v>46</v>
      </c>
      <c r="T34" s="46" t="s">
        <v>47</v>
      </c>
      <c r="U34" s="48" t="s">
        <v>48</v>
      </c>
    </row>
    <row r="35" ht="17.5" spans="1:21">
      <c r="A35" s="46" t="s">
        <v>49</v>
      </c>
      <c r="B35" s="46">
        <f>B31*5</f>
        <v>0</v>
      </c>
      <c r="C35" s="46"/>
      <c r="D35" s="46">
        <v>100</v>
      </c>
      <c r="E35" s="46"/>
      <c r="F35" s="46"/>
      <c r="G35" s="46"/>
      <c r="H35" s="46"/>
      <c r="I35" s="46"/>
      <c r="J35" s="46"/>
      <c r="K35" s="46"/>
      <c r="L35" s="46"/>
      <c r="M35" s="46"/>
      <c r="N35" s="50">
        <f>SUM(B35:M35)</f>
        <v>100</v>
      </c>
      <c r="O35" s="46">
        <v>300</v>
      </c>
      <c r="P35" s="46">
        <f>N35*O35/10000</f>
        <v>3</v>
      </c>
      <c r="Q35" s="46">
        <v>1500</v>
      </c>
      <c r="R35" s="48">
        <f>N35*Q35/10000</f>
        <v>15</v>
      </c>
      <c r="S35" s="46">
        <f>Q35*0.1</f>
        <v>150</v>
      </c>
      <c r="T35" s="46">
        <f>N35*S35/10000</f>
        <v>1.5</v>
      </c>
      <c r="U35" s="46">
        <f>R35-P35-T35</f>
        <v>10.5</v>
      </c>
    </row>
    <row r="36" spans="18:21">
      <c r="R36" s="57">
        <f>R7+R19+R23+R11+R27</f>
        <v>3172.65</v>
      </c>
      <c r="U36" s="40">
        <f>SUM(U3+U7+U19+U23+U11+U27)</f>
        <v>2570.845</v>
      </c>
    </row>
  </sheetData>
  <mergeCells count="9">
    <mergeCell ref="A1:U1"/>
    <mergeCell ref="A5:U5"/>
    <mergeCell ref="A9:U9"/>
    <mergeCell ref="A13:U13"/>
    <mergeCell ref="A17:U17"/>
    <mergeCell ref="A21:U21"/>
    <mergeCell ref="A25:U25"/>
    <mergeCell ref="A29:U29"/>
    <mergeCell ref="A33:U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pane xSplit="2" ySplit="4" topLeftCell="D5" activePane="bottomRight" state="frozen"/>
      <selection/>
      <selection pane="topRight"/>
      <selection pane="bottomLeft"/>
      <selection pane="bottomRight" activeCell="T9" sqref="T9"/>
    </sheetView>
  </sheetViews>
  <sheetFormatPr defaultColWidth="9.36363636363636" defaultRowHeight="14"/>
  <cols>
    <col min="1" max="1" width="4.72727272727273" customWidth="1"/>
    <col min="2" max="2" width="45.7272727272727" customWidth="1"/>
    <col min="3" max="3" width="12.1818181818182" hidden="1" customWidth="1"/>
    <col min="4" max="4" width="12.9090909090909" customWidth="1"/>
    <col min="5" max="5" width="12.4545454545455" hidden="1" customWidth="1"/>
    <col min="6" max="6" width="13.5454545454545" hidden="1" customWidth="1"/>
    <col min="7" max="7" width="13.0909090909091" hidden="1" customWidth="1"/>
    <col min="8" max="8" width="13.7272727272727" hidden="1" customWidth="1"/>
    <col min="9" max="9" width="12.8181818181818" hidden="1" customWidth="1"/>
    <col min="10" max="10" width="16.6363636363636" hidden="1" customWidth="1"/>
    <col min="11" max="11" width="12.1818181818182" hidden="1" customWidth="1"/>
    <col min="12" max="12" width="11" customWidth="1"/>
    <col min="13" max="13" width="11.2727272727273" hidden="1" customWidth="1"/>
    <col min="14" max="14" width="12.3636363636364" hidden="1" customWidth="1"/>
    <col min="15" max="15" width="12" hidden="1" customWidth="1"/>
    <col min="16" max="16" width="12.6363636363636" hidden="1" customWidth="1"/>
    <col min="17" max="17" width="13.0909090909091" hidden="1" customWidth="1"/>
    <col min="18" max="18" width="16.6363636363636" customWidth="1"/>
  </cols>
  <sheetData>
    <row r="1" ht="25" customHeight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 t="s">
        <v>1</v>
      </c>
      <c r="B2" s="3" t="s">
        <v>38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6"/>
      <c r="B3" s="7"/>
      <c r="C3" s="8" t="s">
        <v>4</v>
      </c>
      <c r="D3" s="9"/>
      <c r="E3" s="9"/>
      <c r="F3" s="9"/>
      <c r="G3" s="9"/>
      <c r="H3" s="9"/>
      <c r="I3" s="9"/>
      <c r="J3" s="23"/>
      <c r="K3" s="9" t="s">
        <v>5</v>
      </c>
      <c r="L3" s="9"/>
      <c r="M3" s="9"/>
      <c r="N3" s="9"/>
      <c r="O3" s="9"/>
      <c r="P3" s="9"/>
      <c r="Q3" s="9"/>
      <c r="R3" s="23"/>
    </row>
    <row r="4" ht="16.5" spans="1:18">
      <c r="A4" s="6"/>
      <c r="B4" s="7"/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24" t="s">
        <v>13</v>
      </c>
      <c r="K4" s="10" t="s">
        <v>6</v>
      </c>
      <c r="L4" s="10" t="s">
        <v>7</v>
      </c>
      <c r="M4" s="10" t="s">
        <v>8</v>
      </c>
      <c r="N4" s="10" t="s">
        <v>9</v>
      </c>
      <c r="O4" s="10" t="s">
        <v>10</v>
      </c>
      <c r="P4" s="10" t="s">
        <v>11</v>
      </c>
      <c r="Q4" s="10" t="s">
        <v>12</v>
      </c>
      <c r="R4" s="24" t="s">
        <v>13</v>
      </c>
    </row>
    <row r="5" ht="70" spans="1:18">
      <c r="A5" s="11"/>
      <c r="B5" s="12"/>
      <c r="C5" s="13"/>
      <c r="D5" s="14"/>
      <c r="E5" s="14"/>
      <c r="F5" s="14"/>
      <c r="G5" s="14"/>
      <c r="H5" s="14"/>
      <c r="I5" s="14"/>
      <c r="J5" s="14"/>
      <c r="K5" s="14"/>
      <c r="L5" s="32" t="s">
        <v>58</v>
      </c>
      <c r="N5" s="14"/>
      <c r="O5" s="14"/>
      <c r="P5" s="14"/>
      <c r="Q5" s="14"/>
      <c r="R5" s="14"/>
    </row>
    <row r="6" ht="28" spans="1:18">
      <c r="A6" s="11">
        <v>1</v>
      </c>
      <c r="B6" s="12" t="s">
        <v>23</v>
      </c>
      <c r="C6" s="13"/>
      <c r="D6" s="29">
        <v>0</v>
      </c>
      <c r="E6" s="14"/>
      <c r="F6" s="14"/>
      <c r="G6" s="14"/>
      <c r="H6" s="14"/>
      <c r="I6" s="14"/>
      <c r="J6" s="14"/>
      <c r="K6" s="14"/>
      <c r="L6" s="29">
        <f>1260*5.2</f>
        <v>6552</v>
      </c>
      <c r="M6" s="33"/>
      <c r="N6" s="14"/>
      <c r="O6" s="14"/>
      <c r="P6" s="14"/>
      <c r="Q6" s="14"/>
      <c r="R6" s="14"/>
    </row>
    <row r="7" spans="1:18">
      <c r="A7" s="11">
        <v>2</v>
      </c>
      <c r="B7" s="12" t="s">
        <v>24</v>
      </c>
      <c r="C7" s="13"/>
      <c r="D7" s="29">
        <v>0</v>
      </c>
      <c r="E7" s="14"/>
      <c r="F7" s="14"/>
      <c r="G7" s="14"/>
      <c r="H7" s="14"/>
      <c r="I7" s="14"/>
      <c r="J7" s="14"/>
      <c r="K7" s="14"/>
      <c r="L7" s="29">
        <f>5.2*520</f>
        <v>2704</v>
      </c>
      <c r="M7" s="33"/>
      <c r="N7" s="14"/>
      <c r="O7" s="14"/>
      <c r="P7" s="14"/>
      <c r="Q7" s="14"/>
      <c r="R7" s="14"/>
    </row>
    <row r="8" ht="28" spans="1:18">
      <c r="A8" s="11">
        <v>3</v>
      </c>
      <c r="B8" s="12" t="s">
        <v>25</v>
      </c>
      <c r="C8" s="15"/>
      <c r="D8" s="30" t="e">
        <f>1-D7/(D6-D9)</f>
        <v>#DIV/0!</v>
      </c>
      <c r="E8" s="30" t="e">
        <f t="shared" ref="E8:L8" si="0">1-E7/(E6-E9)</f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 t="e">
        <f t="shared" si="0"/>
        <v>#DIV/0!</v>
      </c>
      <c r="J8" s="30" t="e">
        <f t="shared" si="0"/>
        <v>#DIV/0!</v>
      </c>
      <c r="K8" s="30" t="e">
        <f t="shared" si="0"/>
        <v>#DIV/0!</v>
      </c>
      <c r="L8" s="30">
        <f t="shared" si="0"/>
        <v>0.469387755102041</v>
      </c>
      <c r="M8" s="34"/>
      <c r="N8" s="15"/>
      <c r="O8" s="15"/>
      <c r="P8" s="15"/>
      <c r="Q8" s="15"/>
      <c r="R8" s="15"/>
    </row>
    <row r="9" spans="1:18">
      <c r="A9" s="11">
        <v>4</v>
      </c>
      <c r="B9" s="12" t="s">
        <v>26</v>
      </c>
      <c r="C9" s="13"/>
      <c r="D9" s="27">
        <v>0</v>
      </c>
      <c r="E9" s="13"/>
      <c r="F9" s="13"/>
      <c r="G9" s="13"/>
      <c r="H9" s="13"/>
      <c r="I9" s="13"/>
      <c r="J9" s="13"/>
      <c r="K9" s="13"/>
      <c r="L9" s="29">
        <f>(1260-980)*5.2</f>
        <v>1456</v>
      </c>
      <c r="M9" s="35"/>
      <c r="N9" s="13"/>
      <c r="O9" s="13"/>
      <c r="P9" s="13"/>
      <c r="Q9" s="13"/>
      <c r="R9" s="13"/>
    </row>
    <row r="10" spans="1:18">
      <c r="A10" s="11">
        <v>5</v>
      </c>
      <c r="B10" s="12" t="s">
        <v>27</v>
      </c>
      <c r="C10" s="13"/>
      <c r="D10" s="27">
        <v>4</v>
      </c>
      <c r="E10" s="13"/>
      <c r="F10" s="13"/>
      <c r="G10" s="13"/>
      <c r="H10" s="13"/>
      <c r="I10" s="13"/>
      <c r="J10" s="13"/>
      <c r="K10" s="13"/>
      <c r="L10" s="27">
        <v>15</v>
      </c>
      <c r="M10" s="35"/>
      <c r="N10" s="13"/>
      <c r="O10" s="13"/>
      <c r="P10" s="13"/>
      <c r="Q10" s="13"/>
      <c r="R10" s="13"/>
    </row>
    <row r="11" spans="1:18">
      <c r="A11" s="11">
        <v>6</v>
      </c>
      <c r="B11" s="12" t="s">
        <v>28</v>
      </c>
      <c r="C11" s="16"/>
      <c r="D11" s="28"/>
      <c r="E11" s="16"/>
      <c r="F11" s="16"/>
      <c r="G11" s="16"/>
      <c r="H11" s="16"/>
      <c r="I11" s="16"/>
      <c r="J11" s="16"/>
      <c r="K11" s="16"/>
      <c r="L11" s="27"/>
      <c r="M11" s="36"/>
      <c r="N11" s="16"/>
      <c r="O11" s="16"/>
      <c r="P11" s="16"/>
      <c r="Q11" s="16"/>
      <c r="R11" s="16"/>
    </row>
    <row r="12" spans="1:18">
      <c r="A12" s="11">
        <v>7</v>
      </c>
      <c r="B12" s="12" t="s">
        <v>29</v>
      </c>
      <c r="C12" s="16"/>
      <c r="D12" s="28">
        <v>100</v>
      </c>
      <c r="E12" s="16"/>
      <c r="F12" s="16"/>
      <c r="G12" s="16"/>
      <c r="H12" s="16"/>
      <c r="I12" s="16"/>
      <c r="J12" s="16"/>
      <c r="K12" s="16"/>
      <c r="L12" s="28">
        <f>15*2*12</f>
        <v>360</v>
      </c>
      <c r="M12" s="36"/>
      <c r="N12" s="16"/>
      <c r="O12" s="16"/>
      <c r="P12" s="16"/>
      <c r="Q12" s="16"/>
      <c r="R12" s="16"/>
    </row>
    <row r="13" ht="28" spans="1:18">
      <c r="A13" s="11">
        <v>8</v>
      </c>
      <c r="B13" s="12" t="s">
        <v>30</v>
      </c>
      <c r="C13" s="16"/>
      <c r="D13" s="28">
        <v>40</v>
      </c>
      <c r="E13" s="16"/>
      <c r="F13" s="16"/>
      <c r="G13" s="16"/>
      <c r="H13" s="16"/>
      <c r="I13" s="16"/>
      <c r="J13" s="16"/>
      <c r="K13" s="16"/>
      <c r="L13" s="28">
        <v>100</v>
      </c>
      <c r="M13" s="36"/>
      <c r="N13" s="16"/>
      <c r="O13" s="16"/>
      <c r="P13" s="16"/>
      <c r="Q13" s="16"/>
      <c r="R13" s="16"/>
    </row>
    <row r="14" spans="1:18">
      <c r="A14" s="11">
        <v>9</v>
      </c>
      <c r="B14" s="12" t="s">
        <v>31</v>
      </c>
      <c r="C14" s="16"/>
      <c r="D14" s="28">
        <v>21.4</v>
      </c>
      <c r="E14" s="16"/>
      <c r="F14" s="16"/>
      <c r="G14" s="16"/>
      <c r="H14" s="16"/>
      <c r="I14" s="16"/>
      <c r="J14" s="16"/>
      <c r="K14" s="16"/>
      <c r="L14" s="28">
        <f>15*2.2</f>
        <v>33</v>
      </c>
      <c r="M14" s="36"/>
      <c r="N14" s="16"/>
      <c r="O14" s="16"/>
      <c r="P14" s="16"/>
      <c r="Q14" s="16"/>
      <c r="R14" s="16"/>
    </row>
    <row r="15" spans="1:18">
      <c r="A15" s="11">
        <v>10</v>
      </c>
      <c r="B15" s="12" t="s">
        <v>32</v>
      </c>
      <c r="C15" s="16"/>
      <c r="D15" s="28">
        <v>0</v>
      </c>
      <c r="E15" s="16"/>
      <c r="F15" s="16"/>
      <c r="G15" s="16"/>
      <c r="H15" s="16"/>
      <c r="I15" s="16"/>
      <c r="J15" s="16"/>
      <c r="K15" s="16"/>
      <c r="L15" s="28">
        <f>L6*1.5%</f>
        <v>98.28</v>
      </c>
      <c r="M15" s="36"/>
      <c r="N15" s="16"/>
      <c r="O15" s="16"/>
      <c r="P15" s="16"/>
      <c r="Q15" s="16"/>
      <c r="R15" s="16"/>
    </row>
    <row r="16" spans="1:18">
      <c r="A16" s="11">
        <v>11</v>
      </c>
      <c r="B16" s="12" t="s">
        <v>33</v>
      </c>
      <c r="C16" s="16"/>
      <c r="D16" s="28"/>
      <c r="E16" s="16"/>
      <c r="F16" s="16"/>
      <c r="G16" s="16"/>
      <c r="H16" s="16"/>
      <c r="I16" s="16"/>
      <c r="J16" s="16"/>
      <c r="K16" s="16"/>
      <c r="L16" s="28"/>
      <c r="M16" s="36"/>
      <c r="N16" s="16"/>
      <c r="O16" s="16"/>
      <c r="P16" s="16"/>
      <c r="Q16" s="16"/>
      <c r="R16" s="16"/>
    </row>
    <row r="17" spans="1:18">
      <c r="A17" s="11">
        <v>12</v>
      </c>
      <c r="B17" s="12" t="s">
        <v>34</v>
      </c>
      <c r="C17" s="17"/>
      <c r="D17" s="31">
        <v>0</v>
      </c>
      <c r="E17" s="17"/>
      <c r="F17" s="17"/>
      <c r="G17" s="17"/>
      <c r="H17" s="17"/>
      <c r="I17" s="17"/>
      <c r="J17" s="17"/>
      <c r="K17" s="17"/>
      <c r="L17" s="28">
        <f>L6*9%</f>
        <v>589.68</v>
      </c>
      <c r="M17" s="37"/>
      <c r="N17" s="17"/>
      <c r="O17" s="17"/>
      <c r="P17" s="17"/>
      <c r="Q17" s="17"/>
      <c r="R17" s="17"/>
    </row>
    <row r="18" spans="1:18">
      <c r="A18" s="11">
        <v>13</v>
      </c>
      <c r="B18" s="12" t="s">
        <v>35</v>
      </c>
      <c r="C18" s="17"/>
      <c r="D18" s="31">
        <v>-161.4</v>
      </c>
      <c r="E18" s="17"/>
      <c r="F18" s="17"/>
      <c r="G18" s="17"/>
      <c r="H18" s="17"/>
      <c r="I18" s="17"/>
      <c r="J18" s="17"/>
      <c r="K18" s="17"/>
      <c r="L18" s="31"/>
      <c r="M18" s="37"/>
      <c r="N18" s="17"/>
      <c r="O18" s="17"/>
      <c r="P18" s="17"/>
      <c r="Q18" s="17"/>
      <c r="R18" s="17"/>
    </row>
    <row r="19" spans="1:18">
      <c r="A19" s="11">
        <v>14</v>
      </c>
      <c r="B19" s="18" t="s">
        <v>36</v>
      </c>
      <c r="C19" s="19"/>
      <c r="D19" s="20"/>
      <c r="E19" s="20"/>
      <c r="F19" s="20"/>
      <c r="G19" s="20"/>
      <c r="H19" s="20"/>
      <c r="I19" s="20"/>
      <c r="J19" s="20"/>
      <c r="K19" s="20"/>
      <c r="L19" s="38"/>
      <c r="M19" s="38"/>
      <c r="N19" s="20"/>
      <c r="O19" s="20"/>
      <c r="P19" s="20"/>
      <c r="Q19" s="20"/>
      <c r="R19" s="20"/>
    </row>
    <row r="20" spans="1:18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38"/>
      <c r="N20" s="16"/>
      <c r="O20" s="16"/>
      <c r="P20" s="16"/>
      <c r="Q20" s="16"/>
      <c r="R20" s="16"/>
    </row>
    <row r="21" ht="73" customHeight="1" spans="1:18">
      <c r="A21" s="21"/>
      <c r="B21" s="22" t="s">
        <v>39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</sheetData>
  <mergeCells count="7">
    <mergeCell ref="A1:R1"/>
    <mergeCell ref="C2:R2"/>
    <mergeCell ref="C3:J3"/>
    <mergeCell ref="K3:R3"/>
    <mergeCell ref="B21:R21"/>
    <mergeCell ref="A2:A3"/>
    <mergeCell ref="B2:B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topLeftCell="D1" workbookViewId="0">
      <selection activeCell="M6" sqref="M6"/>
    </sheetView>
  </sheetViews>
  <sheetFormatPr defaultColWidth="9.36363636363636" defaultRowHeight="14"/>
  <cols>
    <col min="1" max="1" width="4.72727272727273" customWidth="1"/>
    <col min="2" max="2" width="45.7272727272727" customWidth="1"/>
    <col min="3" max="3" width="12.1818181818182" customWidth="1"/>
    <col min="4" max="4" width="12.9090909090909" customWidth="1"/>
    <col min="5" max="5" width="12.4545454545455" customWidth="1"/>
    <col min="6" max="6" width="13.5454545454545" customWidth="1"/>
    <col min="7" max="7" width="13.0909090909091" customWidth="1"/>
    <col min="8" max="8" width="13.7272727272727" customWidth="1"/>
    <col min="9" max="9" width="12.8181818181818" customWidth="1"/>
    <col min="10" max="10" width="16.6363636363636" customWidth="1"/>
    <col min="11" max="11" width="12.1818181818182" customWidth="1"/>
    <col min="12" max="12" width="11" customWidth="1"/>
    <col min="13" max="13" width="11.2727272727273" customWidth="1"/>
    <col min="14" max="14" width="12.3636363636364" customWidth="1"/>
    <col min="15" max="15" width="12" customWidth="1"/>
    <col min="16" max="16" width="12.6363636363636" customWidth="1"/>
    <col min="17" max="17" width="13.0909090909091" customWidth="1"/>
    <col min="18" max="18" width="16.6363636363636" customWidth="1"/>
  </cols>
  <sheetData>
    <row r="1" ht="25" customHeight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 t="s">
        <v>1</v>
      </c>
      <c r="B2" s="3" t="s">
        <v>38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6"/>
      <c r="B3" s="7"/>
      <c r="C3" s="8" t="s">
        <v>4</v>
      </c>
      <c r="D3" s="9"/>
      <c r="E3" s="9"/>
      <c r="F3" s="9"/>
      <c r="G3" s="9"/>
      <c r="H3" s="9"/>
      <c r="I3" s="9"/>
      <c r="J3" s="23"/>
      <c r="K3" s="9" t="s">
        <v>5</v>
      </c>
      <c r="L3" s="9"/>
      <c r="M3" s="9"/>
      <c r="N3" s="9"/>
      <c r="O3" s="9"/>
      <c r="P3" s="9"/>
      <c r="Q3" s="9"/>
      <c r="R3" s="23"/>
    </row>
    <row r="4" ht="16.5" spans="1:18">
      <c r="A4" s="6"/>
      <c r="B4" s="7"/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24" t="s">
        <v>13</v>
      </c>
      <c r="K4" s="10" t="s">
        <v>6</v>
      </c>
      <c r="L4" s="10" t="s">
        <v>7</v>
      </c>
      <c r="M4" s="10" t="s">
        <v>8</v>
      </c>
      <c r="N4" s="10" t="s">
        <v>9</v>
      </c>
      <c r="O4" s="10" t="s">
        <v>10</v>
      </c>
      <c r="P4" s="10" t="s">
        <v>11</v>
      </c>
      <c r="Q4" s="10" t="s">
        <v>12</v>
      </c>
      <c r="R4" s="24" t="s">
        <v>13</v>
      </c>
    </row>
    <row r="5" spans="1:18">
      <c r="A5" s="11"/>
      <c r="B5" s="12"/>
      <c r="C5" s="13"/>
      <c r="D5" s="14"/>
      <c r="E5" s="26">
        <v>31.6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ht="28" spans="1:18">
      <c r="A6" s="11">
        <v>1</v>
      </c>
      <c r="B6" s="12" t="s">
        <v>23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27">
        <f>236+5.2*150</f>
        <v>1016</v>
      </c>
      <c r="N6" s="14"/>
      <c r="O6" s="14"/>
      <c r="P6" s="14"/>
      <c r="Q6" s="14"/>
      <c r="R6" s="14"/>
    </row>
    <row r="7" spans="1:18">
      <c r="A7" s="11">
        <v>2</v>
      </c>
      <c r="B7" s="12" t="s">
        <v>24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ht="28" spans="1:18">
      <c r="A8" s="11">
        <v>3</v>
      </c>
      <c r="B8" s="12" t="s">
        <v>25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>
      <c r="A9" s="11">
        <v>4</v>
      </c>
      <c r="B9" s="12" t="s">
        <v>26</v>
      </c>
      <c r="C9" s="13"/>
      <c r="D9" s="13"/>
      <c r="E9" s="13">
        <v>0</v>
      </c>
      <c r="F9" s="13"/>
      <c r="G9" s="13"/>
      <c r="H9" s="13"/>
      <c r="I9" s="13"/>
      <c r="J9" s="13"/>
      <c r="K9" s="13"/>
      <c r="L9" s="13"/>
      <c r="M9" s="27">
        <v>0</v>
      </c>
      <c r="N9" s="13"/>
      <c r="O9" s="13"/>
      <c r="P9" s="13"/>
      <c r="Q9" s="13"/>
      <c r="R9" s="13"/>
    </row>
    <row r="10" spans="1:18">
      <c r="A10" s="11">
        <v>5</v>
      </c>
      <c r="B10" s="12" t="s">
        <v>27</v>
      </c>
      <c r="C10" s="13"/>
      <c r="D10" s="13"/>
      <c r="E10" s="13">
        <v>7.5</v>
      </c>
      <c r="F10" s="13"/>
      <c r="G10" s="13"/>
      <c r="H10" s="13"/>
      <c r="I10" s="13"/>
      <c r="J10" s="13"/>
      <c r="K10" s="13"/>
      <c r="L10" s="13"/>
      <c r="M10" s="27">
        <v>50</v>
      </c>
      <c r="N10" s="13"/>
      <c r="O10" s="13"/>
      <c r="P10" s="13"/>
      <c r="Q10" s="13"/>
      <c r="R10" s="13"/>
    </row>
    <row r="11" spans="1:18">
      <c r="A11" s="11">
        <v>6</v>
      </c>
      <c r="B11" s="12" t="s">
        <v>28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8"/>
      <c r="N11" s="16"/>
      <c r="O11" s="16"/>
      <c r="P11" s="16"/>
      <c r="Q11" s="16"/>
      <c r="R11" s="16"/>
    </row>
    <row r="12" spans="1:18">
      <c r="A12" s="11">
        <v>7</v>
      </c>
      <c r="B12" s="12" t="s">
        <v>29</v>
      </c>
      <c r="C12" s="16"/>
      <c r="D12" s="16"/>
      <c r="E12" s="16">
        <v>30</v>
      </c>
      <c r="F12" s="16"/>
      <c r="G12" s="16"/>
      <c r="H12" s="16"/>
      <c r="I12" s="16"/>
      <c r="J12" s="16"/>
      <c r="K12" s="16"/>
      <c r="L12" s="16"/>
      <c r="M12" s="28">
        <v>1000</v>
      </c>
      <c r="N12" s="16"/>
      <c r="O12" s="16"/>
      <c r="P12" s="16"/>
      <c r="Q12" s="16"/>
      <c r="R12" s="16"/>
    </row>
    <row r="13" ht="28" spans="1:18">
      <c r="A13" s="11">
        <v>8</v>
      </c>
      <c r="B13" s="12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1">
        <v>9</v>
      </c>
      <c r="B14" s="12" t="s">
        <v>31</v>
      </c>
      <c r="C14" s="16"/>
      <c r="D14" s="16"/>
      <c r="E14" s="16">
        <v>5</v>
      </c>
      <c r="F14" s="16"/>
      <c r="G14" s="16"/>
      <c r="H14" s="16"/>
      <c r="I14" s="16"/>
      <c r="J14" s="16"/>
      <c r="K14" s="16"/>
      <c r="L14" s="16"/>
      <c r="M14" s="16">
        <f>M10*3</f>
        <v>150</v>
      </c>
      <c r="N14" s="16"/>
      <c r="O14" s="16"/>
      <c r="P14" s="16"/>
      <c r="Q14" s="16"/>
      <c r="R14" s="16"/>
    </row>
    <row r="15" spans="1:18">
      <c r="A15" s="11">
        <v>10</v>
      </c>
      <c r="B15" s="12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>
      <c r="A16" s="11">
        <v>11</v>
      </c>
      <c r="B16" s="12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>
      <c r="A17" s="11">
        <v>12</v>
      </c>
      <c r="B17" s="12" t="s">
        <v>34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>
      <c r="A18" s="11">
        <v>13</v>
      </c>
      <c r="B18" s="12" t="s">
        <v>35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>
      <c r="A19" s="11">
        <v>14</v>
      </c>
      <c r="B19" s="18" t="s">
        <v>36</v>
      </c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ht="73" customHeight="1" spans="1:18">
      <c r="A21" s="21"/>
      <c r="B21" s="22" t="s">
        <v>39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</sheetData>
  <mergeCells count="7">
    <mergeCell ref="A1:R1"/>
    <mergeCell ref="C2:R2"/>
    <mergeCell ref="C3:J3"/>
    <mergeCell ref="K3:R3"/>
    <mergeCell ref="B21:R21"/>
    <mergeCell ref="A2:A3"/>
    <mergeCell ref="B2:B3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G13" sqref="G13"/>
    </sheetView>
  </sheetViews>
  <sheetFormatPr defaultColWidth="9.36363636363636" defaultRowHeight="14"/>
  <cols>
    <col min="1" max="1" width="4.72727272727273" customWidth="1"/>
    <col min="2" max="2" width="45.7272727272727" customWidth="1"/>
    <col min="3" max="3" width="12.1818181818182" hidden="1" customWidth="1"/>
    <col min="4" max="4" width="12.9090909090909" hidden="1" customWidth="1"/>
    <col min="5" max="5" width="12.4545454545455" hidden="1" customWidth="1"/>
    <col min="6" max="6" width="13.5454545454545" customWidth="1"/>
    <col min="7" max="7" width="13.0909090909091" customWidth="1"/>
    <col min="8" max="8" width="13.7272727272727" customWidth="1"/>
    <col min="9" max="9" width="12.8181818181818" hidden="1" customWidth="1"/>
    <col min="10" max="10" width="16.6363636363636" customWidth="1"/>
    <col min="11" max="11" width="12.1818181818182" hidden="1" customWidth="1"/>
    <col min="12" max="12" width="11" hidden="1" customWidth="1"/>
    <col min="13" max="13" width="11.2727272727273" hidden="1" customWidth="1"/>
    <col min="14" max="14" width="12.3636363636364" customWidth="1"/>
    <col min="15" max="15" width="12" customWidth="1"/>
    <col min="16" max="16" width="12.6363636363636" customWidth="1"/>
    <col min="17" max="17" width="13.0909090909091" hidden="1" customWidth="1"/>
    <col min="18" max="18" width="16.6363636363636" customWidth="1"/>
  </cols>
  <sheetData>
    <row r="1" ht="25" customHeight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 t="s">
        <v>1</v>
      </c>
      <c r="B2" s="3" t="s">
        <v>38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6"/>
      <c r="B3" s="7"/>
      <c r="C3" s="8" t="s">
        <v>4</v>
      </c>
      <c r="D3" s="9"/>
      <c r="E3" s="9"/>
      <c r="F3" s="9"/>
      <c r="G3" s="9"/>
      <c r="H3" s="9"/>
      <c r="I3" s="9"/>
      <c r="J3" s="23"/>
      <c r="K3" s="9" t="s">
        <v>5</v>
      </c>
      <c r="L3" s="9"/>
      <c r="M3" s="9"/>
      <c r="N3" s="9"/>
      <c r="O3" s="9"/>
      <c r="P3" s="9"/>
      <c r="Q3" s="9"/>
      <c r="R3" s="23"/>
    </row>
    <row r="4" ht="16.5" spans="1:18">
      <c r="A4" s="6"/>
      <c r="B4" s="7"/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24" t="s">
        <v>13</v>
      </c>
      <c r="K4" s="10" t="s">
        <v>6</v>
      </c>
      <c r="L4" s="10" t="s">
        <v>7</v>
      </c>
      <c r="M4" s="10" t="s">
        <v>8</v>
      </c>
      <c r="N4" s="10" t="s">
        <v>9</v>
      </c>
      <c r="O4" s="10" t="s">
        <v>10</v>
      </c>
      <c r="P4" s="10" t="s">
        <v>11</v>
      </c>
      <c r="Q4" s="10" t="s">
        <v>12</v>
      </c>
      <c r="R4" s="24" t="s">
        <v>13</v>
      </c>
    </row>
    <row r="5" spans="1:18">
      <c r="A5" s="11"/>
      <c r="B5" s="12"/>
      <c r="C5" s="13"/>
      <c r="D5" s="14"/>
      <c r="E5" s="14"/>
      <c r="F5" s="25" t="s">
        <v>59</v>
      </c>
      <c r="G5" s="14"/>
      <c r="H5" s="14"/>
      <c r="I5" s="14"/>
      <c r="J5" s="14"/>
      <c r="K5" s="14"/>
      <c r="L5" s="14"/>
      <c r="M5" s="14"/>
      <c r="N5" s="25" t="s">
        <v>60</v>
      </c>
      <c r="O5" s="14"/>
      <c r="P5" s="14"/>
      <c r="Q5" s="14"/>
      <c r="R5" s="14"/>
    </row>
    <row r="6" ht="28" spans="1:18">
      <c r="A6" s="11">
        <v>1</v>
      </c>
      <c r="B6" s="12" t="s">
        <v>23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600</v>
      </c>
      <c r="O6" s="14"/>
      <c r="P6" s="14"/>
      <c r="Q6" s="14"/>
      <c r="R6" s="14"/>
    </row>
    <row r="7" spans="1:18">
      <c r="A7" s="11">
        <v>2</v>
      </c>
      <c r="B7" s="12" t="s">
        <v>24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400</v>
      </c>
      <c r="O7" s="14"/>
      <c r="P7" s="14"/>
      <c r="Q7" s="14"/>
      <c r="R7" s="14"/>
    </row>
    <row r="8" ht="28" spans="1:18">
      <c r="A8" s="11">
        <v>3</v>
      </c>
      <c r="B8" s="12" t="s">
        <v>25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>
      <c r="A9" s="11">
        <v>4</v>
      </c>
      <c r="B9" s="12" t="s">
        <v>26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>
      <c r="A10" s="11">
        <v>5</v>
      </c>
      <c r="B10" s="12" t="s">
        <v>27</v>
      </c>
      <c r="C10" s="13"/>
      <c r="D10" s="13"/>
      <c r="E10" s="13"/>
      <c r="F10" s="13">
        <v>3</v>
      </c>
      <c r="G10" s="13"/>
      <c r="H10" s="13"/>
      <c r="I10" s="13"/>
      <c r="J10" s="13"/>
      <c r="K10" s="13"/>
      <c r="L10" s="13"/>
      <c r="M10" s="13"/>
      <c r="N10" s="13">
        <v>20</v>
      </c>
      <c r="O10" s="13"/>
      <c r="P10" s="13"/>
      <c r="Q10" s="13"/>
      <c r="R10" s="13"/>
    </row>
    <row r="11" spans="1:18">
      <c r="A11" s="11">
        <v>6</v>
      </c>
      <c r="B11" s="12" t="s">
        <v>28</v>
      </c>
      <c r="C11" s="16"/>
      <c r="D11" s="16"/>
      <c r="E11" s="16"/>
      <c r="F11" s="16">
        <v>400</v>
      </c>
      <c r="G11" s="16"/>
      <c r="H11" s="16"/>
      <c r="I11" s="16"/>
      <c r="J11" s="16"/>
      <c r="K11" s="16"/>
      <c r="L11" s="16"/>
      <c r="M11" s="16"/>
      <c r="N11" s="16">
        <v>122</v>
      </c>
      <c r="O11" s="16"/>
      <c r="P11" s="16"/>
      <c r="Q11" s="16"/>
      <c r="R11" s="16"/>
    </row>
    <row r="12" spans="1:18">
      <c r="A12" s="11">
        <v>7</v>
      </c>
      <c r="B12" s="12" t="s">
        <v>29</v>
      </c>
      <c r="C12" s="16"/>
      <c r="D12" s="16"/>
      <c r="E12" s="16"/>
      <c r="F12" s="16">
        <f>F10*30</f>
        <v>90</v>
      </c>
      <c r="G12" s="16"/>
      <c r="H12" s="16"/>
      <c r="I12" s="16"/>
      <c r="J12" s="16"/>
      <c r="K12" s="16"/>
      <c r="L12" s="16"/>
      <c r="M12" s="16"/>
      <c r="N12" s="16">
        <f>N10*30</f>
        <v>600</v>
      </c>
      <c r="O12" s="16"/>
      <c r="P12" s="16"/>
      <c r="Q12" s="16"/>
      <c r="R12" s="16"/>
    </row>
    <row r="13" ht="28" spans="1:18">
      <c r="A13" s="11">
        <v>8</v>
      </c>
      <c r="B13" s="12" t="s">
        <v>30</v>
      </c>
      <c r="C13" s="16"/>
      <c r="D13" s="16"/>
      <c r="E13" s="16"/>
      <c r="F13" s="16">
        <v>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1">
        <v>9</v>
      </c>
      <c r="B14" s="12" t="s">
        <v>31</v>
      </c>
      <c r="C14" s="16"/>
      <c r="D14" s="16"/>
      <c r="E14" s="16"/>
      <c r="F14" s="16">
        <f>F10*2</f>
        <v>6</v>
      </c>
      <c r="G14" s="16"/>
      <c r="H14" s="16"/>
      <c r="I14" s="16"/>
      <c r="J14" s="16"/>
      <c r="K14" s="16"/>
      <c r="L14" s="16"/>
      <c r="M14" s="16"/>
      <c r="N14" s="16">
        <f>N10*2</f>
        <v>40</v>
      </c>
      <c r="O14" s="16"/>
      <c r="P14" s="16"/>
      <c r="Q14" s="16"/>
      <c r="R14" s="16"/>
    </row>
    <row r="15" spans="1:18">
      <c r="A15" s="11">
        <v>10</v>
      </c>
      <c r="B15" s="12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>
        <f>N6*3%</f>
        <v>18</v>
      </c>
      <c r="O15" s="16"/>
      <c r="P15" s="16"/>
      <c r="Q15" s="16"/>
      <c r="R15" s="16"/>
    </row>
    <row r="16" spans="1:18">
      <c r="A16" s="11">
        <v>11</v>
      </c>
      <c r="B16" s="12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>
      <c r="A17" s="11">
        <v>12</v>
      </c>
      <c r="B17" s="12" t="s">
        <v>34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>
        <f>N6*9%</f>
        <v>54</v>
      </c>
      <c r="O17" s="17"/>
      <c r="P17" s="17"/>
      <c r="Q17" s="17"/>
      <c r="R17" s="17"/>
    </row>
    <row r="18" spans="1:18">
      <c r="A18" s="11">
        <v>13</v>
      </c>
      <c r="B18" s="12" t="s">
        <v>35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>
      <c r="A19" s="11">
        <v>14</v>
      </c>
      <c r="B19" s="18" t="s">
        <v>36</v>
      </c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ht="73" customHeight="1" spans="1:18">
      <c r="A21" s="21"/>
      <c r="B21" s="22" t="s">
        <v>39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</sheetData>
  <mergeCells count="7">
    <mergeCell ref="A1:R1"/>
    <mergeCell ref="C2:R2"/>
    <mergeCell ref="C3:J3"/>
    <mergeCell ref="K3:R3"/>
    <mergeCell ref="B21:R21"/>
    <mergeCell ref="A2:A3"/>
    <mergeCell ref="B2:B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G15" sqref="G15"/>
    </sheetView>
  </sheetViews>
  <sheetFormatPr defaultColWidth="9.36363636363636" defaultRowHeight="14"/>
  <cols>
    <col min="1" max="1" width="4.72727272727273" customWidth="1"/>
    <col min="2" max="2" width="45.7272727272727" customWidth="1"/>
    <col min="3" max="3" width="12.1818181818182" customWidth="1"/>
    <col min="4" max="4" width="12.9090909090909" customWidth="1"/>
    <col min="5" max="5" width="12.4545454545455" customWidth="1"/>
    <col min="6" max="6" width="13.5454545454545" customWidth="1"/>
    <col min="7" max="7" width="13.0909090909091" customWidth="1"/>
    <col min="8" max="8" width="13.7272727272727" customWidth="1"/>
    <col min="9" max="9" width="12.8181818181818" customWidth="1"/>
    <col min="10" max="10" width="16.6363636363636" customWidth="1"/>
    <col min="11" max="11" width="12.1818181818182" customWidth="1"/>
    <col min="12" max="12" width="11" customWidth="1"/>
    <col min="13" max="13" width="11.2727272727273" customWidth="1"/>
    <col min="14" max="14" width="12.3636363636364" customWidth="1"/>
    <col min="15" max="15" width="12" customWidth="1"/>
    <col min="16" max="16" width="12.6363636363636" customWidth="1"/>
    <col min="17" max="17" width="13.0909090909091" customWidth="1"/>
    <col min="18" max="18" width="16.6363636363636" customWidth="1"/>
  </cols>
  <sheetData>
    <row r="1" ht="25" customHeight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 t="s">
        <v>1</v>
      </c>
      <c r="B2" s="3" t="s">
        <v>38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6"/>
      <c r="B3" s="7"/>
      <c r="C3" s="8" t="s">
        <v>4</v>
      </c>
      <c r="D3" s="9"/>
      <c r="E3" s="9"/>
      <c r="F3" s="9"/>
      <c r="G3" s="9"/>
      <c r="H3" s="9"/>
      <c r="I3" s="9"/>
      <c r="J3" s="23"/>
      <c r="K3" s="9" t="s">
        <v>5</v>
      </c>
      <c r="L3" s="9"/>
      <c r="M3" s="9"/>
      <c r="N3" s="9"/>
      <c r="O3" s="9"/>
      <c r="P3" s="9"/>
      <c r="Q3" s="9"/>
      <c r="R3" s="23"/>
    </row>
    <row r="4" ht="16.5" spans="1:18">
      <c r="A4" s="6"/>
      <c r="B4" s="7"/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24" t="s">
        <v>13</v>
      </c>
      <c r="K4" s="10" t="s">
        <v>6</v>
      </c>
      <c r="L4" s="10" t="s">
        <v>7</v>
      </c>
      <c r="M4" s="10" t="s">
        <v>8</v>
      </c>
      <c r="N4" s="10" t="s">
        <v>9</v>
      </c>
      <c r="O4" s="10" t="s">
        <v>10</v>
      </c>
      <c r="P4" s="10" t="s">
        <v>11</v>
      </c>
      <c r="Q4" s="10" t="s">
        <v>12</v>
      </c>
      <c r="R4" s="24" t="s">
        <v>13</v>
      </c>
    </row>
    <row r="5" spans="1:18">
      <c r="A5" s="11"/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ht="28" spans="1:18">
      <c r="A6" s="11">
        <v>1</v>
      </c>
      <c r="B6" s="12" t="s">
        <v>23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>
      <c r="A7" s="11">
        <v>2</v>
      </c>
      <c r="B7" s="12" t="s">
        <v>24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ht="28" spans="1:18">
      <c r="A8" s="11">
        <v>3</v>
      </c>
      <c r="B8" s="12" t="s">
        <v>25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>
      <c r="A9" s="11">
        <v>4</v>
      </c>
      <c r="B9" s="12" t="s">
        <v>26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>
      <c r="A10" s="11">
        <v>5</v>
      </c>
      <c r="B10" s="12" t="s">
        <v>27</v>
      </c>
      <c r="C10" s="13"/>
      <c r="D10" s="13"/>
      <c r="E10" s="13"/>
      <c r="F10" s="13"/>
      <c r="G10" s="13">
        <v>1</v>
      </c>
      <c r="H10" s="13"/>
      <c r="I10" s="13"/>
      <c r="J10" s="13"/>
      <c r="K10" s="13"/>
      <c r="L10" s="13"/>
      <c r="M10" s="13"/>
      <c r="N10" s="13"/>
      <c r="O10" s="13">
        <v>4</v>
      </c>
      <c r="P10" s="13"/>
      <c r="Q10" s="13"/>
      <c r="R10" s="13"/>
    </row>
    <row r="11" spans="1:18">
      <c r="A11" s="11">
        <v>6</v>
      </c>
      <c r="B11" s="12" t="s">
        <v>28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1">
        <v>7</v>
      </c>
      <c r="B12" s="12" t="s">
        <v>29</v>
      </c>
      <c r="C12" s="16"/>
      <c r="D12" s="16"/>
      <c r="E12" s="16"/>
      <c r="F12" s="16"/>
      <c r="G12" s="16">
        <f>G10*30</f>
        <v>30</v>
      </c>
      <c r="H12" s="16"/>
      <c r="I12" s="16"/>
      <c r="J12" s="16"/>
      <c r="K12" s="16"/>
      <c r="L12" s="16"/>
      <c r="M12" s="16"/>
      <c r="N12" s="16"/>
      <c r="O12" s="16">
        <f>O10*30</f>
        <v>120</v>
      </c>
      <c r="P12" s="16"/>
      <c r="Q12" s="16"/>
      <c r="R12" s="16"/>
    </row>
    <row r="13" ht="28" spans="1:18">
      <c r="A13" s="11">
        <v>8</v>
      </c>
      <c r="B13" s="12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1">
        <v>9</v>
      </c>
      <c r="B14" s="12" t="s">
        <v>31</v>
      </c>
      <c r="C14" s="16"/>
      <c r="D14" s="16"/>
      <c r="E14" s="16"/>
      <c r="F14" s="16"/>
      <c r="G14" s="16">
        <f>G10*4</f>
        <v>4</v>
      </c>
      <c r="H14" s="16"/>
      <c r="I14" s="16"/>
      <c r="J14" s="16"/>
      <c r="K14" s="16"/>
      <c r="L14" s="16"/>
      <c r="M14" s="16"/>
      <c r="N14" s="16"/>
      <c r="O14" s="16">
        <f>O10*4</f>
        <v>16</v>
      </c>
      <c r="P14" s="16"/>
      <c r="Q14" s="16"/>
      <c r="R14" s="16"/>
    </row>
    <row r="15" spans="1:18">
      <c r="A15" s="11">
        <v>10</v>
      </c>
      <c r="B15" s="12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>
      <c r="A16" s="11">
        <v>11</v>
      </c>
      <c r="B16" s="12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>
      <c r="A17" s="11">
        <v>12</v>
      </c>
      <c r="B17" s="12" t="s">
        <v>34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>
      <c r="A18" s="11">
        <v>13</v>
      </c>
      <c r="B18" s="12" t="s">
        <v>35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>
      <c r="A19" s="11">
        <v>14</v>
      </c>
      <c r="B19" s="18" t="s">
        <v>36</v>
      </c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ht="73" customHeight="1" spans="1:18">
      <c r="A21" s="21"/>
      <c r="B21" s="22" t="s">
        <v>39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</sheetData>
  <mergeCells count="7">
    <mergeCell ref="A1:R1"/>
    <mergeCell ref="C2:R2"/>
    <mergeCell ref="C3:J3"/>
    <mergeCell ref="K3:R3"/>
    <mergeCell ref="B21:R21"/>
    <mergeCell ref="A2:A3"/>
    <mergeCell ref="B2:B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P14" sqref="P14"/>
    </sheetView>
  </sheetViews>
  <sheetFormatPr defaultColWidth="9.36363636363636" defaultRowHeight="14"/>
  <cols>
    <col min="1" max="1" width="4.72727272727273" customWidth="1"/>
    <col min="2" max="2" width="45.7272727272727" customWidth="1"/>
    <col min="3" max="3" width="12.1818181818182" customWidth="1"/>
    <col min="4" max="4" width="12.9090909090909" customWidth="1"/>
    <col min="5" max="5" width="12.4545454545455" customWidth="1"/>
    <col min="6" max="6" width="13.5454545454545" customWidth="1"/>
    <col min="7" max="7" width="13.0909090909091" customWidth="1"/>
    <col min="8" max="8" width="13.7272727272727" customWidth="1"/>
    <col min="9" max="9" width="12.8181818181818" customWidth="1"/>
    <col min="10" max="10" width="16.6363636363636" customWidth="1"/>
    <col min="11" max="11" width="12.1818181818182" customWidth="1"/>
    <col min="12" max="12" width="11" customWidth="1"/>
    <col min="13" max="13" width="11.2727272727273" customWidth="1"/>
    <col min="14" max="14" width="12.3636363636364" customWidth="1"/>
    <col min="15" max="15" width="12" customWidth="1"/>
    <col min="16" max="16" width="12.6363636363636" customWidth="1"/>
    <col min="17" max="17" width="13.0909090909091" customWidth="1"/>
    <col min="18" max="18" width="16.6363636363636" customWidth="1"/>
  </cols>
  <sheetData>
    <row r="1" ht="25" customHeight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 t="s">
        <v>1</v>
      </c>
      <c r="B2" s="3" t="s">
        <v>38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6"/>
      <c r="B3" s="7"/>
      <c r="C3" s="8" t="s">
        <v>4</v>
      </c>
      <c r="D3" s="9"/>
      <c r="E3" s="9"/>
      <c r="F3" s="9"/>
      <c r="G3" s="9"/>
      <c r="H3" s="9"/>
      <c r="I3" s="9"/>
      <c r="J3" s="23"/>
      <c r="K3" s="9" t="s">
        <v>5</v>
      </c>
      <c r="L3" s="9"/>
      <c r="M3" s="9"/>
      <c r="N3" s="9"/>
      <c r="O3" s="9"/>
      <c r="P3" s="9"/>
      <c r="Q3" s="9"/>
      <c r="R3" s="23"/>
    </row>
    <row r="4" ht="16.5" spans="1:18">
      <c r="A4" s="6"/>
      <c r="B4" s="7"/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24" t="s">
        <v>13</v>
      </c>
      <c r="K4" s="10" t="s">
        <v>6</v>
      </c>
      <c r="L4" s="10" t="s">
        <v>7</v>
      </c>
      <c r="M4" s="10" t="s">
        <v>8</v>
      </c>
      <c r="N4" s="10" t="s">
        <v>9</v>
      </c>
      <c r="O4" s="10" t="s">
        <v>10</v>
      </c>
      <c r="P4" s="10" t="s">
        <v>11</v>
      </c>
      <c r="Q4" s="10" t="s">
        <v>12</v>
      </c>
      <c r="R4" s="24" t="s">
        <v>13</v>
      </c>
    </row>
    <row r="5" spans="1:18">
      <c r="A5" s="11"/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ht="28" spans="1:18">
      <c r="A6" s="11">
        <v>1</v>
      </c>
      <c r="B6" s="12" t="s">
        <v>23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>
      <c r="A7" s="11">
        <v>2</v>
      </c>
      <c r="B7" s="12" t="s">
        <v>24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ht="28" spans="1:18">
      <c r="A8" s="11">
        <v>3</v>
      </c>
      <c r="B8" s="12" t="s">
        <v>25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>
      <c r="A9" s="11">
        <v>4</v>
      </c>
      <c r="B9" s="12" t="s">
        <v>26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>
      <c r="A10" s="11">
        <v>5</v>
      </c>
      <c r="B10" s="12" t="s">
        <v>27</v>
      </c>
      <c r="C10" s="13"/>
      <c r="D10" s="13"/>
      <c r="E10" s="13"/>
      <c r="F10" s="13"/>
      <c r="G10" s="13"/>
      <c r="H10" s="13">
        <v>0.75</v>
      </c>
      <c r="I10" s="13"/>
      <c r="J10" s="13"/>
      <c r="K10" s="13"/>
      <c r="L10" s="13"/>
      <c r="M10" s="13"/>
      <c r="N10" s="13"/>
      <c r="O10" s="13"/>
      <c r="P10" s="13">
        <v>3</v>
      </c>
      <c r="Q10" s="13"/>
      <c r="R10" s="13"/>
    </row>
    <row r="11" spans="1:18">
      <c r="A11" s="11">
        <v>6</v>
      </c>
      <c r="B11" s="12" t="s">
        <v>28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1">
        <v>7</v>
      </c>
      <c r="B12" s="12" t="s">
        <v>29</v>
      </c>
      <c r="C12" s="16"/>
      <c r="D12" s="16"/>
      <c r="E12" s="16"/>
      <c r="F12" s="16"/>
      <c r="G12" s="16"/>
      <c r="H12" s="16">
        <f>H10*40</f>
        <v>30</v>
      </c>
      <c r="I12" s="16"/>
      <c r="J12" s="16"/>
      <c r="K12" s="16"/>
      <c r="L12" s="16"/>
      <c r="M12" s="16"/>
      <c r="N12" s="16"/>
      <c r="O12" s="16"/>
      <c r="P12" s="16">
        <f>P10*40</f>
        <v>120</v>
      </c>
      <c r="Q12" s="16"/>
      <c r="R12" s="16"/>
    </row>
    <row r="13" ht="28" spans="1:18">
      <c r="A13" s="11">
        <v>8</v>
      </c>
      <c r="B13" s="12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1">
        <v>9</v>
      </c>
      <c r="B14" s="12" t="s">
        <v>31</v>
      </c>
      <c r="C14" s="16"/>
      <c r="D14" s="16"/>
      <c r="E14" s="16"/>
      <c r="F14" s="16"/>
      <c r="G14" s="16"/>
      <c r="H14" s="16">
        <f>H10*2</f>
        <v>1.5</v>
      </c>
      <c r="I14" s="16"/>
      <c r="J14" s="16"/>
      <c r="K14" s="16"/>
      <c r="L14" s="16"/>
      <c r="M14" s="16"/>
      <c r="N14" s="16"/>
      <c r="O14" s="16"/>
      <c r="P14" s="16">
        <f>P10*2</f>
        <v>6</v>
      </c>
      <c r="Q14" s="16"/>
      <c r="R14" s="16"/>
    </row>
    <row r="15" spans="1:18">
      <c r="A15" s="11">
        <v>10</v>
      </c>
      <c r="B15" s="12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>
      <c r="A16" s="11">
        <v>11</v>
      </c>
      <c r="B16" s="12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>
      <c r="A17" s="11">
        <v>12</v>
      </c>
      <c r="B17" s="12" t="s">
        <v>34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>
      <c r="A18" s="11">
        <v>13</v>
      </c>
      <c r="B18" s="12" t="s">
        <v>35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>
      <c r="A19" s="11">
        <v>14</v>
      </c>
      <c r="B19" s="18" t="s">
        <v>36</v>
      </c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ht="73" customHeight="1" spans="1:18">
      <c r="A21" s="21"/>
      <c r="B21" s="22" t="s">
        <v>39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</sheetData>
  <mergeCells count="7">
    <mergeCell ref="A1:R1"/>
    <mergeCell ref="C2:R2"/>
    <mergeCell ref="C3:J3"/>
    <mergeCell ref="K3:R3"/>
    <mergeCell ref="B21:R21"/>
    <mergeCell ref="A2:A3"/>
    <mergeCell ref="B2:B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topLeftCell="G1" workbookViewId="0">
      <selection activeCell="Q14" sqref="Q14"/>
    </sheetView>
  </sheetViews>
  <sheetFormatPr defaultColWidth="9.36363636363636" defaultRowHeight="14"/>
  <cols>
    <col min="1" max="1" width="4.72727272727273" customWidth="1"/>
    <col min="2" max="2" width="45.7272727272727" customWidth="1"/>
    <col min="3" max="3" width="12.1818181818182" customWidth="1"/>
    <col min="4" max="4" width="12.9090909090909" customWidth="1"/>
    <col min="5" max="5" width="12.4545454545455" customWidth="1"/>
    <col min="6" max="6" width="13.5454545454545" customWidth="1"/>
    <col min="7" max="7" width="13.0909090909091" customWidth="1"/>
    <col min="8" max="8" width="13.7272727272727" customWidth="1"/>
    <col min="9" max="9" width="12.8181818181818" customWidth="1"/>
    <col min="10" max="10" width="16.6363636363636" customWidth="1"/>
    <col min="11" max="11" width="12.1818181818182" customWidth="1"/>
    <col min="12" max="12" width="11" customWidth="1"/>
    <col min="13" max="13" width="11.2727272727273" customWidth="1"/>
    <col min="14" max="14" width="12.3636363636364" customWidth="1"/>
    <col min="15" max="15" width="12" customWidth="1"/>
    <col min="16" max="16" width="12.6363636363636" customWidth="1"/>
    <col min="17" max="17" width="13.0909090909091" customWidth="1"/>
    <col min="18" max="18" width="16.6363636363636" customWidth="1"/>
  </cols>
  <sheetData>
    <row r="1" ht="25" customHeight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 t="s">
        <v>1</v>
      </c>
      <c r="B2" s="3" t="s">
        <v>38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6"/>
      <c r="B3" s="7"/>
      <c r="C3" s="8" t="s">
        <v>4</v>
      </c>
      <c r="D3" s="9"/>
      <c r="E3" s="9"/>
      <c r="F3" s="9"/>
      <c r="G3" s="9"/>
      <c r="H3" s="9"/>
      <c r="I3" s="9"/>
      <c r="J3" s="23"/>
      <c r="K3" s="9" t="s">
        <v>5</v>
      </c>
      <c r="L3" s="9"/>
      <c r="M3" s="9"/>
      <c r="N3" s="9"/>
      <c r="O3" s="9"/>
      <c r="P3" s="9"/>
      <c r="Q3" s="9"/>
      <c r="R3" s="23"/>
    </row>
    <row r="4" ht="16.5" spans="1:18">
      <c r="A4" s="6"/>
      <c r="B4" s="7"/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24" t="s">
        <v>13</v>
      </c>
      <c r="K4" s="10" t="s">
        <v>6</v>
      </c>
      <c r="L4" s="10" t="s">
        <v>7</v>
      </c>
      <c r="M4" s="10" t="s">
        <v>8</v>
      </c>
      <c r="N4" s="10" t="s">
        <v>9</v>
      </c>
      <c r="O4" s="10" t="s">
        <v>10</v>
      </c>
      <c r="P4" s="10" t="s">
        <v>11</v>
      </c>
      <c r="Q4" s="10" t="s">
        <v>12</v>
      </c>
      <c r="R4" s="24" t="s">
        <v>13</v>
      </c>
    </row>
    <row r="5" spans="1:18">
      <c r="A5" s="11"/>
      <c r="B5" s="12"/>
      <c r="C5" s="13"/>
      <c r="D5" s="14"/>
      <c r="E5" s="14"/>
      <c r="F5" s="14"/>
      <c r="G5" s="14"/>
      <c r="H5" s="14"/>
      <c r="I5" s="25" t="s">
        <v>61</v>
      </c>
      <c r="J5" s="14"/>
      <c r="K5" s="14"/>
      <c r="L5" s="14"/>
      <c r="M5" s="14"/>
      <c r="N5" s="14"/>
      <c r="O5" s="14"/>
      <c r="P5" s="14"/>
      <c r="Q5" s="25" t="s">
        <v>62</v>
      </c>
      <c r="R5" s="14"/>
    </row>
    <row r="6" ht="28" spans="1:18">
      <c r="A6" s="11">
        <v>1</v>
      </c>
      <c r="B6" s="12" t="s">
        <v>23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>
      <c r="A7" s="11">
        <v>2</v>
      </c>
      <c r="B7" s="12" t="s">
        <v>24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ht="28" spans="1:18">
      <c r="A8" s="11">
        <v>3</v>
      </c>
      <c r="B8" s="12" t="s">
        <v>25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>
      <c r="A9" s="11">
        <v>4</v>
      </c>
      <c r="B9" s="12" t="s">
        <v>26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>
      <c r="A10" s="11">
        <v>5</v>
      </c>
      <c r="B10" s="12" t="s">
        <v>27</v>
      </c>
      <c r="C10" s="13"/>
      <c r="D10" s="13"/>
      <c r="E10" s="13"/>
      <c r="F10" s="13"/>
      <c r="G10" s="13"/>
      <c r="H10" s="13"/>
      <c r="I10" s="13">
        <v>1</v>
      </c>
      <c r="J10" s="13"/>
      <c r="K10" s="13"/>
      <c r="L10" s="13"/>
      <c r="M10" s="13"/>
      <c r="N10" s="13"/>
      <c r="O10" s="13"/>
      <c r="P10" s="13"/>
      <c r="Q10" s="13">
        <v>2</v>
      </c>
      <c r="R10" s="13"/>
    </row>
    <row r="11" spans="1:18">
      <c r="A11" s="11">
        <v>6</v>
      </c>
      <c r="B11" s="12" t="s">
        <v>28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1">
        <v>7</v>
      </c>
      <c r="B12" s="12" t="s">
        <v>29</v>
      </c>
      <c r="C12" s="16"/>
      <c r="D12" s="16"/>
      <c r="E12" s="16"/>
      <c r="F12" s="16"/>
      <c r="G12" s="16"/>
      <c r="H12" s="16"/>
      <c r="I12" s="16">
        <v>12</v>
      </c>
      <c r="J12" s="16"/>
      <c r="K12" s="16"/>
      <c r="L12" s="16"/>
      <c r="M12" s="16"/>
      <c r="N12" s="16"/>
      <c r="O12" s="16"/>
      <c r="P12" s="16"/>
      <c r="Q12" s="16">
        <v>72</v>
      </c>
      <c r="R12" s="16"/>
    </row>
    <row r="13" ht="28" spans="1:18">
      <c r="A13" s="11">
        <v>8</v>
      </c>
      <c r="B13" s="12" t="s">
        <v>30</v>
      </c>
      <c r="C13" s="16"/>
      <c r="D13" s="16"/>
      <c r="E13" s="16"/>
      <c r="F13" s="16"/>
      <c r="G13" s="16"/>
      <c r="H13" s="16"/>
      <c r="I13" s="16">
        <v>80</v>
      </c>
      <c r="J13" s="16"/>
      <c r="K13" s="16"/>
      <c r="L13" s="16"/>
      <c r="M13" s="16"/>
      <c r="N13" s="16"/>
      <c r="O13" s="16"/>
      <c r="P13" s="16"/>
      <c r="Q13" s="16">
        <v>40</v>
      </c>
      <c r="R13" s="16"/>
    </row>
    <row r="14" spans="1:18">
      <c r="A14" s="11">
        <v>9</v>
      </c>
      <c r="B14" s="12" t="s">
        <v>31</v>
      </c>
      <c r="C14" s="16"/>
      <c r="D14" s="16"/>
      <c r="E14" s="16"/>
      <c r="F14" s="16"/>
      <c r="G14" s="16"/>
      <c r="H14" s="16"/>
      <c r="I14" s="16">
        <v>0.5</v>
      </c>
      <c r="J14" s="16"/>
      <c r="K14" s="16"/>
      <c r="L14" s="16"/>
      <c r="M14" s="16"/>
      <c r="N14" s="16"/>
      <c r="O14" s="16"/>
      <c r="P14" s="16"/>
      <c r="Q14" s="16">
        <v>4</v>
      </c>
      <c r="R14" s="16"/>
    </row>
    <row r="15" spans="1:18">
      <c r="A15" s="11">
        <v>10</v>
      </c>
      <c r="B15" s="12" t="s">
        <v>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>
      <c r="A16" s="11">
        <v>11</v>
      </c>
      <c r="B16" s="12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>
      <c r="A17" s="11">
        <v>12</v>
      </c>
      <c r="B17" s="12" t="s">
        <v>34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>
      <c r="A18" s="11">
        <v>13</v>
      </c>
      <c r="B18" s="12" t="s">
        <v>35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>
      <c r="A19" s="11">
        <v>14</v>
      </c>
      <c r="B19" s="18" t="s">
        <v>36</v>
      </c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ht="73" customHeight="1" spans="1:18">
      <c r="A21" s="21"/>
      <c r="B21" s="22" t="s">
        <v>39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</sheetData>
  <mergeCells count="7">
    <mergeCell ref="A1:R1"/>
    <mergeCell ref="C2:R2"/>
    <mergeCell ref="C3:J3"/>
    <mergeCell ref="K3:R3"/>
    <mergeCell ref="B21:R21"/>
    <mergeCell ref="A2:A3"/>
    <mergeCell ref="B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史记智能预算</vt:lpstr>
      <vt:lpstr>AIOT</vt:lpstr>
      <vt:lpstr>AIOT销售</vt:lpstr>
      <vt:lpstr>自动化</vt:lpstr>
      <vt:lpstr>设备服务</vt:lpstr>
      <vt:lpstr>软件中心</vt:lpstr>
      <vt:lpstr>企划</vt:lpstr>
      <vt:lpstr>算法</vt:lpstr>
      <vt:lpstr>行政人事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Carbon</dc:creator>
  <cp:lastModifiedBy>益客王晓冰</cp:lastModifiedBy>
  <dcterms:created xsi:type="dcterms:W3CDTF">2022-10-03T23:56:00Z</dcterms:created>
  <dcterms:modified xsi:type="dcterms:W3CDTF">2022-10-05T03:26:08Z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8DD84FCDDEDC45B59EFF3B12330F03C4</vt:lpwstr>
  </property>
  <property fmtid="{D5CDD505-2E9C-101B-9397-08002B2CF9AE}" pid="3" name="KSOProductBuildVer">
    <vt:lpwstr>2052-11.1.0.12358</vt:lpwstr>
  </property>
</Properties>
</file>