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13_ncr:1_{FFAA617C-64A3-4C39-A59A-59D40EA3091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ta" sheetId="1" r:id="rId1"/>
    <sheet name="GP$HR Chart" sheetId="2" r:id="rId2"/>
    <sheet name="ARO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J30" i="3"/>
  <c r="I30" i="3"/>
  <c r="H30" i="3"/>
  <c r="F30" i="3"/>
  <c r="E30" i="3"/>
  <c r="D30" i="3"/>
  <c r="C30" i="3"/>
  <c r="B30" i="3"/>
  <c r="A30" i="3"/>
  <c r="K29" i="3"/>
  <c r="J29" i="3"/>
  <c r="H29" i="3"/>
  <c r="G29" i="3"/>
  <c r="E29" i="3"/>
  <c r="D29" i="3"/>
  <c r="C29" i="3"/>
  <c r="B29" i="3"/>
  <c r="A29" i="3"/>
  <c r="K28" i="3"/>
  <c r="J28" i="3"/>
  <c r="I28" i="3"/>
  <c r="G28" i="3"/>
  <c r="F28" i="3"/>
  <c r="E28" i="3"/>
  <c r="D28" i="3"/>
  <c r="C28" i="3"/>
  <c r="B28" i="3"/>
  <c r="A28" i="3"/>
  <c r="K27" i="3"/>
  <c r="J27" i="3"/>
  <c r="I27" i="3"/>
  <c r="H27" i="3"/>
  <c r="G27" i="3"/>
  <c r="D27" i="3"/>
  <c r="C27" i="3"/>
  <c r="B27" i="3"/>
  <c r="A27" i="3"/>
  <c r="K26" i="3"/>
  <c r="J26" i="3"/>
  <c r="I26" i="3"/>
  <c r="H26" i="3"/>
  <c r="G26" i="3"/>
  <c r="D26" i="3"/>
  <c r="C26" i="3"/>
  <c r="B26" i="3"/>
  <c r="A26" i="3"/>
  <c r="K25" i="3"/>
  <c r="J25" i="3"/>
  <c r="I25" i="3"/>
  <c r="H25" i="3"/>
  <c r="G25" i="3"/>
  <c r="E25" i="3"/>
  <c r="D25" i="3"/>
  <c r="C25" i="3"/>
  <c r="B25" i="3"/>
  <c r="A25" i="3"/>
  <c r="K24" i="3"/>
  <c r="J24" i="3"/>
  <c r="I24" i="3"/>
  <c r="H24" i="3"/>
  <c r="G24" i="3"/>
  <c r="F24" i="3"/>
  <c r="E24" i="3"/>
  <c r="D24" i="3"/>
  <c r="C24" i="3"/>
  <c r="B24" i="3"/>
  <c r="A24" i="3"/>
  <c r="K23" i="3"/>
  <c r="J23" i="3"/>
  <c r="I23" i="3"/>
  <c r="H23" i="3"/>
  <c r="G23" i="3"/>
  <c r="F23" i="3"/>
  <c r="E23" i="3"/>
  <c r="D23" i="3"/>
  <c r="C23" i="3"/>
  <c r="B23" i="3"/>
  <c r="A23" i="3"/>
  <c r="K22" i="3"/>
  <c r="J22" i="3"/>
  <c r="I22" i="3"/>
  <c r="H22" i="3"/>
  <c r="G22" i="3"/>
  <c r="F22" i="3"/>
  <c r="E22" i="3"/>
  <c r="D22" i="3"/>
  <c r="C22" i="3"/>
  <c r="B22" i="3"/>
  <c r="A22" i="3"/>
  <c r="K21" i="3"/>
  <c r="J21" i="3"/>
  <c r="I21" i="3"/>
  <c r="H21" i="3"/>
  <c r="G21" i="3"/>
  <c r="F21" i="3"/>
  <c r="E21" i="3"/>
  <c r="D21" i="3"/>
  <c r="C21" i="3"/>
  <c r="B21" i="3"/>
  <c r="A21" i="3"/>
  <c r="K20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K18" i="3"/>
  <c r="J18" i="3"/>
  <c r="I18" i="3"/>
  <c r="H18" i="3"/>
  <c r="G18" i="3"/>
  <c r="F18" i="3"/>
  <c r="E18" i="3"/>
  <c r="D18" i="3"/>
  <c r="C18" i="3"/>
  <c r="B18" i="3"/>
  <c r="A18" i="3"/>
  <c r="K17" i="3"/>
  <c r="J17" i="3"/>
  <c r="I17" i="3"/>
  <c r="H17" i="3"/>
  <c r="G17" i="3"/>
  <c r="F17" i="3"/>
  <c r="D17" i="3"/>
  <c r="C17" i="3"/>
  <c r="B17" i="3"/>
  <c r="A17" i="3"/>
  <c r="K16" i="3"/>
  <c r="J16" i="3"/>
  <c r="I16" i="3"/>
  <c r="H16" i="3"/>
  <c r="G16" i="3"/>
  <c r="F16" i="3"/>
  <c r="D16" i="3"/>
  <c r="C16" i="3"/>
  <c r="B16" i="3"/>
  <c r="A16" i="3"/>
  <c r="J15" i="3"/>
  <c r="I15" i="3"/>
  <c r="H15" i="3"/>
  <c r="G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K13" i="3"/>
  <c r="J13" i="3"/>
  <c r="I13" i="3"/>
  <c r="H13" i="3"/>
  <c r="G13" i="3"/>
  <c r="F13" i="3"/>
  <c r="D13" i="3"/>
  <c r="C13" i="3"/>
  <c r="B13" i="3"/>
  <c r="A13" i="3"/>
  <c r="K12" i="3"/>
  <c r="J12" i="3"/>
  <c r="I12" i="3"/>
  <c r="H12" i="3"/>
  <c r="G12" i="3"/>
  <c r="F12" i="3"/>
  <c r="E12" i="3"/>
  <c r="D12" i="3"/>
  <c r="C12" i="3"/>
  <c r="B12" i="3"/>
  <c r="A12" i="3"/>
  <c r="K11" i="3"/>
  <c r="J11" i="3"/>
  <c r="I11" i="3"/>
  <c r="H11" i="3"/>
  <c r="G11" i="3"/>
  <c r="F11" i="3"/>
  <c r="D11" i="3"/>
  <c r="C11" i="3"/>
  <c r="B11" i="3"/>
  <c r="A11" i="3"/>
  <c r="K10" i="3"/>
  <c r="J10" i="3"/>
  <c r="I10" i="3"/>
  <c r="H10" i="3"/>
  <c r="G10" i="3"/>
  <c r="F10" i="3"/>
  <c r="D10" i="3"/>
  <c r="C10" i="3"/>
  <c r="B10" i="3"/>
  <c r="A10" i="3"/>
  <c r="K9" i="3"/>
  <c r="J9" i="3"/>
  <c r="I9" i="3"/>
  <c r="H9" i="3"/>
  <c r="G9" i="3"/>
  <c r="F9" i="3"/>
  <c r="E9" i="3"/>
  <c r="D9" i="3"/>
  <c r="C9" i="3"/>
  <c r="B9" i="3"/>
  <c r="A9" i="3"/>
  <c r="K8" i="3"/>
  <c r="J8" i="3"/>
  <c r="I8" i="3"/>
  <c r="H8" i="3"/>
  <c r="G8" i="3"/>
  <c r="F8" i="3"/>
  <c r="D8" i="3"/>
  <c r="C8" i="3"/>
  <c r="B8" i="3"/>
  <c r="A8" i="3"/>
  <c r="J7" i="3"/>
  <c r="I7" i="3"/>
  <c r="H7" i="3"/>
  <c r="G7" i="3"/>
  <c r="F7" i="3"/>
  <c r="D7" i="3"/>
  <c r="C7" i="3"/>
  <c r="B7" i="3"/>
  <c r="A7" i="3"/>
  <c r="K6" i="3"/>
  <c r="J6" i="3"/>
  <c r="I6" i="3"/>
  <c r="H6" i="3"/>
  <c r="G6" i="3"/>
  <c r="F6" i="3"/>
  <c r="D6" i="3"/>
  <c r="C6" i="3"/>
  <c r="B6" i="3"/>
  <c r="A6" i="3"/>
  <c r="K5" i="3"/>
  <c r="J5" i="3"/>
  <c r="I5" i="3"/>
  <c r="H5" i="3"/>
  <c r="G5" i="3"/>
  <c r="F5" i="3"/>
  <c r="D5" i="3"/>
  <c r="C5" i="3"/>
  <c r="B5" i="3"/>
  <c r="A5" i="3"/>
  <c r="J4" i="3"/>
  <c r="I4" i="3"/>
  <c r="H4" i="3"/>
  <c r="G4" i="3"/>
  <c r="F4" i="3"/>
  <c r="D4" i="3"/>
  <c r="C4" i="3"/>
  <c r="B4" i="3"/>
  <c r="A4" i="3"/>
  <c r="K3" i="3"/>
  <c r="J3" i="3"/>
  <c r="I3" i="3"/>
  <c r="H3" i="3"/>
  <c r="G3" i="3"/>
  <c r="F3" i="3"/>
  <c r="D3" i="3"/>
  <c r="C3" i="3"/>
  <c r="B3" i="3"/>
  <c r="A3" i="3"/>
  <c r="J2" i="3"/>
  <c r="I2" i="3"/>
  <c r="H2" i="3"/>
  <c r="G2" i="3"/>
  <c r="F2" i="3"/>
  <c r="D2" i="3"/>
  <c r="C2" i="3"/>
  <c r="B2" i="3"/>
  <c r="A2" i="3"/>
  <c r="K1" i="3"/>
  <c r="J1" i="3"/>
  <c r="I1" i="3"/>
  <c r="H1" i="3"/>
  <c r="G1" i="3"/>
  <c r="F1" i="3"/>
  <c r="E1" i="3"/>
  <c r="D1" i="3"/>
  <c r="C1" i="3"/>
  <c r="B1" i="3"/>
  <c r="A1" i="3"/>
  <c r="K30" i="2"/>
  <c r="J30" i="2"/>
  <c r="I30" i="2"/>
  <c r="H30" i="2"/>
  <c r="F30" i="2"/>
  <c r="E30" i="2"/>
  <c r="D30" i="2"/>
  <c r="C30" i="2"/>
  <c r="B30" i="2"/>
  <c r="A30" i="2"/>
  <c r="K29" i="2"/>
  <c r="J29" i="2"/>
  <c r="H29" i="2"/>
  <c r="G29" i="2"/>
  <c r="E29" i="2"/>
  <c r="D29" i="2"/>
  <c r="C29" i="2"/>
  <c r="B29" i="2"/>
  <c r="A29" i="2"/>
  <c r="K28" i="2"/>
  <c r="J28" i="2"/>
  <c r="I28" i="2"/>
  <c r="G28" i="2"/>
  <c r="F28" i="2"/>
  <c r="E28" i="2"/>
  <c r="D28" i="2"/>
  <c r="C28" i="2"/>
  <c r="B28" i="2"/>
  <c r="A28" i="2"/>
  <c r="K27" i="2"/>
  <c r="J27" i="2"/>
  <c r="I27" i="2"/>
  <c r="H27" i="2"/>
  <c r="G27" i="2"/>
  <c r="D27" i="2"/>
  <c r="C27" i="2"/>
  <c r="B27" i="2"/>
  <c r="A27" i="2"/>
  <c r="K26" i="2"/>
  <c r="J26" i="2"/>
  <c r="I26" i="2"/>
  <c r="H26" i="2"/>
  <c r="G26" i="2"/>
  <c r="D26" i="2"/>
  <c r="C26" i="2"/>
  <c r="B26" i="2"/>
  <c r="A26" i="2"/>
  <c r="K25" i="2"/>
  <c r="J25" i="2"/>
  <c r="I25" i="2"/>
  <c r="H25" i="2"/>
  <c r="G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D17" i="2"/>
  <c r="C17" i="2"/>
  <c r="B17" i="2"/>
  <c r="A17" i="2"/>
  <c r="K16" i="2"/>
  <c r="J16" i="2"/>
  <c r="I16" i="2"/>
  <c r="H16" i="2"/>
  <c r="G16" i="2"/>
  <c r="F16" i="2"/>
  <c r="D16" i="2"/>
  <c r="C16" i="2"/>
  <c r="B16" i="2"/>
  <c r="A16" i="2"/>
  <c r="J15" i="2"/>
  <c r="I15" i="2"/>
  <c r="H15" i="2"/>
  <c r="G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K13" i="2"/>
  <c r="J13" i="2"/>
  <c r="I13" i="2"/>
  <c r="H13" i="2"/>
  <c r="G13" i="2"/>
  <c r="F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D11" i="2"/>
  <c r="C11" i="2"/>
  <c r="B11" i="2"/>
  <c r="A11" i="2"/>
  <c r="K10" i="2"/>
  <c r="J10" i="2"/>
  <c r="I10" i="2"/>
  <c r="H10" i="2"/>
  <c r="G10" i="2"/>
  <c r="F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D8" i="2"/>
  <c r="C8" i="2"/>
  <c r="B8" i="2"/>
  <c r="A8" i="2"/>
  <c r="J7" i="2"/>
  <c r="I7" i="2"/>
  <c r="H7" i="2"/>
  <c r="G7" i="2"/>
  <c r="F7" i="2"/>
  <c r="D7" i="2"/>
  <c r="C7" i="2"/>
  <c r="B7" i="2"/>
  <c r="A7" i="2"/>
  <c r="K6" i="2"/>
  <c r="J6" i="2"/>
  <c r="I6" i="2"/>
  <c r="H6" i="2"/>
  <c r="G6" i="2"/>
  <c r="F6" i="2"/>
  <c r="D6" i="2"/>
  <c r="C6" i="2"/>
  <c r="B6" i="2"/>
  <c r="A6" i="2"/>
  <c r="K5" i="2"/>
  <c r="J5" i="2"/>
  <c r="I5" i="2"/>
  <c r="H5" i="2"/>
  <c r="G5" i="2"/>
  <c r="F5" i="2"/>
  <c r="D5" i="2"/>
  <c r="C5" i="2"/>
  <c r="B5" i="2"/>
  <c r="A5" i="2"/>
  <c r="J4" i="2"/>
  <c r="I4" i="2"/>
  <c r="H4" i="2"/>
  <c r="G4" i="2"/>
  <c r="F4" i="2"/>
  <c r="D4" i="2"/>
  <c r="C4" i="2"/>
  <c r="B4" i="2"/>
  <c r="A4" i="2"/>
  <c r="K3" i="2"/>
  <c r="J3" i="2"/>
  <c r="I3" i="2"/>
  <c r="H3" i="2"/>
  <c r="G3" i="2"/>
  <c r="F3" i="2"/>
  <c r="D3" i="2"/>
  <c r="C3" i="2"/>
  <c r="B3" i="2"/>
  <c r="A3" i="2"/>
  <c r="J2" i="2"/>
  <c r="I2" i="2"/>
  <c r="H2" i="2"/>
  <c r="G2" i="2"/>
  <c r="F2" i="2"/>
  <c r="D2" i="2"/>
  <c r="C2" i="2"/>
  <c r="B2" i="2"/>
  <c r="A2" i="2"/>
  <c r="K1" i="2"/>
  <c r="J1" i="2"/>
  <c r="I1" i="2"/>
  <c r="H1" i="2"/>
  <c r="G1" i="2"/>
  <c r="F1" i="2"/>
  <c r="E1" i="2"/>
  <c r="D1" i="2"/>
  <c r="C1" i="2"/>
  <c r="B1" i="2"/>
  <c r="A1" i="2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<sst xmlns="http://schemas.openxmlformats.org/spreadsheetml/2006/main" count="479" uniqueCount="52">
  <si>
    <t>Northbrook</t>
  </si>
  <si>
    <t>Wilmette</t>
  </si>
  <si>
    <t>Evanston</t>
  </si>
  <si>
    <t>Advisor Name</t>
  </si>
  <si>
    <t>Metric</t>
  </si>
  <si>
    <t>Armando</t>
  </si>
  <si>
    <t>Jaime</t>
  </si>
  <si>
    <t>Craig</t>
  </si>
  <si>
    <t>Frank</t>
  </si>
  <si>
    <t>Dimitri</t>
  </si>
  <si>
    <t>Ben</t>
  </si>
  <si>
    <t>Ernie</t>
  </si>
  <si>
    <t>Sam</t>
  </si>
  <si>
    <t>Jaysun</t>
  </si>
  <si>
    <t>Wk 1</t>
  </si>
  <si>
    <t>GP$/HR</t>
  </si>
  <si>
    <t>GP$</t>
  </si>
  <si>
    <t>ARO</t>
  </si>
  <si>
    <t>CC</t>
  </si>
  <si>
    <t>Hrs Presented</t>
  </si>
  <si>
    <t>Hrs Sold</t>
  </si>
  <si>
    <t>Hrs Presented/RO</t>
  </si>
  <si>
    <t>Hrs Sold/RO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</si>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</sst>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0" xfId="0" applyNumberFormat="1" applyFont="1"/>
    <xf numFmtId="164" fontId="3" fillId="0" borderId="4" xfId="0" applyNumberFormat="1" applyFont="1" applyBorder="1"/>
    <xf numFmtId="164" fontId="3" fillId="2" borderId="5" xfId="0" applyNumberFormat="1" applyFont="1" applyFill="1" applyBorder="1"/>
    <xf numFmtId="164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2" borderId="5" xfId="0" applyFont="1" applyFill="1" applyBorder="1"/>
    <xf numFmtId="0" fontId="3" fillId="0" borderId="5" xfId="0" applyFont="1" applyBorder="1"/>
    <xf numFmtId="2" fontId="3" fillId="0" borderId="0" xfId="0" applyNumberFormat="1" applyFont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164" fontId="4" fillId="0" borderId="5" xfId="0" applyNumberFormat="1" applyFont="1" applyBorder="1"/>
    <xf numFmtId="164" fontId="4" fillId="0" borderId="4" xfId="0" applyNumberFormat="1" applyFont="1" applyBorder="1"/>
    <xf numFmtId="164" fontId="4" fillId="0" borderId="0" xfId="0" applyNumberFormat="1" applyFont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GP$/HR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'GP$HR Chart'!$C$1</c:f>
              <c:strCache>
                <c:ptCount val="1"/>
                <c:pt idx="0">
                  <c:v>Northbrook Armando</c:v>
                </c:pt>
              </c:strCache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Chart'!$C$2:$C$30</c:f>
              <c:numCache>
                <c:formatCode>"$"#,##0.00</c:formatCode>
                <c:ptCount val="29"/>
                <c:pt idx="0">
                  <c:v>213.43</c:v>
                </c:pt>
                <c:pt idx="1">
                  <c:v>188.45</c:v>
                </c:pt>
                <c:pt idx="2">
                  <c:v>157.09</c:v>
                </c:pt>
                <c:pt idx="3">
                  <c:v>179.15</c:v>
                </c:pt>
                <c:pt idx="4">
                  <c:v>191.81</c:v>
                </c:pt>
                <c:pt idx="5">
                  <c:v>197.85</c:v>
                </c:pt>
                <c:pt idx="6">
                  <c:v>172.41</c:v>
                </c:pt>
                <c:pt idx="7">
                  <c:v>189.18</c:v>
                </c:pt>
                <c:pt idx="8">
                  <c:v>194.65</c:v>
                </c:pt>
                <c:pt idx="9">
                  <c:v>190.84</c:v>
                </c:pt>
                <c:pt idx="10">
                  <c:v>210.93</c:v>
                </c:pt>
                <c:pt idx="11">
                  <c:v>214.95</c:v>
                </c:pt>
                <c:pt idx="12">
                  <c:v>201.98</c:v>
                </c:pt>
                <c:pt idx="13">
                  <c:v>205.01</c:v>
                </c:pt>
                <c:pt idx="14">
                  <c:v>203.26</c:v>
                </c:pt>
                <c:pt idx="15">
                  <c:v>220.7</c:v>
                </c:pt>
                <c:pt idx="16">
                  <c:v>222.16</c:v>
                </c:pt>
                <c:pt idx="17">
                  <c:v>198.18</c:v>
                </c:pt>
                <c:pt idx="18">
                  <c:v>200.7</c:v>
                </c:pt>
                <c:pt idx="19">
                  <c:v>219.33</c:v>
                </c:pt>
                <c:pt idx="20">
                  <c:v>214.11</c:v>
                </c:pt>
                <c:pt idx="21">
                  <c:v>200.96</c:v>
                </c:pt>
                <c:pt idx="22">
                  <c:v>213.59</c:v>
                </c:pt>
                <c:pt idx="23">
                  <c:v>219.59</c:v>
                </c:pt>
                <c:pt idx="24">
                  <c:v>222.9</c:v>
                </c:pt>
                <c:pt idx="25">
                  <c:v>213.07</c:v>
                </c:pt>
                <c:pt idx="26">
                  <c:v>210.51</c:v>
                </c:pt>
                <c:pt idx="27">
                  <c:v>190.94</c:v>
                </c:pt>
                <c:pt idx="28">
                  <c:v>225.79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0-4AFF-BE3C-D987BC84D646}"/>
            </c:ext>
          </c:extLst>
        </c:ser>
        <c:ser>
          <c:idx val="1"/>
          <c:order val="1"/>
          <c:tx>
            <c:strRef>
              <c:f>'GP$HR Chart'!$D$1</c:f>
              <c:strCache>
                <c:ptCount val="1"/>
                <c:pt idx="0">
                  <c:v> Jaime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Chart'!$D$2:$D$30</c:f>
              <c:numCache>
                <c:formatCode>"$"#,##0.00</c:formatCode>
                <c:ptCount val="29"/>
                <c:pt idx="0">
                  <c:v>185.94</c:v>
                </c:pt>
                <c:pt idx="1">
                  <c:v>214.79</c:v>
                </c:pt>
                <c:pt idx="2">
                  <c:v>187.77</c:v>
                </c:pt>
                <c:pt idx="3">
                  <c:v>201.17</c:v>
                </c:pt>
                <c:pt idx="4">
                  <c:v>209.89</c:v>
                </c:pt>
                <c:pt idx="5">
                  <c:v>236.38</c:v>
                </c:pt>
                <c:pt idx="6">
                  <c:v>206.93</c:v>
                </c:pt>
                <c:pt idx="7">
                  <c:v>213.22</c:v>
                </c:pt>
                <c:pt idx="8">
                  <c:v>193.02</c:v>
                </c:pt>
                <c:pt idx="9">
                  <c:v>595.27</c:v>
                </c:pt>
                <c:pt idx="10">
                  <c:v>205.18</c:v>
                </c:pt>
                <c:pt idx="11">
                  <c:v>231.74</c:v>
                </c:pt>
                <c:pt idx="12">
                  <c:v>200.07</c:v>
                </c:pt>
                <c:pt idx="13">
                  <c:v>204.49</c:v>
                </c:pt>
                <c:pt idx="14">
                  <c:v>216.88</c:v>
                </c:pt>
                <c:pt idx="15">
                  <c:v>195.73</c:v>
                </c:pt>
                <c:pt idx="16">
                  <c:v>235.95</c:v>
                </c:pt>
                <c:pt idx="17">
                  <c:v>200.6</c:v>
                </c:pt>
                <c:pt idx="18">
                  <c:v>193.47</c:v>
                </c:pt>
                <c:pt idx="19">
                  <c:v>217.76</c:v>
                </c:pt>
                <c:pt idx="20">
                  <c:v>199.19</c:v>
                </c:pt>
                <c:pt idx="21">
                  <c:v>210.6</c:v>
                </c:pt>
                <c:pt idx="22">
                  <c:v>197.89</c:v>
                </c:pt>
                <c:pt idx="23">
                  <c:v>216.46</c:v>
                </c:pt>
                <c:pt idx="24">
                  <c:v>195.04</c:v>
                </c:pt>
                <c:pt idx="25">
                  <c:v>205.7</c:v>
                </c:pt>
                <c:pt idx="26">
                  <c:v>229.65</c:v>
                </c:pt>
                <c:pt idx="27">
                  <c:v>218</c:v>
                </c:pt>
                <c:pt idx="28">
                  <c:v>217.98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0-4AFF-BE3C-D987BC84D646}"/>
            </c:ext>
          </c:extLst>
        </c:ser>
        <c:ser>
          <c:idx val="2"/>
          <c:order val="2"/>
          <c:tx>
            <c:strRef>
              <c:f>'GP$HR Chart'!$F$1</c:f>
              <c:strCache>
                <c:ptCount val="1"/>
                <c:pt idx="0">
                  <c:v>Wilmette Frank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Chart'!$F$2:$F$30</c:f>
              <c:numCache>
                <c:formatCode>"$"#,##0.00</c:formatCode>
                <c:ptCount val="29"/>
                <c:pt idx="0">
                  <c:v>231.65</c:v>
                </c:pt>
                <c:pt idx="1">
                  <c:v>228.05</c:v>
                </c:pt>
                <c:pt idx="2">
                  <c:v>232.33</c:v>
                </c:pt>
                <c:pt idx="3">
                  <c:v>226.45</c:v>
                </c:pt>
                <c:pt idx="4">
                  <c:v>228.84</c:v>
                </c:pt>
                <c:pt idx="5">
                  <c:v>245.17</c:v>
                </c:pt>
                <c:pt idx="6">
                  <c:v>226.23</c:v>
                </c:pt>
                <c:pt idx="7">
                  <c:v>233.98</c:v>
                </c:pt>
                <c:pt idx="8">
                  <c:v>239.19</c:v>
                </c:pt>
                <c:pt idx="9">
                  <c:v>205.59</c:v>
                </c:pt>
                <c:pt idx="10">
                  <c:v>236.7</c:v>
                </c:pt>
                <c:pt idx="11">
                  <c:v>212.89</c:v>
                </c:pt>
                <c:pt idx="12">
                  <c:v>227.9</c:v>
                </c:pt>
                <c:pt idx="14">
                  <c:v>257.48</c:v>
                </c:pt>
                <c:pt idx="15">
                  <c:v>226.5</c:v>
                </c:pt>
                <c:pt idx="16">
                  <c:v>249.59</c:v>
                </c:pt>
                <c:pt idx="17">
                  <c:v>211.01</c:v>
                </c:pt>
                <c:pt idx="18">
                  <c:v>258.47000000000003</c:v>
                </c:pt>
                <c:pt idx="19">
                  <c:v>196.78</c:v>
                </c:pt>
                <c:pt idx="20">
                  <c:v>244.28</c:v>
                </c:pt>
                <c:pt idx="21">
                  <c:v>249.44</c:v>
                </c:pt>
                <c:pt idx="22">
                  <c:v>256.64</c:v>
                </c:pt>
                <c:pt idx="26">
                  <c:v>240.69</c:v>
                </c:pt>
                <c:pt idx="28">
                  <c:v>228.97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0-4AFF-BE3C-D987BC84D646}"/>
            </c:ext>
          </c:extLst>
        </c:ser>
        <c:ser>
          <c:idx val="3"/>
          <c:order val="3"/>
          <c:tx>
            <c:strRef>
              <c:f>'GP$HR Chart'!$G$1</c:f>
              <c:strCache>
                <c:ptCount val="1"/>
                <c:pt idx="0">
                  <c:v> Dimitri</c:v>
                </c:pt>
              </c:strCache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Chart'!$G$2:$G$30</c:f>
              <c:numCache>
                <c:formatCode>"$"#,##0.00</c:formatCode>
                <c:ptCount val="29"/>
                <c:pt idx="0">
                  <c:v>176.46</c:v>
                </c:pt>
                <c:pt idx="1">
                  <c:v>179.65</c:v>
                </c:pt>
                <c:pt idx="2">
                  <c:v>205.97</c:v>
                </c:pt>
                <c:pt idx="3">
                  <c:v>222.37</c:v>
                </c:pt>
                <c:pt idx="4">
                  <c:v>252.79</c:v>
                </c:pt>
                <c:pt idx="5">
                  <c:v>206.25</c:v>
                </c:pt>
                <c:pt idx="6">
                  <c:v>217.22</c:v>
                </c:pt>
                <c:pt idx="7">
                  <c:v>237.49</c:v>
                </c:pt>
                <c:pt idx="8">
                  <c:v>209.7</c:v>
                </c:pt>
                <c:pt idx="9">
                  <c:v>215.94</c:v>
                </c:pt>
                <c:pt idx="10">
                  <c:v>223.27</c:v>
                </c:pt>
                <c:pt idx="11">
                  <c:v>220.73</c:v>
                </c:pt>
                <c:pt idx="12">
                  <c:v>210.78</c:v>
                </c:pt>
                <c:pt idx="13">
                  <c:v>223.96</c:v>
                </c:pt>
                <c:pt idx="14">
                  <c:v>194.71</c:v>
                </c:pt>
                <c:pt idx="15">
                  <c:v>231.22</c:v>
                </c:pt>
                <c:pt idx="16">
                  <c:v>229.9</c:v>
                </c:pt>
                <c:pt idx="17">
                  <c:v>237.46</c:v>
                </c:pt>
                <c:pt idx="18">
                  <c:v>215.55</c:v>
                </c:pt>
                <c:pt idx="19">
                  <c:v>243.53</c:v>
                </c:pt>
                <c:pt idx="20">
                  <c:v>228.03</c:v>
                </c:pt>
                <c:pt idx="21">
                  <c:v>242.03</c:v>
                </c:pt>
                <c:pt idx="22">
                  <c:v>220.35</c:v>
                </c:pt>
                <c:pt idx="23">
                  <c:v>218.27</c:v>
                </c:pt>
                <c:pt idx="24">
                  <c:v>250.57</c:v>
                </c:pt>
                <c:pt idx="25">
                  <c:v>228.17</c:v>
                </c:pt>
                <c:pt idx="26">
                  <c:v>224.06</c:v>
                </c:pt>
                <c:pt idx="27">
                  <c:v>246.36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0-4AFF-BE3C-D987BC84D646}"/>
            </c:ext>
          </c:extLst>
        </c:ser>
        <c:ser>
          <c:idx val="4"/>
          <c:order val="4"/>
          <c:tx>
            <c:strRef>
              <c:f>'GP$HR Chart'!$H$1</c:f>
              <c:strCache>
                <c:ptCount val="1"/>
                <c:pt idx="0">
                  <c:v> Ben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Chart'!$H$2:$H$30</c:f>
              <c:numCache>
                <c:formatCode>"$"#,##0.00</c:formatCode>
                <c:ptCount val="29"/>
                <c:pt idx="0">
                  <c:v>151.07</c:v>
                </c:pt>
                <c:pt idx="1">
                  <c:v>193.16</c:v>
                </c:pt>
                <c:pt idx="2">
                  <c:v>223.07</c:v>
                </c:pt>
                <c:pt idx="3">
                  <c:v>195.57</c:v>
                </c:pt>
                <c:pt idx="4">
                  <c:v>192.07</c:v>
                </c:pt>
                <c:pt idx="5">
                  <c:v>190.09</c:v>
                </c:pt>
                <c:pt idx="6">
                  <c:v>216.18</c:v>
                </c:pt>
                <c:pt idx="7">
                  <c:v>171.83</c:v>
                </c:pt>
                <c:pt idx="8">
                  <c:v>166.47</c:v>
                </c:pt>
                <c:pt idx="9">
                  <c:v>222.51</c:v>
                </c:pt>
                <c:pt idx="10">
                  <c:v>199.76</c:v>
                </c:pt>
                <c:pt idx="11">
                  <c:v>214.92</c:v>
                </c:pt>
                <c:pt idx="12">
                  <c:v>227.82</c:v>
                </c:pt>
                <c:pt idx="13">
                  <c:v>204.66</c:v>
                </c:pt>
                <c:pt idx="14">
                  <c:v>225.5</c:v>
                </c:pt>
                <c:pt idx="15">
                  <c:v>209.12</c:v>
                </c:pt>
                <c:pt idx="16">
                  <c:v>185.78</c:v>
                </c:pt>
                <c:pt idx="17">
                  <c:v>211.99</c:v>
                </c:pt>
                <c:pt idx="18">
                  <c:v>205.42</c:v>
                </c:pt>
                <c:pt idx="19">
                  <c:v>212.58</c:v>
                </c:pt>
                <c:pt idx="20">
                  <c:v>215.86</c:v>
                </c:pt>
                <c:pt idx="21">
                  <c:v>213</c:v>
                </c:pt>
                <c:pt idx="22">
                  <c:v>216.29</c:v>
                </c:pt>
                <c:pt idx="23">
                  <c:v>206.77</c:v>
                </c:pt>
                <c:pt idx="24">
                  <c:v>217.59</c:v>
                </c:pt>
                <c:pt idx="25">
                  <c:v>234.02</c:v>
                </c:pt>
                <c:pt idx="27">
                  <c:v>236.65</c:v>
                </c:pt>
                <c:pt idx="28">
                  <c:v>215.11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0-4AFF-BE3C-D987BC84D646}"/>
            </c:ext>
          </c:extLst>
        </c:ser>
        <c:ser>
          <c:idx val="5"/>
          <c:order val="5"/>
          <c:tx>
            <c:strRef>
              <c:f>'GP$HR Chart'!$I$1</c:f>
              <c:strCache>
                <c:ptCount val="1"/>
                <c:pt idx="0">
                  <c:v>Evanston Ernie</c:v>
                </c:pt>
              </c:strCache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Chart'!$I$2:$I$30</c:f>
              <c:numCache>
                <c:formatCode>"$"#,##0.00</c:formatCode>
                <c:ptCount val="29"/>
                <c:pt idx="0">
                  <c:v>195.77</c:v>
                </c:pt>
                <c:pt idx="1">
                  <c:v>193.97</c:v>
                </c:pt>
                <c:pt idx="2">
                  <c:v>178.66</c:v>
                </c:pt>
                <c:pt idx="3">
                  <c:v>175.66</c:v>
                </c:pt>
                <c:pt idx="4">
                  <c:v>203.5</c:v>
                </c:pt>
                <c:pt idx="5">
                  <c:v>184.47</c:v>
                </c:pt>
                <c:pt idx="6">
                  <c:v>166.25</c:v>
                </c:pt>
                <c:pt idx="7">
                  <c:v>192.23</c:v>
                </c:pt>
                <c:pt idx="8">
                  <c:v>175.63</c:v>
                </c:pt>
                <c:pt idx="9">
                  <c:v>183.82</c:v>
                </c:pt>
                <c:pt idx="10">
                  <c:v>218.73</c:v>
                </c:pt>
                <c:pt idx="11">
                  <c:v>194.16</c:v>
                </c:pt>
                <c:pt idx="12">
                  <c:v>198.4</c:v>
                </c:pt>
                <c:pt idx="13">
                  <c:v>191.39</c:v>
                </c:pt>
                <c:pt idx="14">
                  <c:v>204.73</c:v>
                </c:pt>
                <c:pt idx="15">
                  <c:v>193.12</c:v>
                </c:pt>
                <c:pt idx="16">
                  <c:v>200.92</c:v>
                </c:pt>
                <c:pt idx="17">
                  <c:v>212.73</c:v>
                </c:pt>
                <c:pt idx="18">
                  <c:v>198.51</c:v>
                </c:pt>
                <c:pt idx="19">
                  <c:v>206.32</c:v>
                </c:pt>
                <c:pt idx="20">
                  <c:v>197.88</c:v>
                </c:pt>
                <c:pt idx="21">
                  <c:v>207.23</c:v>
                </c:pt>
                <c:pt idx="22">
                  <c:v>195.5</c:v>
                </c:pt>
                <c:pt idx="23">
                  <c:v>208.48</c:v>
                </c:pt>
                <c:pt idx="24">
                  <c:v>198.13</c:v>
                </c:pt>
                <c:pt idx="25">
                  <c:v>191.57</c:v>
                </c:pt>
                <c:pt idx="26">
                  <c:v>231</c:v>
                </c:pt>
                <c:pt idx="28">
                  <c:v>172.59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E0-4AFF-BE3C-D987BC84D646}"/>
            </c:ext>
          </c:extLst>
        </c:ser>
        <c:ser>
          <c:idx val="6"/>
          <c:order val="6"/>
          <c:tx>
            <c:strRef>
              <c:f>'GP$HR Chart'!$J$1</c:f>
              <c:strCache>
                <c:ptCount val="1"/>
                <c:pt idx="0">
                  <c:v> Sam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Chart'!$J$2:$J$30</c:f>
              <c:numCache>
                <c:formatCode>"$"#,##0.00</c:formatCode>
                <c:ptCount val="29"/>
                <c:pt idx="0">
                  <c:v>201.04</c:v>
                </c:pt>
                <c:pt idx="1">
                  <c:v>192.42</c:v>
                </c:pt>
                <c:pt idx="2">
                  <c:v>210.76</c:v>
                </c:pt>
                <c:pt idx="3">
                  <c:v>178.95</c:v>
                </c:pt>
                <c:pt idx="4">
                  <c:v>187.94</c:v>
                </c:pt>
                <c:pt idx="5">
                  <c:v>181.93</c:v>
                </c:pt>
                <c:pt idx="6">
                  <c:v>211.54</c:v>
                </c:pt>
                <c:pt idx="7">
                  <c:v>190.69</c:v>
                </c:pt>
                <c:pt idx="8">
                  <c:v>216.65</c:v>
                </c:pt>
                <c:pt idx="9">
                  <c:v>205.83</c:v>
                </c:pt>
                <c:pt idx="10">
                  <c:v>211.09</c:v>
                </c:pt>
                <c:pt idx="11">
                  <c:v>196.25</c:v>
                </c:pt>
                <c:pt idx="12">
                  <c:v>223.56</c:v>
                </c:pt>
                <c:pt idx="13">
                  <c:v>220.74</c:v>
                </c:pt>
                <c:pt idx="14">
                  <c:v>224.07</c:v>
                </c:pt>
                <c:pt idx="15">
                  <c:v>210.04</c:v>
                </c:pt>
                <c:pt idx="16">
                  <c:v>173.55</c:v>
                </c:pt>
                <c:pt idx="17">
                  <c:v>230.64</c:v>
                </c:pt>
                <c:pt idx="18">
                  <c:v>221.49</c:v>
                </c:pt>
                <c:pt idx="19">
                  <c:v>214.17</c:v>
                </c:pt>
                <c:pt idx="20">
                  <c:v>217.52</c:v>
                </c:pt>
                <c:pt idx="21">
                  <c:v>212.6</c:v>
                </c:pt>
                <c:pt idx="22">
                  <c:v>194.33</c:v>
                </c:pt>
                <c:pt idx="23">
                  <c:v>225.92</c:v>
                </c:pt>
                <c:pt idx="24">
                  <c:v>216.32</c:v>
                </c:pt>
                <c:pt idx="25">
                  <c:v>206.81</c:v>
                </c:pt>
                <c:pt idx="26">
                  <c:v>208.48</c:v>
                </c:pt>
                <c:pt idx="27">
                  <c:v>224.83</c:v>
                </c:pt>
                <c:pt idx="28">
                  <c:v>211.21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E0-4AFF-BE3C-D987BC84D646}"/>
            </c:ext>
          </c:extLst>
        </c:ser>
        <c:ser>
          <c:idx val="7"/>
          <c:order val="7"/>
          <c:tx>
            <c:strRef>
              <c:f>'GP$HR Chart'!$K$1</c:f>
              <c:strCache>
                <c:ptCount val="1"/>
                <c:pt idx="0">
                  <c:v> Jaysun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Chart'!$K$2:$K$30</c:f>
              <c:numCache>
                <c:formatCode>"$"#,##0.00</c:formatCode>
                <c:ptCount val="29"/>
                <c:pt idx="1">
                  <c:v>8</c:v>
                </c:pt>
                <c:pt idx="3">
                  <c:v>193.48</c:v>
                </c:pt>
                <c:pt idx="4">
                  <c:v>247.45</c:v>
                </c:pt>
                <c:pt idx="6">
                  <c:v>192.5</c:v>
                </c:pt>
                <c:pt idx="7">
                  <c:v>175.95</c:v>
                </c:pt>
                <c:pt idx="8">
                  <c:v>248.13</c:v>
                </c:pt>
                <c:pt idx="9">
                  <c:v>219.84</c:v>
                </c:pt>
                <c:pt idx="10">
                  <c:v>1005.33</c:v>
                </c:pt>
                <c:pt idx="11">
                  <c:v>195.93</c:v>
                </c:pt>
                <c:pt idx="14">
                  <c:v>36.200000000000003</c:v>
                </c:pt>
                <c:pt idx="15">
                  <c:v>171.3</c:v>
                </c:pt>
                <c:pt idx="16">
                  <c:v>288.63</c:v>
                </c:pt>
                <c:pt idx="18">
                  <c:v>215.68</c:v>
                </c:pt>
                <c:pt idx="19">
                  <c:v>173.25</c:v>
                </c:pt>
                <c:pt idx="20">
                  <c:v>256.01</c:v>
                </c:pt>
                <c:pt idx="21">
                  <c:v>272.36</c:v>
                </c:pt>
                <c:pt idx="22">
                  <c:v>174.81</c:v>
                </c:pt>
                <c:pt idx="23">
                  <c:v>202.93</c:v>
                </c:pt>
                <c:pt idx="24">
                  <c:v>220.1</c:v>
                </c:pt>
                <c:pt idx="25">
                  <c:v>202.4</c:v>
                </c:pt>
                <c:pt idx="26">
                  <c:v>182.03</c:v>
                </c:pt>
                <c:pt idx="27">
                  <c:v>248.51</c:v>
                </c:pt>
                <c:pt idx="28">
                  <c:v>177.45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E0-4AFF-BE3C-D987BC84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11710"/>
        <c:axId val="820083678"/>
      </c:lineChart>
      <c:catAx>
        <c:axId val="33771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083678"/>
        <c:crosses val="autoZero"/>
        <c:auto val="1"/>
        <c:lblAlgn val="ctr"/>
        <c:lblOffset val="100"/>
        <c:noMultiLvlLbl val="1"/>
      </c:catAx>
      <c:valAx>
        <c:axId val="820083678"/>
        <c:scaling>
          <c:orientation val="minMax"/>
          <c:max val="2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GP$/HR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71171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ARO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'ARO Chart'!$C$1</c:f>
              <c:strCache>
                <c:ptCount val="1"/>
                <c:pt idx="0">
                  <c:v>Northbrook Armando</c:v>
                </c:pt>
              </c:strCache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Chart'!$C$2:$C$30</c:f>
              <c:numCache>
                <c:formatCode>"$"#,##0.00</c:formatCode>
                <c:ptCount val="29"/>
                <c:pt idx="0">
                  <c:v>648.30999999999995</c:v>
                </c:pt>
                <c:pt idx="1">
                  <c:v>767.38</c:v>
                </c:pt>
                <c:pt idx="2">
                  <c:v>419.15</c:v>
                </c:pt>
                <c:pt idx="3">
                  <c:v>592.99</c:v>
                </c:pt>
                <c:pt idx="4">
                  <c:v>514.91999999999996</c:v>
                </c:pt>
                <c:pt idx="5">
                  <c:v>517.22</c:v>
                </c:pt>
                <c:pt idx="6">
                  <c:v>542.30999999999995</c:v>
                </c:pt>
                <c:pt idx="7">
                  <c:v>475.52</c:v>
                </c:pt>
                <c:pt idx="8">
                  <c:v>638.55999999999995</c:v>
                </c:pt>
                <c:pt idx="9">
                  <c:v>538.16999999999996</c:v>
                </c:pt>
                <c:pt idx="10">
                  <c:v>670.73</c:v>
                </c:pt>
                <c:pt idx="11">
                  <c:v>556.89</c:v>
                </c:pt>
                <c:pt idx="12">
                  <c:v>728.12</c:v>
                </c:pt>
                <c:pt idx="13">
                  <c:v>487.17</c:v>
                </c:pt>
                <c:pt idx="14">
                  <c:v>843.26</c:v>
                </c:pt>
                <c:pt idx="15">
                  <c:v>776.49</c:v>
                </c:pt>
                <c:pt idx="16">
                  <c:v>740.32</c:v>
                </c:pt>
                <c:pt idx="17">
                  <c:v>644.80999999999995</c:v>
                </c:pt>
                <c:pt idx="18">
                  <c:v>680.27</c:v>
                </c:pt>
                <c:pt idx="19">
                  <c:v>617.47</c:v>
                </c:pt>
                <c:pt idx="20">
                  <c:v>620.96</c:v>
                </c:pt>
                <c:pt idx="21">
                  <c:v>812.39</c:v>
                </c:pt>
                <c:pt idx="22">
                  <c:v>735.13</c:v>
                </c:pt>
                <c:pt idx="23">
                  <c:v>603.55999999999995</c:v>
                </c:pt>
                <c:pt idx="24">
                  <c:v>551.09</c:v>
                </c:pt>
                <c:pt idx="25">
                  <c:v>482.11</c:v>
                </c:pt>
                <c:pt idx="26">
                  <c:v>598.88</c:v>
                </c:pt>
                <c:pt idx="27">
                  <c:v>516.07000000000005</c:v>
                </c:pt>
                <c:pt idx="28">
                  <c:v>551.54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E-4B9B-84A0-AC13D8EEEC6A}"/>
            </c:ext>
          </c:extLst>
        </c:ser>
        <c:ser>
          <c:idx val="1"/>
          <c:order val="1"/>
          <c:tx>
            <c:strRef>
              <c:f>'ARO Chart'!$D$1</c:f>
              <c:strCache>
                <c:ptCount val="1"/>
                <c:pt idx="0">
                  <c:v> Jaime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Chart'!$D$2:$D$30</c:f>
              <c:numCache>
                <c:formatCode>"$"#,##0.00</c:formatCode>
                <c:ptCount val="29"/>
                <c:pt idx="0">
                  <c:v>470.4</c:v>
                </c:pt>
                <c:pt idx="1">
                  <c:v>463.15</c:v>
                </c:pt>
                <c:pt idx="2">
                  <c:v>396.04</c:v>
                </c:pt>
                <c:pt idx="3">
                  <c:v>425.97</c:v>
                </c:pt>
                <c:pt idx="4">
                  <c:v>540.47</c:v>
                </c:pt>
                <c:pt idx="5">
                  <c:v>353.76</c:v>
                </c:pt>
                <c:pt idx="6">
                  <c:v>317.35000000000002</c:v>
                </c:pt>
                <c:pt idx="7">
                  <c:v>557.46</c:v>
                </c:pt>
                <c:pt idx="8">
                  <c:v>492.05</c:v>
                </c:pt>
                <c:pt idx="9">
                  <c:v>595.27</c:v>
                </c:pt>
                <c:pt idx="10">
                  <c:v>555.33000000000004</c:v>
                </c:pt>
                <c:pt idx="11">
                  <c:v>392.49</c:v>
                </c:pt>
                <c:pt idx="12">
                  <c:v>471.57</c:v>
                </c:pt>
                <c:pt idx="13">
                  <c:v>515.47</c:v>
                </c:pt>
                <c:pt idx="14">
                  <c:v>600.14</c:v>
                </c:pt>
                <c:pt idx="15">
                  <c:v>674.87</c:v>
                </c:pt>
                <c:pt idx="16">
                  <c:v>561.77</c:v>
                </c:pt>
                <c:pt idx="17">
                  <c:v>546.77</c:v>
                </c:pt>
                <c:pt idx="18">
                  <c:v>636.12</c:v>
                </c:pt>
                <c:pt idx="19">
                  <c:v>570.54</c:v>
                </c:pt>
                <c:pt idx="20">
                  <c:v>607.44000000000005</c:v>
                </c:pt>
                <c:pt idx="21">
                  <c:v>480.21</c:v>
                </c:pt>
                <c:pt idx="22">
                  <c:v>540.83000000000004</c:v>
                </c:pt>
                <c:pt idx="23">
                  <c:v>500.5</c:v>
                </c:pt>
                <c:pt idx="24">
                  <c:v>609.5</c:v>
                </c:pt>
                <c:pt idx="25">
                  <c:v>656.79</c:v>
                </c:pt>
                <c:pt idx="26">
                  <c:v>588.14</c:v>
                </c:pt>
                <c:pt idx="27">
                  <c:v>617.07000000000005</c:v>
                </c:pt>
                <c:pt idx="28">
                  <c:v>738.7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E-4B9B-84A0-AC13D8EEEC6A}"/>
            </c:ext>
          </c:extLst>
        </c:ser>
        <c:ser>
          <c:idx val="2"/>
          <c:order val="2"/>
          <c:tx>
            <c:strRef>
              <c:f>'ARO Chart'!$F$1</c:f>
              <c:strCache>
                <c:ptCount val="1"/>
                <c:pt idx="0">
                  <c:v>Wilmette Frank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Chart'!$F$2:$F$30</c:f>
              <c:numCache>
                <c:formatCode>"$"#,##0.00</c:formatCode>
                <c:ptCount val="29"/>
                <c:pt idx="0">
                  <c:v>929.76</c:v>
                </c:pt>
                <c:pt idx="1">
                  <c:v>826.65</c:v>
                </c:pt>
                <c:pt idx="2">
                  <c:v>1146.19</c:v>
                </c:pt>
                <c:pt idx="3">
                  <c:v>1153.8</c:v>
                </c:pt>
                <c:pt idx="4">
                  <c:v>1078.99</c:v>
                </c:pt>
                <c:pt idx="5">
                  <c:v>1210.22</c:v>
                </c:pt>
                <c:pt idx="6">
                  <c:v>1400.67</c:v>
                </c:pt>
                <c:pt idx="7">
                  <c:v>1002.55</c:v>
                </c:pt>
                <c:pt idx="8">
                  <c:v>1087.8900000000001</c:v>
                </c:pt>
                <c:pt idx="9">
                  <c:v>745.77</c:v>
                </c:pt>
                <c:pt idx="10">
                  <c:v>1105.5899999999999</c:v>
                </c:pt>
                <c:pt idx="11">
                  <c:v>666.2</c:v>
                </c:pt>
                <c:pt idx="12">
                  <c:v>1061.25</c:v>
                </c:pt>
                <c:pt idx="14">
                  <c:v>1699.2</c:v>
                </c:pt>
                <c:pt idx="15">
                  <c:v>900.2</c:v>
                </c:pt>
                <c:pt idx="16">
                  <c:v>1327.85</c:v>
                </c:pt>
                <c:pt idx="17">
                  <c:v>658.44</c:v>
                </c:pt>
                <c:pt idx="18">
                  <c:v>1097.22</c:v>
                </c:pt>
                <c:pt idx="19">
                  <c:v>992.78</c:v>
                </c:pt>
                <c:pt idx="20">
                  <c:v>1532.1</c:v>
                </c:pt>
                <c:pt idx="21">
                  <c:v>622.79</c:v>
                </c:pt>
                <c:pt idx="22">
                  <c:v>768.77</c:v>
                </c:pt>
                <c:pt idx="26">
                  <c:v>1369.29</c:v>
                </c:pt>
                <c:pt idx="28">
                  <c:v>1134.53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E-4B9B-84A0-AC13D8EEEC6A}"/>
            </c:ext>
          </c:extLst>
        </c:ser>
        <c:ser>
          <c:idx val="3"/>
          <c:order val="3"/>
          <c:tx>
            <c:strRef>
              <c:f>'ARO Chart'!$G$1</c:f>
              <c:strCache>
                <c:ptCount val="1"/>
                <c:pt idx="0">
                  <c:v> Dimitri</c:v>
                </c:pt>
              </c:strCache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Chart'!$G$2:$G$30</c:f>
              <c:numCache>
                <c:formatCode>"$"#,##0.00</c:formatCode>
                <c:ptCount val="29"/>
                <c:pt idx="0">
                  <c:v>711.76</c:v>
                </c:pt>
                <c:pt idx="1">
                  <c:v>733.01</c:v>
                </c:pt>
                <c:pt idx="2">
                  <c:v>632.03</c:v>
                </c:pt>
                <c:pt idx="3">
                  <c:v>855.06</c:v>
                </c:pt>
                <c:pt idx="4">
                  <c:v>880.7</c:v>
                </c:pt>
                <c:pt idx="5">
                  <c:v>956.56</c:v>
                </c:pt>
                <c:pt idx="6">
                  <c:v>637.09</c:v>
                </c:pt>
                <c:pt idx="7">
                  <c:v>1080.1400000000001</c:v>
                </c:pt>
                <c:pt idx="8">
                  <c:v>752.76</c:v>
                </c:pt>
                <c:pt idx="9">
                  <c:v>697.21</c:v>
                </c:pt>
                <c:pt idx="10">
                  <c:v>1175.1300000000001</c:v>
                </c:pt>
                <c:pt idx="11">
                  <c:v>937.05</c:v>
                </c:pt>
                <c:pt idx="12">
                  <c:v>1035.8699999999999</c:v>
                </c:pt>
                <c:pt idx="13">
                  <c:v>1090.31</c:v>
                </c:pt>
                <c:pt idx="14">
                  <c:v>1049.75</c:v>
                </c:pt>
                <c:pt idx="15">
                  <c:v>1222.71</c:v>
                </c:pt>
                <c:pt idx="16">
                  <c:v>836.8</c:v>
                </c:pt>
                <c:pt idx="17">
                  <c:v>1198.24</c:v>
                </c:pt>
                <c:pt idx="18">
                  <c:v>1123.7</c:v>
                </c:pt>
                <c:pt idx="19">
                  <c:v>779.97</c:v>
                </c:pt>
                <c:pt idx="20">
                  <c:v>1003.44</c:v>
                </c:pt>
                <c:pt idx="21">
                  <c:v>970.62</c:v>
                </c:pt>
                <c:pt idx="22">
                  <c:v>927.76</c:v>
                </c:pt>
                <c:pt idx="23">
                  <c:v>959.39</c:v>
                </c:pt>
                <c:pt idx="24">
                  <c:v>844.27</c:v>
                </c:pt>
                <c:pt idx="25">
                  <c:v>721.58</c:v>
                </c:pt>
                <c:pt idx="26">
                  <c:v>567.65</c:v>
                </c:pt>
                <c:pt idx="27">
                  <c:v>936.84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E-4B9B-84A0-AC13D8EEEC6A}"/>
            </c:ext>
          </c:extLst>
        </c:ser>
        <c:ser>
          <c:idx val="4"/>
          <c:order val="4"/>
          <c:tx>
            <c:strRef>
              <c:f>'ARO Chart'!$H$1</c:f>
              <c:strCache>
                <c:ptCount val="1"/>
                <c:pt idx="0">
                  <c:v> Ben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Chart'!$H$2:$H$30</c:f>
              <c:numCache>
                <c:formatCode>"$"#,##0.00</c:formatCode>
                <c:ptCount val="29"/>
                <c:pt idx="0">
                  <c:v>292.99</c:v>
                </c:pt>
                <c:pt idx="1">
                  <c:v>272.45</c:v>
                </c:pt>
                <c:pt idx="2">
                  <c:v>306.06</c:v>
                </c:pt>
                <c:pt idx="3">
                  <c:v>413.05</c:v>
                </c:pt>
                <c:pt idx="4">
                  <c:v>399.08</c:v>
                </c:pt>
                <c:pt idx="5">
                  <c:v>250.88</c:v>
                </c:pt>
                <c:pt idx="6">
                  <c:v>553.47</c:v>
                </c:pt>
                <c:pt idx="7">
                  <c:v>223.17</c:v>
                </c:pt>
                <c:pt idx="8">
                  <c:v>285.51</c:v>
                </c:pt>
                <c:pt idx="9">
                  <c:v>392.52</c:v>
                </c:pt>
                <c:pt idx="10">
                  <c:v>673.53</c:v>
                </c:pt>
                <c:pt idx="11">
                  <c:v>928.3</c:v>
                </c:pt>
                <c:pt idx="12">
                  <c:v>780.38</c:v>
                </c:pt>
                <c:pt idx="13">
                  <c:v>599.67999999999995</c:v>
                </c:pt>
                <c:pt idx="14">
                  <c:v>759.42</c:v>
                </c:pt>
                <c:pt idx="15">
                  <c:v>566.23</c:v>
                </c:pt>
                <c:pt idx="16">
                  <c:v>386.71</c:v>
                </c:pt>
                <c:pt idx="17">
                  <c:v>509</c:v>
                </c:pt>
                <c:pt idx="18">
                  <c:v>383.53</c:v>
                </c:pt>
                <c:pt idx="19">
                  <c:v>768.91</c:v>
                </c:pt>
                <c:pt idx="20">
                  <c:v>582.64</c:v>
                </c:pt>
                <c:pt idx="21">
                  <c:v>615.82000000000005</c:v>
                </c:pt>
                <c:pt idx="22">
                  <c:v>442.94</c:v>
                </c:pt>
                <c:pt idx="23">
                  <c:v>450.55</c:v>
                </c:pt>
                <c:pt idx="24">
                  <c:v>542.19000000000005</c:v>
                </c:pt>
                <c:pt idx="25">
                  <c:v>739.18</c:v>
                </c:pt>
                <c:pt idx="27">
                  <c:v>627.11</c:v>
                </c:pt>
                <c:pt idx="28">
                  <c:v>574.53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E-4B9B-84A0-AC13D8EEEC6A}"/>
            </c:ext>
          </c:extLst>
        </c:ser>
        <c:ser>
          <c:idx val="5"/>
          <c:order val="5"/>
          <c:tx>
            <c:strRef>
              <c:f>'ARO Chart'!$I$1</c:f>
              <c:strCache>
                <c:ptCount val="1"/>
                <c:pt idx="0">
                  <c:v>Evanston Ernie</c:v>
                </c:pt>
              </c:strCache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Chart'!$I$2:$I$30</c:f>
              <c:numCache>
                <c:formatCode>"$"#,##0.00</c:formatCode>
                <c:ptCount val="29"/>
                <c:pt idx="0">
                  <c:v>753.25</c:v>
                </c:pt>
                <c:pt idx="1">
                  <c:v>691.99</c:v>
                </c:pt>
                <c:pt idx="2">
                  <c:v>862.7</c:v>
                </c:pt>
                <c:pt idx="3">
                  <c:v>604.1</c:v>
                </c:pt>
                <c:pt idx="4">
                  <c:v>965.5</c:v>
                </c:pt>
                <c:pt idx="5">
                  <c:v>723.62</c:v>
                </c:pt>
                <c:pt idx="6">
                  <c:v>841.53</c:v>
                </c:pt>
                <c:pt idx="7">
                  <c:v>885.31</c:v>
                </c:pt>
                <c:pt idx="8">
                  <c:v>794.15</c:v>
                </c:pt>
                <c:pt idx="9">
                  <c:v>860.5</c:v>
                </c:pt>
                <c:pt idx="10">
                  <c:v>696.84</c:v>
                </c:pt>
                <c:pt idx="11">
                  <c:v>651.12</c:v>
                </c:pt>
                <c:pt idx="12">
                  <c:v>829.63</c:v>
                </c:pt>
                <c:pt idx="13">
                  <c:v>830.91</c:v>
                </c:pt>
                <c:pt idx="14">
                  <c:v>713.93</c:v>
                </c:pt>
                <c:pt idx="15">
                  <c:v>952.84</c:v>
                </c:pt>
                <c:pt idx="16">
                  <c:v>856.93</c:v>
                </c:pt>
                <c:pt idx="17">
                  <c:v>792.98</c:v>
                </c:pt>
                <c:pt idx="18">
                  <c:v>952.93</c:v>
                </c:pt>
                <c:pt idx="19">
                  <c:v>803.28</c:v>
                </c:pt>
                <c:pt idx="20">
                  <c:v>924.41</c:v>
                </c:pt>
                <c:pt idx="21">
                  <c:v>639.91</c:v>
                </c:pt>
                <c:pt idx="22">
                  <c:v>889.14</c:v>
                </c:pt>
                <c:pt idx="23">
                  <c:v>921.35</c:v>
                </c:pt>
                <c:pt idx="24">
                  <c:v>793.62</c:v>
                </c:pt>
                <c:pt idx="25">
                  <c:v>859.87</c:v>
                </c:pt>
                <c:pt idx="26">
                  <c:v>979.12</c:v>
                </c:pt>
                <c:pt idx="28">
                  <c:v>620.11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E-4B9B-84A0-AC13D8EEEC6A}"/>
            </c:ext>
          </c:extLst>
        </c:ser>
        <c:ser>
          <c:idx val="6"/>
          <c:order val="6"/>
          <c:tx>
            <c:strRef>
              <c:f>'ARO Chart'!$J$1</c:f>
              <c:strCache>
                <c:ptCount val="1"/>
                <c:pt idx="0">
                  <c:v> Sam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Chart'!$J$2:$J$30</c:f>
              <c:numCache>
                <c:formatCode>"$"#,##0.00</c:formatCode>
                <c:ptCount val="29"/>
                <c:pt idx="0">
                  <c:v>1130.55</c:v>
                </c:pt>
                <c:pt idx="1">
                  <c:v>750.38</c:v>
                </c:pt>
                <c:pt idx="2">
                  <c:v>855.76</c:v>
                </c:pt>
                <c:pt idx="3">
                  <c:v>941.2</c:v>
                </c:pt>
                <c:pt idx="4">
                  <c:v>718.6</c:v>
                </c:pt>
                <c:pt idx="5">
                  <c:v>645.52</c:v>
                </c:pt>
                <c:pt idx="6">
                  <c:v>982.38</c:v>
                </c:pt>
                <c:pt idx="7">
                  <c:v>1121.5999999999999</c:v>
                </c:pt>
                <c:pt idx="8">
                  <c:v>692.5</c:v>
                </c:pt>
                <c:pt idx="9">
                  <c:v>927.11</c:v>
                </c:pt>
                <c:pt idx="10">
                  <c:v>911.95</c:v>
                </c:pt>
                <c:pt idx="11">
                  <c:v>597.66</c:v>
                </c:pt>
                <c:pt idx="12">
                  <c:v>782.11</c:v>
                </c:pt>
                <c:pt idx="13">
                  <c:v>1674.74</c:v>
                </c:pt>
                <c:pt idx="14">
                  <c:v>1025.71</c:v>
                </c:pt>
                <c:pt idx="15">
                  <c:v>949.05</c:v>
                </c:pt>
                <c:pt idx="16">
                  <c:v>937.14</c:v>
                </c:pt>
                <c:pt idx="17">
                  <c:v>1119.44</c:v>
                </c:pt>
                <c:pt idx="18">
                  <c:v>887.37</c:v>
                </c:pt>
                <c:pt idx="19">
                  <c:v>1093.23</c:v>
                </c:pt>
                <c:pt idx="20">
                  <c:v>849.99</c:v>
                </c:pt>
                <c:pt idx="21">
                  <c:v>1195.8599999999999</c:v>
                </c:pt>
                <c:pt idx="22">
                  <c:v>891.3</c:v>
                </c:pt>
                <c:pt idx="23">
                  <c:v>1253.3800000000001</c:v>
                </c:pt>
                <c:pt idx="24">
                  <c:v>711.65</c:v>
                </c:pt>
                <c:pt idx="25">
                  <c:v>674.63</c:v>
                </c:pt>
                <c:pt idx="26">
                  <c:v>983.34</c:v>
                </c:pt>
                <c:pt idx="27">
                  <c:v>747.82</c:v>
                </c:pt>
                <c:pt idx="28">
                  <c:v>695.33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1E-4B9B-84A0-AC13D8EEEC6A}"/>
            </c:ext>
          </c:extLst>
        </c:ser>
        <c:ser>
          <c:idx val="7"/>
          <c:order val="7"/>
          <c:tx>
            <c:strRef>
              <c:f>'ARO Chart'!$K$1</c:f>
              <c:strCache>
                <c:ptCount val="1"/>
                <c:pt idx="0">
                  <c:v> Jaysun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Chart'!$K$2:$K$30</c:f>
              <c:numCache>
                <c:formatCode>"$"#,##0.00</c:formatCode>
                <c:ptCount val="29"/>
                <c:pt idx="1">
                  <c:v>45.61</c:v>
                </c:pt>
                <c:pt idx="3">
                  <c:v>540.5</c:v>
                </c:pt>
                <c:pt idx="4">
                  <c:v>1465.19</c:v>
                </c:pt>
                <c:pt idx="6">
                  <c:v>69.8</c:v>
                </c:pt>
                <c:pt idx="7">
                  <c:v>64.989999999999995</c:v>
                </c:pt>
                <c:pt idx="8">
                  <c:v>1316.12</c:v>
                </c:pt>
                <c:pt idx="9">
                  <c:v>699.96</c:v>
                </c:pt>
                <c:pt idx="10">
                  <c:v>404.89</c:v>
                </c:pt>
                <c:pt idx="11">
                  <c:v>726.9</c:v>
                </c:pt>
                <c:pt idx="14">
                  <c:v>27.54</c:v>
                </c:pt>
                <c:pt idx="15">
                  <c:v>577.39</c:v>
                </c:pt>
                <c:pt idx="16">
                  <c:v>957.41</c:v>
                </c:pt>
                <c:pt idx="18">
                  <c:v>866.64</c:v>
                </c:pt>
                <c:pt idx="19">
                  <c:v>204.52</c:v>
                </c:pt>
                <c:pt idx="20">
                  <c:v>1053.78</c:v>
                </c:pt>
                <c:pt idx="21">
                  <c:v>852.79</c:v>
                </c:pt>
                <c:pt idx="22">
                  <c:v>1094.7</c:v>
                </c:pt>
                <c:pt idx="23">
                  <c:v>501.37</c:v>
                </c:pt>
                <c:pt idx="24">
                  <c:v>655.21</c:v>
                </c:pt>
                <c:pt idx="25">
                  <c:v>467.47</c:v>
                </c:pt>
                <c:pt idx="26">
                  <c:v>518.07000000000005</c:v>
                </c:pt>
                <c:pt idx="27">
                  <c:v>576.39</c:v>
                </c:pt>
                <c:pt idx="28">
                  <c:v>359.46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1E-4B9B-84A0-AC13D8EE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97832"/>
        <c:axId val="599120874"/>
      </c:lineChart>
      <c:catAx>
        <c:axId val="20948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9120874"/>
        <c:crosses val="autoZero"/>
        <c:auto val="1"/>
        <c:lblAlgn val="ctr"/>
        <c:lblOffset val="100"/>
        <c:noMultiLvlLbl val="1"/>
      </c:catAx>
      <c:valAx>
        <c:axId val="59912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ARO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8978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745075" cy="6610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745075" cy="6610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04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2.5703125" defaultRowHeight="15.75" customHeight="1" x14ac:dyDescent="0.2"/>
  <cols>
    <col min="2" max="2" width="14.5703125" customWidth="1"/>
  </cols>
  <sheetData>
    <row r="1" spans="1:34" x14ac:dyDescent="0.2">
      <c r="A1" s="23" t="s">
        <v>3</v>
      </c>
      <c r="B1" s="24"/>
      <c r="C1" s="25" t="s">
        <v>0</v>
      </c>
      <c r="D1" s="26"/>
      <c r="E1" s="27"/>
      <c r="F1" s="25" t="s">
        <v>1</v>
      </c>
      <c r="G1" s="26"/>
      <c r="H1" s="27"/>
      <c r="I1" s="25" t="s">
        <v>2</v>
      </c>
      <c r="J1" s="26"/>
      <c r="K1" s="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 t="s">
        <v>51</v>
      </c>
      <c r="B2" s="1" t="s">
        <v>4</v>
      </c>
      <c r="C2" s="2" t="s">
        <v>5</v>
      </c>
      <c r="D2" s="1" t="s">
        <v>6</v>
      </c>
      <c r="E2" s="3" t="s">
        <v>7</v>
      </c>
      <c r="F2" s="2" t="s">
        <v>8</v>
      </c>
      <c r="G2" s="1" t="s">
        <v>9</v>
      </c>
      <c r="H2" s="3" t="s">
        <v>10</v>
      </c>
      <c r="I2" s="2" t="s">
        <v>11</v>
      </c>
      <c r="J2" s="1" t="s">
        <v>12</v>
      </c>
      <c r="K2" s="3" t="s">
        <v>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4" t="s">
        <v>14</v>
      </c>
      <c r="B3" s="4" t="s">
        <v>15</v>
      </c>
      <c r="C3" s="5">
        <v>213.43</v>
      </c>
      <c r="D3" s="4">
        <v>185.94</v>
      </c>
      <c r="E3" s="6"/>
      <c r="F3" s="5">
        <v>231.65</v>
      </c>
      <c r="G3" s="4">
        <v>176.46</v>
      </c>
      <c r="H3" s="7">
        <v>151.07</v>
      </c>
      <c r="I3" s="5">
        <v>195.77</v>
      </c>
      <c r="J3" s="4">
        <v>201.04</v>
      </c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4" t="s">
        <v>14</v>
      </c>
      <c r="B4" s="4" t="s">
        <v>16</v>
      </c>
      <c r="C4" s="5">
        <v>11173.05</v>
      </c>
      <c r="D4" s="4">
        <v>5643.34</v>
      </c>
      <c r="E4" s="6"/>
      <c r="F4" s="5">
        <v>11485.31</v>
      </c>
      <c r="G4" s="4">
        <v>3343.95</v>
      </c>
      <c r="H4" s="7">
        <v>2107.38</v>
      </c>
      <c r="I4" s="5">
        <v>13939.06</v>
      </c>
      <c r="J4" s="4">
        <v>9016.43</v>
      </c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4" t="s">
        <v>14</v>
      </c>
      <c r="B5" s="4" t="s">
        <v>17</v>
      </c>
      <c r="C5" s="5">
        <v>648.30999999999995</v>
      </c>
      <c r="D5" s="4">
        <v>470.4</v>
      </c>
      <c r="E5" s="6"/>
      <c r="F5" s="5">
        <v>929.76</v>
      </c>
      <c r="G5" s="4">
        <v>711.76</v>
      </c>
      <c r="H5" s="7">
        <v>292.99</v>
      </c>
      <c r="I5" s="5">
        <v>753.25</v>
      </c>
      <c r="J5" s="4">
        <v>1130.55</v>
      </c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">
      <c r="A6" s="8" t="s">
        <v>14</v>
      </c>
      <c r="B6" s="8" t="s">
        <v>18</v>
      </c>
      <c r="C6" s="9">
        <v>34</v>
      </c>
      <c r="D6" s="8">
        <v>24</v>
      </c>
      <c r="E6" s="10"/>
      <c r="F6" s="9">
        <v>19</v>
      </c>
      <c r="G6" s="8">
        <v>8</v>
      </c>
      <c r="H6" s="11">
        <v>15</v>
      </c>
      <c r="I6" s="9">
        <v>31</v>
      </c>
      <c r="J6" s="8">
        <v>12</v>
      </c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2">
      <c r="A7" s="8" t="s">
        <v>14</v>
      </c>
      <c r="B7" s="8" t="s">
        <v>19</v>
      </c>
      <c r="C7" s="9">
        <v>79.13</v>
      </c>
      <c r="D7" s="8">
        <v>66</v>
      </c>
      <c r="E7" s="10"/>
      <c r="F7" s="9">
        <v>60.23</v>
      </c>
      <c r="G7" s="8">
        <v>25.4</v>
      </c>
      <c r="H7" s="11">
        <v>17.7</v>
      </c>
      <c r="I7" s="9">
        <v>105.4</v>
      </c>
      <c r="J7" s="8">
        <v>82.75</v>
      </c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2">
      <c r="A8" s="8" t="s">
        <v>14</v>
      </c>
      <c r="B8" s="8" t="s">
        <v>20</v>
      </c>
      <c r="C8" s="9">
        <v>52.35</v>
      </c>
      <c r="D8" s="8">
        <v>30.35</v>
      </c>
      <c r="E8" s="10"/>
      <c r="F8" s="9">
        <v>49.58</v>
      </c>
      <c r="G8" s="8">
        <v>18.95</v>
      </c>
      <c r="H8" s="11">
        <v>13.95</v>
      </c>
      <c r="I8" s="9">
        <v>71.2</v>
      </c>
      <c r="J8" s="8">
        <v>44.85</v>
      </c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x14ac:dyDescent="0.2">
      <c r="A9" s="8" t="s">
        <v>14</v>
      </c>
      <c r="B9" s="8" t="s">
        <v>21</v>
      </c>
      <c r="C9" s="12">
        <f t="shared" ref="C9:K9" si="0">IFERROR(C7/C6,"")</f>
        <v>2.3273529411764704</v>
      </c>
      <c r="D9" s="12">
        <f t="shared" si="0"/>
        <v>2.75</v>
      </c>
      <c r="E9" s="12" t="str">
        <f t="shared" si="0"/>
        <v/>
      </c>
      <c r="F9" s="12">
        <f t="shared" si="0"/>
        <v>3.17</v>
      </c>
      <c r="G9" s="12">
        <f t="shared" si="0"/>
        <v>3.1749999999999998</v>
      </c>
      <c r="H9" s="12">
        <f t="shared" si="0"/>
        <v>1.18</v>
      </c>
      <c r="I9" s="12">
        <f t="shared" si="0"/>
        <v>3.4000000000000004</v>
      </c>
      <c r="J9" s="12">
        <f t="shared" si="0"/>
        <v>6.895833333333333</v>
      </c>
      <c r="K9" s="12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8" t="s">
        <v>14</v>
      </c>
      <c r="B10" s="8" t="s">
        <v>22</v>
      </c>
      <c r="C10" s="12">
        <f t="shared" ref="C10:K10" si="1">IFERROR(C8/C6,"")</f>
        <v>1.5397058823529413</v>
      </c>
      <c r="D10" s="12">
        <f t="shared" si="1"/>
        <v>1.2645833333333334</v>
      </c>
      <c r="E10" s="12" t="str">
        <f t="shared" si="1"/>
        <v/>
      </c>
      <c r="F10" s="12">
        <f t="shared" si="1"/>
        <v>2.6094736842105264</v>
      </c>
      <c r="G10" s="12">
        <f t="shared" si="1"/>
        <v>2.3687499999999999</v>
      </c>
      <c r="H10" s="12">
        <f t="shared" si="1"/>
        <v>0.92999999999999994</v>
      </c>
      <c r="I10" s="12">
        <f t="shared" si="1"/>
        <v>2.2967741935483872</v>
      </c>
      <c r="J10" s="12">
        <f t="shared" si="1"/>
        <v>3.7375000000000003</v>
      </c>
      <c r="K10" s="12" t="str">
        <f t="shared" si="1"/>
        <v/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4" t="s">
        <v>23</v>
      </c>
      <c r="B11" s="4" t="s">
        <v>15</v>
      </c>
      <c r="C11" s="5">
        <v>188.45</v>
      </c>
      <c r="D11" s="4">
        <v>214.79</v>
      </c>
      <c r="E11" s="6"/>
      <c r="F11" s="5">
        <v>228.05</v>
      </c>
      <c r="G11" s="4">
        <v>179.65</v>
      </c>
      <c r="H11" s="7">
        <v>193.16</v>
      </c>
      <c r="I11" s="5">
        <v>193.97</v>
      </c>
      <c r="J11" s="4">
        <v>192.42</v>
      </c>
      <c r="K11" s="7">
        <v>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4" t="s">
        <v>23</v>
      </c>
      <c r="B12" s="4" t="s">
        <v>16</v>
      </c>
      <c r="C12" s="5">
        <v>30216.61</v>
      </c>
      <c r="D12" s="4">
        <v>19924.25</v>
      </c>
      <c r="E12" s="6"/>
      <c r="F12" s="5">
        <v>22951.43</v>
      </c>
      <c r="G12" s="4">
        <v>15872.35</v>
      </c>
      <c r="H12" s="7">
        <v>6432.39</v>
      </c>
      <c r="I12" s="5">
        <v>23354.45</v>
      </c>
      <c r="J12" s="4">
        <v>30200.92</v>
      </c>
      <c r="K12" s="7">
        <v>3.2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4" t="s">
        <v>23</v>
      </c>
      <c r="B13" s="4" t="s">
        <v>17</v>
      </c>
      <c r="C13" s="5">
        <v>767.38</v>
      </c>
      <c r="D13" s="4">
        <v>463.15</v>
      </c>
      <c r="E13" s="6"/>
      <c r="F13" s="5">
        <v>826.65</v>
      </c>
      <c r="G13" s="4">
        <v>733.01</v>
      </c>
      <c r="H13" s="7">
        <v>272.45</v>
      </c>
      <c r="I13" s="5">
        <v>691.99</v>
      </c>
      <c r="J13" s="4">
        <v>750.38</v>
      </c>
      <c r="K13" s="7">
        <v>45.61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8" t="s">
        <v>23</v>
      </c>
      <c r="B14" s="8" t="s">
        <v>18</v>
      </c>
      <c r="C14" s="9">
        <v>67</v>
      </c>
      <c r="D14" s="8">
        <v>76</v>
      </c>
      <c r="E14" s="10"/>
      <c r="F14" s="9">
        <v>45</v>
      </c>
      <c r="G14" s="8">
        <v>38</v>
      </c>
      <c r="H14" s="11">
        <v>43</v>
      </c>
      <c r="I14" s="9">
        <v>58</v>
      </c>
      <c r="J14" s="8">
        <v>64</v>
      </c>
      <c r="K14" s="11">
        <v>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2">
      <c r="A15" s="8" t="s">
        <v>23</v>
      </c>
      <c r="B15" s="8" t="s">
        <v>19</v>
      </c>
      <c r="C15" s="9">
        <v>252.63</v>
      </c>
      <c r="D15" s="8">
        <v>173.26</v>
      </c>
      <c r="E15" s="10"/>
      <c r="F15" s="9">
        <v>134.84</v>
      </c>
      <c r="G15" s="8">
        <v>114</v>
      </c>
      <c r="H15" s="11">
        <v>48.3</v>
      </c>
      <c r="I15" s="9">
        <v>189</v>
      </c>
      <c r="J15" s="8">
        <v>278.2</v>
      </c>
      <c r="K15" s="11">
        <v>0.4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2">
      <c r="A16" s="8" t="s">
        <v>23</v>
      </c>
      <c r="B16" s="8" t="s">
        <v>20</v>
      </c>
      <c r="C16" s="9">
        <v>160.34</v>
      </c>
      <c r="D16" s="8">
        <v>92.76</v>
      </c>
      <c r="E16" s="10"/>
      <c r="F16" s="9">
        <v>100.64</v>
      </c>
      <c r="G16" s="8">
        <v>88.35</v>
      </c>
      <c r="H16" s="11">
        <v>33.299999999999997</v>
      </c>
      <c r="I16" s="9">
        <v>120.4</v>
      </c>
      <c r="J16" s="8">
        <v>156.94999999999999</v>
      </c>
      <c r="K16" s="11">
        <v>0.4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2">
      <c r="A17" s="8" t="s">
        <v>23</v>
      </c>
      <c r="B17" s="8" t="s">
        <v>21</v>
      </c>
      <c r="C17" s="12">
        <f t="shared" ref="C17:K17" si="2">IFERROR(C15/C14,"")</f>
        <v>3.7705970149253729</v>
      </c>
      <c r="D17" s="12">
        <f t="shared" si="2"/>
        <v>2.2797368421052631</v>
      </c>
      <c r="E17" s="12" t="str">
        <f t="shared" si="2"/>
        <v/>
      </c>
      <c r="F17" s="12">
        <f t="shared" si="2"/>
        <v>2.9964444444444447</v>
      </c>
      <c r="G17" s="12">
        <f t="shared" si="2"/>
        <v>3</v>
      </c>
      <c r="H17" s="12">
        <f t="shared" si="2"/>
        <v>1.1232558139534883</v>
      </c>
      <c r="I17" s="12">
        <f t="shared" si="2"/>
        <v>3.2586206896551726</v>
      </c>
      <c r="J17" s="12">
        <f t="shared" si="2"/>
        <v>4.3468749999999998</v>
      </c>
      <c r="K17" s="12">
        <f t="shared" si="2"/>
        <v>0.4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8" t="s">
        <v>23</v>
      </c>
      <c r="B18" s="8" t="s">
        <v>22</v>
      </c>
      <c r="C18" s="12">
        <f t="shared" ref="C18:K18" si="3">IFERROR(C16/C14,"")</f>
        <v>2.3931343283582089</v>
      </c>
      <c r="D18" s="12">
        <f t="shared" si="3"/>
        <v>1.2205263157894737</v>
      </c>
      <c r="E18" s="12" t="str">
        <f t="shared" si="3"/>
        <v/>
      </c>
      <c r="F18" s="12">
        <f t="shared" si="3"/>
        <v>2.2364444444444445</v>
      </c>
      <c r="G18" s="12">
        <f t="shared" si="3"/>
        <v>2.3249999999999997</v>
      </c>
      <c r="H18" s="12">
        <f t="shared" si="3"/>
        <v>0.77441860465116275</v>
      </c>
      <c r="I18" s="12">
        <f t="shared" si="3"/>
        <v>2.0758620689655172</v>
      </c>
      <c r="J18" s="12">
        <f t="shared" si="3"/>
        <v>2.4523437499999998</v>
      </c>
      <c r="K18" s="12">
        <f t="shared" si="3"/>
        <v>0.4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4" t="s">
        <v>24</v>
      </c>
      <c r="B19" s="4" t="s">
        <v>15</v>
      </c>
      <c r="C19" s="5">
        <v>157.09</v>
      </c>
      <c r="D19" s="4">
        <v>187.77</v>
      </c>
      <c r="E19" s="6"/>
      <c r="F19" s="5">
        <v>232.33</v>
      </c>
      <c r="G19" s="4">
        <v>205.97</v>
      </c>
      <c r="H19" s="7">
        <v>223.07</v>
      </c>
      <c r="I19" s="5">
        <v>178.66</v>
      </c>
      <c r="J19" s="4">
        <v>210.76</v>
      </c>
      <c r="K19" s="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4" t="s">
        <v>24</v>
      </c>
      <c r="B20" s="4" t="s">
        <v>16</v>
      </c>
      <c r="C20" s="5">
        <v>12490.1</v>
      </c>
      <c r="D20" s="4">
        <v>17274.400000000001</v>
      </c>
      <c r="E20" s="6"/>
      <c r="F20" s="5">
        <v>31361.99</v>
      </c>
      <c r="G20" s="4">
        <v>15117.96</v>
      </c>
      <c r="H20" s="7">
        <v>6866.15</v>
      </c>
      <c r="I20" s="5">
        <v>39153.800000000003</v>
      </c>
      <c r="J20" s="4">
        <v>29853.51</v>
      </c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4" t="s">
        <v>24</v>
      </c>
      <c r="B21" s="4" t="s">
        <v>17</v>
      </c>
      <c r="C21" s="5">
        <v>419.15</v>
      </c>
      <c r="D21" s="4">
        <v>396.04</v>
      </c>
      <c r="E21" s="6"/>
      <c r="F21" s="5">
        <v>1146.19</v>
      </c>
      <c r="G21" s="4">
        <v>632.03</v>
      </c>
      <c r="H21" s="7">
        <v>306.06</v>
      </c>
      <c r="I21" s="5">
        <v>862.7</v>
      </c>
      <c r="J21" s="4">
        <v>855.76</v>
      </c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8" t="s">
        <v>24</v>
      </c>
      <c r="B22" s="8" t="s">
        <v>18</v>
      </c>
      <c r="C22" s="9">
        <v>59</v>
      </c>
      <c r="D22" s="8">
        <v>76</v>
      </c>
      <c r="E22" s="10"/>
      <c r="F22" s="9">
        <v>44</v>
      </c>
      <c r="G22" s="8">
        <v>41</v>
      </c>
      <c r="H22" s="11">
        <v>33</v>
      </c>
      <c r="I22" s="9">
        <v>529.11</v>
      </c>
      <c r="J22" s="8">
        <v>55</v>
      </c>
      <c r="K22" s="1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x14ac:dyDescent="0.2">
      <c r="A23" s="8" t="s">
        <v>24</v>
      </c>
      <c r="B23" s="8" t="s">
        <v>19</v>
      </c>
      <c r="C23" s="9">
        <v>170.82</v>
      </c>
      <c r="D23" s="8">
        <v>176.44</v>
      </c>
      <c r="E23" s="10"/>
      <c r="F23" s="9">
        <v>199.33</v>
      </c>
      <c r="G23" s="8">
        <v>101.3</v>
      </c>
      <c r="H23" s="11">
        <v>52.93</v>
      </c>
      <c r="I23" s="9">
        <v>288.35000000000002</v>
      </c>
      <c r="J23" s="8">
        <v>319.85000000000002</v>
      </c>
      <c r="K23" s="1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x14ac:dyDescent="0.2">
      <c r="A24" s="8" t="s">
        <v>24</v>
      </c>
      <c r="B24" s="8" t="s">
        <v>20</v>
      </c>
      <c r="C24" s="9">
        <v>79.510000000000005</v>
      </c>
      <c r="D24" s="8">
        <v>92</v>
      </c>
      <c r="E24" s="10"/>
      <c r="F24" s="9">
        <v>134.99</v>
      </c>
      <c r="G24" s="8">
        <v>73.400000000000006</v>
      </c>
      <c r="H24" s="11">
        <v>30.78</v>
      </c>
      <c r="I24" s="9">
        <v>219.15</v>
      </c>
      <c r="J24" s="8">
        <v>141.65</v>
      </c>
      <c r="K24" s="11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x14ac:dyDescent="0.2">
      <c r="A25" s="8" t="s">
        <v>24</v>
      </c>
      <c r="B25" s="8" t="s">
        <v>21</v>
      </c>
      <c r="C25" s="12">
        <f t="shared" ref="C25:K25" si="4">IFERROR(C23/C22,"")</f>
        <v>2.8952542372881354</v>
      </c>
      <c r="D25" s="12">
        <f t="shared" si="4"/>
        <v>2.3215789473684212</v>
      </c>
      <c r="E25" s="12" t="str">
        <f t="shared" si="4"/>
        <v/>
      </c>
      <c r="F25" s="12">
        <f t="shared" si="4"/>
        <v>4.5302272727272728</v>
      </c>
      <c r="G25" s="12">
        <f t="shared" si="4"/>
        <v>2.4707317073170731</v>
      </c>
      <c r="H25" s="12">
        <f t="shared" si="4"/>
        <v>1.603939393939394</v>
      </c>
      <c r="I25" s="12">
        <f t="shared" si="4"/>
        <v>0.5449717450057644</v>
      </c>
      <c r="J25" s="12">
        <f t="shared" si="4"/>
        <v>5.8154545454545454</v>
      </c>
      <c r="K25" s="12" t="str">
        <f t="shared" si="4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8" t="s">
        <v>24</v>
      </c>
      <c r="B26" s="8" t="s">
        <v>22</v>
      </c>
      <c r="C26" s="12">
        <f t="shared" ref="C26:K26" si="5">IFERROR(C24/C22,"")</f>
        <v>1.3476271186440678</v>
      </c>
      <c r="D26" s="12">
        <f t="shared" si="5"/>
        <v>1.2105263157894737</v>
      </c>
      <c r="E26" s="12" t="str">
        <f t="shared" si="5"/>
        <v/>
      </c>
      <c r="F26" s="12">
        <f t="shared" si="5"/>
        <v>3.0679545454545458</v>
      </c>
      <c r="G26" s="12">
        <f t="shared" si="5"/>
        <v>1.7902439024390244</v>
      </c>
      <c r="H26" s="12">
        <f t="shared" si="5"/>
        <v>0.93272727272727274</v>
      </c>
      <c r="I26" s="12">
        <f t="shared" si="5"/>
        <v>0.41418608606905938</v>
      </c>
      <c r="J26" s="12">
        <f t="shared" si="5"/>
        <v>2.5754545454545457</v>
      </c>
      <c r="K26" s="12" t="str">
        <f t="shared" si="5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4" t="s">
        <v>25</v>
      </c>
      <c r="B27" s="4" t="s">
        <v>15</v>
      </c>
      <c r="C27" s="5">
        <v>179.15</v>
      </c>
      <c r="D27" s="4">
        <v>201.17</v>
      </c>
      <c r="E27" s="6"/>
      <c r="F27" s="5">
        <v>226.45</v>
      </c>
      <c r="G27" s="4">
        <v>222.37</v>
      </c>
      <c r="H27" s="7">
        <v>195.57</v>
      </c>
      <c r="I27" s="5">
        <v>175.66</v>
      </c>
      <c r="J27" s="4">
        <v>178.95</v>
      </c>
      <c r="K27" s="7">
        <v>193.48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4" t="s">
        <v>25</v>
      </c>
      <c r="B28" s="4" t="s">
        <v>16</v>
      </c>
      <c r="C28" s="5">
        <v>25262.37</v>
      </c>
      <c r="D28" s="4">
        <v>13784.21</v>
      </c>
      <c r="E28" s="6"/>
      <c r="F28" s="5">
        <v>23847.08</v>
      </c>
      <c r="G28" s="4">
        <v>7193.53</v>
      </c>
      <c r="H28" s="7">
        <v>13879.65</v>
      </c>
      <c r="I28" s="5">
        <v>17539.490000000002</v>
      </c>
      <c r="J28" s="4">
        <v>35575.19</v>
      </c>
      <c r="K28" s="7">
        <v>251.52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4" t="s">
        <v>25</v>
      </c>
      <c r="B29" s="4" t="s">
        <v>17</v>
      </c>
      <c r="C29" s="5">
        <v>592.99</v>
      </c>
      <c r="D29" s="4">
        <v>425.97</v>
      </c>
      <c r="E29" s="6"/>
      <c r="F29" s="5">
        <v>1153.8</v>
      </c>
      <c r="G29" s="4">
        <v>855.06</v>
      </c>
      <c r="H29" s="7">
        <v>413.05</v>
      </c>
      <c r="I29" s="5">
        <v>604.1</v>
      </c>
      <c r="J29" s="4">
        <v>941.2</v>
      </c>
      <c r="K29" s="7">
        <v>540.5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8" t="s">
        <v>25</v>
      </c>
      <c r="B30" s="8" t="s">
        <v>18</v>
      </c>
      <c r="C30" s="9">
        <v>75</v>
      </c>
      <c r="D30" s="8">
        <v>56</v>
      </c>
      <c r="E30" s="10"/>
      <c r="F30" s="9">
        <v>34</v>
      </c>
      <c r="G30" s="8">
        <v>14</v>
      </c>
      <c r="H30" s="11">
        <v>59</v>
      </c>
      <c r="I30" s="9">
        <v>50</v>
      </c>
      <c r="J30" s="8">
        <v>64</v>
      </c>
      <c r="K30" s="11">
        <v>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x14ac:dyDescent="0.2">
      <c r="A31" s="8" t="s">
        <v>25</v>
      </c>
      <c r="B31" s="8" t="s">
        <v>19</v>
      </c>
      <c r="C31" s="9">
        <v>327.33</v>
      </c>
      <c r="D31" s="8">
        <v>209.24</v>
      </c>
      <c r="E31" s="10"/>
      <c r="F31" s="9">
        <v>150.33000000000001</v>
      </c>
      <c r="G31" s="8">
        <v>43.9</v>
      </c>
      <c r="H31" s="11">
        <v>107.02</v>
      </c>
      <c r="I31" s="9">
        <v>140.1</v>
      </c>
      <c r="J31" s="8">
        <v>336.19</v>
      </c>
      <c r="K31" s="11">
        <v>1.3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x14ac:dyDescent="0.2">
      <c r="A32" s="8" t="s">
        <v>25</v>
      </c>
      <c r="B32" s="8" t="s">
        <v>20</v>
      </c>
      <c r="C32" s="9">
        <v>141.01</v>
      </c>
      <c r="D32" s="8">
        <v>68.52</v>
      </c>
      <c r="E32" s="10"/>
      <c r="F32" s="9">
        <v>105.31</v>
      </c>
      <c r="G32" s="8">
        <v>32.35</v>
      </c>
      <c r="H32" s="11">
        <v>70.97</v>
      </c>
      <c r="I32" s="9">
        <v>99.85</v>
      </c>
      <c r="J32" s="8">
        <v>198.8</v>
      </c>
      <c r="K32" s="11">
        <v>1.3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x14ac:dyDescent="0.2">
      <c r="A33" s="8" t="s">
        <v>25</v>
      </c>
      <c r="B33" s="8" t="s">
        <v>21</v>
      </c>
      <c r="C33" s="12">
        <f t="shared" ref="C33:K33" si="6">IFERROR(C31/C30,"")</f>
        <v>4.3643999999999998</v>
      </c>
      <c r="D33" s="12">
        <f t="shared" si="6"/>
        <v>3.7364285714285717</v>
      </c>
      <c r="E33" s="12" t="str">
        <f t="shared" si="6"/>
        <v/>
      </c>
      <c r="F33" s="12">
        <f t="shared" si="6"/>
        <v>4.4214705882352945</v>
      </c>
      <c r="G33" s="12">
        <f t="shared" si="6"/>
        <v>3.1357142857142857</v>
      </c>
      <c r="H33" s="12">
        <f t="shared" si="6"/>
        <v>1.8138983050847457</v>
      </c>
      <c r="I33" s="12">
        <f t="shared" si="6"/>
        <v>2.802</v>
      </c>
      <c r="J33" s="12">
        <f t="shared" si="6"/>
        <v>5.25296875</v>
      </c>
      <c r="K33" s="12">
        <f t="shared" si="6"/>
        <v>1.3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8" t="s">
        <v>25</v>
      </c>
      <c r="B34" s="8" t="s">
        <v>22</v>
      </c>
      <c r="C34" s="12">
        <f t="shared" ref="C34:K34" si="7">IFERROR(C32/C30,"")</f>
        <v>1.8801333333333332</v>
      </c>
      <c r="D34" s="12">
        <f t="shared" si="7"/>
        <v>1.2235714285714285</v>
      </c>
      <c r="E34" s="12" t="str">
        <f t="shared" si="7"/>
        <v/>
      </c>
      <c r="F34" s="12">
        <f t="shared" si="7"/>
        <v>3.0973529411764709</v>
      </c>
      <c r="G34" s="12">
        <f t="shared" si="7"/>
        <v>2.3107142857142859</v>
      </c>
      <c r="H34" s="12">
        <f t="shared" si="7"/>
        <v>1.2028813559322034</v>
      </c>
      <c r="I34" s="12">
        <f t="shared" si="7"/>
        <v>1.9969999999999999</v>
      </c>
      <c r="J34" s="12">
        <f t="shared" si="7"/>
        <v>3.1062500000000002</v>
      </c>
      <c r="K34" s="12">
        <f t="shared" si="7"/>
        <v>1.3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4" t="s">
        <v>26</v>
      </c>
      <c r="B35" s="4" t="s">
        <v>15</v>
      </c>
      <c r="C35" s="5">
        <v>191.81</v>
      </c>
      <c r="D35" s="4">
        <v>209.89</v>
      </c>
      <c r="E35" s="6"/>
      <c r="F35" s="5">
        <v>228.84</v>
      </c>
      <c r="G35" s="4">
        <v>252.79</v>
      </c>
      <c r="H35" s="7">
        <v>192.07</v>
      </c>
      <c r="I35" s="5">
        <v>203.5</v>
      </c>
      <c r="J35" s="4">
        <v>187.94</v>
      </c>
      <c r="K35" s="7">
        <v>247.45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4" t="s">
        <v>26</v>
      </c>
      <c r="B36" s="4" t="s">
        <v>16</v>
      </c>
      <c r="C36" s="5">
        <v>21378.61</v>
      </c>
      <c r="D36" s="4">
        <v>18737.099999999999</v>
      </c>
      <c r="E36" s="6"/>
      <c r="F36" s="5">
        <v>24461.03</v>
      </c>
      <c r="G36" s="4">
        <v>13069.12</v>
      </c>
      <c r="H36" s="7">
        <v>8969.81</v>
      </c>
      <c r="I36" s="5">
        <v>36894.129999999997</v>
      </c>
      <c r="J36" s="4">
        <v>20757.46</v>
      </c>
      <c r="K36" s="7">
        <v>668.11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4" t="s">
        <v>26</v>
      </c>
      <c r="B37" s="4" t="s">
        <v>17</v>
      </c>
      <c r="C37" s="5">
        <v>514.91999999999996</v>
      </c>
      <c r="D37" s="4">
        <v>540.47</v>
      </c>
      <c r="E37" s="6"/>
      <c r="F37" s="5">
        <v>1078.99</v>
      </c>
      <c r="G37" s="4">
        <v>880.7</v>
      </c>
      <c r="H37" s="7">
        <v>399.08</v>
      </c>
      <c r="I37" s="5">
        <v>965.5</v>
      </c>
      <c r="J37" s="4">
        <v>718.6</v>
      </c>
      <c r="K37" s="7">
        <v>1465.19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8" t="s">
        <v>26</v>
      </c>
      <c r="B38" s="8" t="s">
        <v>18</v>
      </c>
      <c r="C38" s="9">
        <v>74</v>
      </c>
      <c r="D38" s="8">
        <v>58</v>
      </c>
      <c r="E38" s="10"/>
      <c r="F38" s="9">
        <v>37</v>
      </c>
      <c r="G38" s="8">
        <v>23</v>
      </c>
      <c r="H38" s="11">
        <v>37</v>
      </c>
      <c r="I38" s="9">
        <v>63</v>
      </c>
      <c r="J38" s="8">
        <v>47</v>
      </c>
      <c r="K38" s="11">
        <v>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x14ac:dyDescent="0.2">
      <c r="A39" s="8" t="s">
        <v>26</v>
      </c>
      <c r="B39" s="8" t="s">
        <v>19</v>
      </c>
      <c r="C39" s="9">
        <v>294.74</v>
      </c>
      <c r="D39" s="8">
        <v>238.27</v>
      </c>
      <c r="E39" s="10"/>
      <c r="F39" s="9">
        <v>155.18</v>
      </c>
      <c r="G39" s="8">
        <v>94.2</v>
      </c>
      <c r="H39" s="11">
        <v>85.75</v>
      </c>
      <c r="I39" s="9">
        <v>306.75</v>
      </c>
      <c r="J39" s="8">
        <v>215.15</v>
      </c>
      <c r="K39" s="11">
        <v>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x14ac:dyDescent="0.2">
      <c r="A40" s="8" t="s">
        <v>26</v>
      </c>
      <c r="B40" s="8" t="s">
        <v>20</v>
      </c>
      <c r="C40" s="9">
        <v>111.46</v>
      </c>
      <c r="D40" s="8">
        <v>89.27</v>
      </c>
      <c r="E40" s="10"/>
      <c r="F40" s="9">
        <v>106.89</v>
      </c>
      <c r="G40" s="8">
        <v>51.7</v>
      </c>
      <c r="H40" s="11">
        <v>46.7</v>
      </c>
      <c r="I40" s="9">
        <v>181.3</v>
      </c>
      <c r="J40" s="8">
        <v>110.45</v>
      </c>
      <c r="K40" s="11">
        <v>2.7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2">
      <c r="A41" s="8" t="s">
        <v>26</v>
      </c>
      <c r="B41" s="8" t="s">
        <v>21</v>
      </c>
      <c r="C41" s="12">
        <f t="shared" ref="C41:K41" si="8">IFERROR(C39/C38,"")</f>
        <v>3.982972972972973</v>
      </c>
      <c r="D41" s="12">
        <f t="shared" si="8"/>
        <v>4.1081034482758625</v>
      </c>
      <c r="E41" s="12" t="str">
        <f t="shared" si="8"/>
        <v/>
      </c>
      <c r="F41" s="12">
        <f t="shared" si="8"/>
        <v>4.1940540540540541</v>
      </c>
      <c r="G41" s="12">
        <f t="shared" si="8"/>
        <v>4.0956521739130434</v>
      </c>
      <c r="H41" s="12">
        <f t="shared" si="8"/>
        <v>2.3175675675675675</v>
      </c>
      <c r="I41" s="12">
        <f t="shared" si="8"/>
        <v>4.8690476190476186</v>
      </c>
      <c r="J41" s="12">
        <f t="shared" si="8"/>
        <v>4.5776595744680852</v>
      </c>
      <c r="K41" s="12">
        <f t="shared" si="8"/>
        <v>4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8" t="s">
        <v>26</v>
      </c>
      <c r="B42" s="8" t="s">
        <v>22</v>
      </c>
      <c r="C42" s="12">
        <f t="shared" ref="C42:K42" si="9">IFERROR(C40/C38,"")</f>
        <v>1.506216216216216</v>
      </c>
      <c r="D42" s="12">
        <f t="shared" si="9"/>
        <v>1.5391379310344826</v>
      </c>
      <c r="E42" s="12" t="str">
        <f t="shared" si="9"/>
        <v/>
      </c>
      <c r="F42" s="12">
        <f t="shared" si="9"/>
        <v>2.8889189189189191</v>
      </c>
      <c r="G42" s="12">
        <f t="shared" si="9"/>
        <v>2.2478260869565219</v>
      </c>
      <c r="H42" s="12">
        <f t="shared" si="9"/>
        <v>1.2621621621621621</v>
      </c>
      <c r="I42" s="12">
        <f t="shared" si="9"/>
        <v>2.8777777777777778</v>
      </c>
      <c r="J42" s="12">
        <f t="shared" si="9"/>
        <v>2.35</v>
      </c>
      <c r="K42" s="12">
        <f t="shared" si="9"/>
        <v>2.7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4" t="s">
        <v>27</v>
      </c>
      <c r="B43" s="4" t="s">
        <v>15</v>
      </c>
      <c r="C43" s="5">
        <v>197.85</v>
      </c>
      <c r="D43" s="4">
        <v>236.38</v>
      </c>
      <c r="E43" s="7"/>
      <c r="F43" s="5">
        <v>245.17</v>
      </c>
      <c r="G43" s="4">
        <v>206.25</v>
      </c>
      <c r="H43" s="7">
        <v>190.09</v>
      </c>
      <c r="I43" s="5">
        <v>184.47</v>
      </c>
      <c r="J43" s="4">
        <v>181.93</v>
      </c>
      <c r="K43" s="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4" t="s">
        <v>27</v>
      </c>
      <c r="B44" s="4" t="s">
        <v>16</v>
      </c>
      <c r="C44" s="5">
        <v>24112.15</v>
      </c>
      <c r="D44" s="4">
        <v>23702.01</v>
      </c>
      <c r="E44" s="7"/>
      <c r="F44" s="5">
        <v>21035.55</v>
      </c>
      <c r="G44" s="4">
        <v>15386.16</v>
      </c>
      <c r="H44" s="7">
        <v>4303.63</v>
      </c>
      <c r="I44" s="5">
        <v>29348.43</v>
      </c>
      <c r="J44" s="4">
        <v>21203.74</v>
      </c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4" t="s">
        <v>27</v>
      </c>
      <c r="B45" s="4" t="s">
        <v>17</v>
      </c>
      <c r="C45" s="5">
        <v>517.22</v>
      </c>
      <c r="D45" s="4">
        <v>353.76</v>
      </c>
      <c r="E45" s="7"/>
      <c r="F45" s="5">
        <v>1210.22</v>
      </c>
      <c r="G45" s="4">
        <v>956.56</v>
      </c>
      <c r="H45" s="7">
        <v>250.88</v>
      </c>
      <c r="I45" s="5">
        <v>723.62</v>
      </c>
      <c r="J45" s="4">
        <v>645.52</v>
      </c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8" t="s">
        <v>27</v>
      </c>
      <c r="B46" s="8" t="s">
        <v>18</v>
      </c>
      <c r="C46" s="9">
        <v>75</v>
      </c>
      <c r="D46" s="8">
        <v>67</v>
      </c>
      <c r="E46" s="11"/>
      <c r="F46" s="9">
        <v>29</v>
      </c>
      <c r="G46" s="8">
        <v>27</v>
      </c>
      <c r="H46" s="11">
        <v>31</v>
      </c>
      <c r="I46" s="9">
        <v>65</v>
      </c>
      <c r="J46" s="8">
        <v>53</v>
      </c>
      <c r="K46" s="11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x14ac:dyDescent="0.2">
      <c r="A47" s="8" t="s">
        <v>27</v>
      </c>
      <c r="B47" s="8" t="s">
        <v>19</v>
      </c>
      <c r="C47" s="9">
        <v>312.54000000000002</v>
      </c>
      <c r="D47" s="8">
        <v>260.11</v>
      </c>
      <c r="E47" s="11"/>
      <c r="F47" s="9">
        <v>126.45</v>
      </c>
      <c r="G47" s="8">
        <v>89.3</v>
      </c>
      <c r="H47" s="11">
        <v>46.09</v>
      </c>
      <c r="I47" s="9">
        <v>307.3</v>
      </c>
      <c r="J47" s="8">
        <v>285.39999999999998</v>
      </c>
      <c r="K47" s="11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x14ac:dyDescent="0.2">
      <c r="A48" s="8" t="s">
        <v>27</v>
      </c>
      <c r="B48" s="8" t="s">
        <v>20</v>
      </c>
      <c r="C48" s="9">
        <v>121.87</v>
      </c>
      <c r="D48" s="8">
        <v>100.27</v>
      </c>
      <c r="E48" s="11"/>
      <c r="F48" s="9">
        <v>85.8</v>
      </c>
      <c r="G48" s="8">
        <v>74.599999999999994</v>
      </c>
      <c r="H48" s="11">
        <v>22.64</v>
      </c>
      <c r="I48" s="9">
        <v>159.1</v>
      </c>
      <c r="J48" s="8">
        <v>116.55</v>
      </c>
      <c r="K48" s="11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x14ac:dyDescent="0.2">
      <c r="A49" s="8" t="s">
        <v>27</v>
      </c>
      <c r="B49" s="8" t="s">
        <v>21</v>
      </c>
      <c r="C49" s="12">
        <f t="shared" ref="C49:K49" si="10">IFERROR(C47/C46,"")</f>
        <v>4.1672000000000002</v>
      </c>
      <c r="D49" s="12">
        <f t="shared" si="10"/>
        <v>3.8822388059701494</v>
      </c>
      <c r="E49" s="12" t="str">
        <f t="shared" si="10"/>
        <v/>
      </c>
      <c r="F49" s="12">
        <f t="shared" si="10"/>
        <v>4.3603448275862071</v>
      </c>
      <c r="G49" s="12">
        <f t="shared" si="10"/>
        <v>3.3074074074074074</v>
      </c>
      <c r="H49" s="12">
        <f t="shared" si="10"/>
        <v>1.4867741935483871</v>
      </c>
      <c r="I49" s="12">
        <f t="shared" si="10"/>
        <v>4.7276923076923083</v>
      </c>
      <c r="J49" s="12">
        <f t="shared" si="10"/>
        <v>5.384905660377358</v>
      </c>
      <c r="K49" s="12" t="str">
        <f t="shared" si="1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8" t="s">
        <v>27</v>
      </c>
      <c r="B50" s="8" t="s">
        <v>22</v>
      </c>
      <c r="C50" s="12">
        <f t="shared" ref="C50:K50" si="11">IFERROR(C48/C46,"")</f>
        <v>1.6249333333333333</v>
      </c>
      <c r="D50" s="12">
        <f t="shared" si="11"/>
        <v>1.4965671641791045</v>
      </c>
      <c r="E50" s="12" t="str">
        <f t="shared" si="11"/>
        <v/>
      </c>
      <c r="F50" s="12">
        <f t="shared" si="11"/>
        <v>2.9586206896551723</v>
      </c>
      <c r="G50" s="12">
        <f t="shared" si="11"/>
        <v>2.7629629629629626</v>
      </c>
      <c r="H50" s="12">
        <f t="shared" si="11"/>
        <v>0.73032258064516131</v>
      </c>
      <c r="I50" s="12">
        <f t="shared" si="11"/>
        <v>2.4476923076923076</v>
      </c>
      <c r="J50" s="12">
        <f t="shared" si="11"/>
        <v>2.199056603773585</v>
      </c>
      <c r="K50" s="12" t="str">
        <f t="shared" si="11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4" t="s">
        <v>28</v>
      </c>
      <c r="B51" s="4" t="s">
        <v>15</v>
      </c>
      <c r="C51" s="5">
        <v>172.41</v>
      </c>
      <c r="D51" s="4">
        <v>206.93</v>
      </c>
      <c r="E51" s="7"/>
      <c r="F51" s="5">
        <v>226.23</v>
      </c>
      <c r="G51" s="4">
        <v>217.22</v>
      </c>
      <c r="H51" s="7">
        <v>216.18</v>
      </c>
      <c r="I51" s="5">
        <v>166.25</v>
      </c>
      <c r="J51" s="4">
        <v>211.54</v>
      </c>
      <c r="K51" s="7">
        <v>192.5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4" t="s">
        <v>28</v>
      </c>
      <c r="B52" s="4" t="s">
        <v>16</v>
      </c>
      <c r="C52" s="5">
        <v>7775.75</v>
      </c>
      <c r="D52" s="4">
        <v>9421.57</v>
      </c>
      <c r="E52" s="7"/>
      <c r="F52" s="5">
        <v>20865.55</v>
      </c>
      <c r="G52" s="4">
        <v>6245.13</v>
      </c>
      <c r="H52" s="7">
        <v>15737.99</v>
      </c>
      <c r="I52" s="5">
        <v>30181.91</v>
      </c>
      <c r="J52" s="4">
        <v>37336.089999999997</v>
      </c>
      <c r="K52" s="7">
        <v>38.5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4" t="s">
        <v>28</v>
      </c>
      <c r="B53" s="4" t="s">
        <v>17</v>
      </c>
      <c r="C53" s="5">
        <v>542.30999999999995</v>
      </c>
      <c r="D53" s="4">
        <v>317.35000000000002</v>
      </c>
      <c r="E53" s="7"/>
      <c r="F53" s="5">
        <v>1400.67</v>
      </c>
      <c r="G53" s="4">
        <v>637.09</v>
      </c>
      <c r="H53" s="7">
        <v>553.47</v>
      </c>
      <c r="I53" s="5">
        <v>841.53</v>
      </c>
      <c r="J53" s="4">
        <v>982.38</v>
      </c>
      <c r="K53" s="7">
        <v>69.8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8" t="s">
        <v>28</v>
      </c>
      <c r="B54" s="8" t="s">
        <v>18</v>
      </c>
      <c r="C54" s="9">
        <v>24</v>
      </c>
      <c r="D54" s="8">
        <v>52</v>
      </c>
      <c r="E54" s="11"/>
      <c r="F54" s="9">
        <v>25</v>
      </c>
      <c r="G54" s="8">
        <v>17</v>
      </c>
      <c r="H54" s="11">
        <v>47</v>
      </c>
      <c r="I54" s="9">
        <v>62</v>
      </c>
      <c r="J54" s="8">
        <v>59</v>
      </c>
      <c r="K54" s="11">
        <v>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x14ac:dyDescent="0.2">
      <c r="A55" s="8" t="s">
        <v>28</v>
      </c>
      <c r="B55" s="8" t="s">
        <v>19</v>
      </c>
      <c r="C55" s="9">
        <v>74.25</v>
      </c>
      <c r="D55" s="8">
        <v>115.43</v>
      </c>
      <c r="E55" s="11"/>
      <c r="F55" s="9">
        <v>127.13</v>
      </c>
      <c r="G55" s="8">
        <v>44</v>
      </c>
      <c r="H55" s="11">
        <v>135.30000000000001</v>
      </c>
      <c r="I55" s="9">
        <v>286.25</v>
      </c>
      <c r="J55" s="8">
        <v>361.55</v>
      </c>
      <c r="K55" s="11">
        <v>3.95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x14ac:dyDescent="0.2">
      <c r="A56" s="8" t="s">
        <v>28</v>
      </c>
      <c r="B56" s="8" t="s">
        <v>20</v>
      </c>
      <c r="C56" s="9">
        <v>45.1</v>
      </c>
      <c r="D56" s="8">
        <v>45.53</v>
      </c>
      <c r="E56" s="11"/>
      <c r="F56" s="9">
        <v>92.23</v>
      </c>
      <c r="G56" s="8">
        <v>28.75</v>
      </c>
      <c r="H56" s="11">
        <v>72.8</v>
      </c>
      <c r="I56" s="9">
        <v>181.55</v>
      </c>
      <c r="J56" s="8">
        <v>176.5</v>
      </c>
      <c r="K56" s="11">
        <v>0.2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x14ac:dyDescent="0.2">
      <c r="A57" s="8" t="s">
        <v>28</v>
      </c>
      <c r="B57" s="8" t="s">
        <v>21</v>
      </c>
      <c r="C57" s="12">
        <f t="shared" ref="C57:K57" si="12">IFERROR(C55/C54,"")</f>
        <v>3.09375</v>
      </c>
      <c r="D57" s="12">
        <f t="shared" si="12"/>
        <v>2.2198076923076924</v>
      </c>
      <c r="E57" s="12" t="str">
        <f t="shared" si="12"/>
        <v/>
      </c>
      <c r="F57" s="12">
        <f t="shared" si="12"/>
        <v>5.0851999999999995</v>
      </c>
      <c r="G57" s="12">
        <f t="shared" si="12"/>
        <v>2.5882352941176472</v>
      </c>
      <c r="H57" s="12">
        <f t="shared" si="12"/>
        <v>2.8787234042553194</v>
      </c>
      <c r="I57" s="12">
        <f t="shared" si="12"/>
        <v>4.616935483870968</v>
      </c>
      <c r="J57" s="12">
        <f t="shared" si="12"/>
        <v>6.1279661016949154</v>
      </c>
      <c r="K57" s="12">
        <f t="shared" si="12"/>
        <v>3.95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8" t="s">
        <v>28</v>
      </c>
      <c r="B58" s="8" t="s">
        <v>22</v>
      </c>
      <c r="C58" s="12">
        <f t="shared" ref="C58:K58" si="13">IFERROR(C56/C54,"")</f>
        <v>1.8791666666666667</v>
      </c>
      <c r="D58" s="12">
        <f t="shared" si="13"/>
        <v>0.87557692307692314</v>
      </c>
      <c r="E58" s="12" t="str">
        <f t="shared" si="13"/>
        <v/>
      </c>
      <c r="F58" s="12">
        <f t="shared" si="13"/>
        <v>3.6892</v>
      </c>
      <c r="G58" s="12">
        <f t="shared" si="13"/>
        <v>1.6911764705882353</v>
      </c>
      <c r="H58" s="12">
        <f t="shared" si="13"/>
        <v>1.548936170212766</v>
      </c>
      <c r="I58" s="12">
        <f t="shared" si="13"/>
        <v>2.9282258064516129</v>
      </c>
      <c r="J58" s="12">
        <f t="shared" si="13"/>
        <v>2.9915254237288136</v>
      </c>
      <c r="K58" s="12">
        <f t="shared" si="13"/>
        <v>0.2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4" t="s">
        <v>29</v>
      </c>
      <c r="B59" s="4" t="s">
        <v>15</v>
      </c>
      <c r="C59" s="5">
        <v>189.18</v>
      </c>
      <c r="D59" s="4">
        <v>213.22</v>
      </c>
      <c r="E59" s="7">
        <v>133.11000000000001</v>
      </c>
      <c r="F59" s="5">
        <v>233.98</v>
      </c>
      <c r="G59" s="4">
        <v>237.49</v>
      </c>
      <c r="H59" s="7">
        <v>171.83</v>
      </c>
      <c r="I59" s="5">
        <v>192.23</v>
      </c>
      <c r="J59" s="4">
        <v>190.69</v>
      </c>
      <c r="K59" s="7">
        <v>175.95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4" t="s">
        <v>29</v>
      </c>
      <c r="B60" s="4" t="s">
        <v>16</v>
      </c>
      <c r="C60" s="5">
        <v>22265.96</v>
      </c>
      <c r="D60" s="4">
        <v>18891.57</v>
      </c>
      <c r="E60" s="7">
        <v>119.8</v>
      </c>
      <c r="F60" s="5">
        <v>21917.08</v>
      </c>
      <c r="G60" s="4">
        <v>34159.74</v>
      </c>
      <c r="H60" s="7">
        <v>5749.47</v>
      </c>
      <c r="I60" s="5">
        <v>43068.800000000003</v>
      </c>
      <c r="J60" s="4">
        <v>39406.65</v>
      </c>
      <c r="K60" s="7">
        <v>35.19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4" t="s">
        <v>29</v>
      </c>
      <c r="B61" s="4" t="s">
        <v>17</v>
      </c>
      <c r="C61" s="5">
        <v>475.52</v>
      </c>
      <c r="D61" s="4">
        <v>557.46</v>
      </c>
      <c r="E61" s="7">
        <v>299.58999999999997</v>
      </c>
      <c r="F61" s="5">
        <v>1002.55</v>
      </c>
      <c r="G61" s="4">
        <v>1080.1400000000001</v>
      </c>
      <c r="H61" s="7">
        <v>223.17</v>
      </c>
      <c r="I61" s="5">
        <v>885.31</v>
      </c>
      <c r="J61" s="4">
        <v>1121.5999999999999</v>
      </c>
      <c r="K61" s="7">
        <v>64.989999999999995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8" t="s">
        <v>29</v>
      </c>
      <c r="B62" s="8" t="s">
        <v>18</v>
      </c>
      <c r="C62" s="9">
        <v>85</v>
      </c>
      <c r="D62" s="8">
        <v>55</v>
      </c>
      <c r="E62" s="11">
        <v>1</v>
      </c>
      <c r="F62" s="9">
        <v>34</v>
      </c>
      <c r="G62" s="8">
        <v>50</v>
      </c>
      <c r="H62" s="11">
        <v>49</v>
      </c>
      <c r="I62" s="9">
        <v>80</v>
      </c>
      <c r="J62" s="8">
        <v>57</v>
      </c>
      <c r="K62" s="11">
        <v>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x14ac:dyDescent="0.2">
      <c r="A63" s="8" t="s">
        <v>29</v>
      </c>
      <c r="B63" s="8" t="s">
        <v>19</v>
      </c>
      <c r="C63" s="9">
        <v>239.1</v>
      </c>
      <c r="D63" s="8">
        <v>236.5</v>
      </c>
      <c r="E63" s="11">
        <v>0.9</v>
      </c>
      <c r="F63" s="9">
        <v>127.67</v>
      </c>
      <c r="G63" s="8">
        <v>195.3</v>
      </c>
      <c r="H63" s="11">
        <v>57.41</v>
      </c>
      <c r="I63" s="9">
        <v>347.85</v>
      </c>
      <c r="J63" s="8">
        <v>377.3</v>
      </c>
      <c r="K63" s="11">
        <v>0.2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x14ac:dyDescent="0.2">
      <c r="A64" s="8" t="s">
        <v>29</v>
      </c>
      <c r="B64" s="8" t="s">
        <v>20</v>
      </c>
      <c r="C64" s="9">
        <v>117.7</v>
      </c>
      <c r="D64" s="8">
        <v>88.6</v>
      </c>
      <c r="E64" s="11">
        <v>0.9</v>
      </c>
      <c r="F64" s="9">
        <v>93.67</v>
      </c>
      <c r="G64" s="8">
        <v>142.44999999999999</v>
      </c>
      <c r="H64" s="11">
        <v>33.46</v>
      </c>
      <c r="I64" s="9">
        <v>224.05</v>
      </c>
      <c r="J64" s="8">
        <v>206.65</v>
      </c>
      <c r="K64" s="11">
        <v>0.2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x14ac:dyDescent="0.2">
      <c r="A65" s="8" t="s">
        <v>29</v>
      </c>
      <c r="B65" s="8" t="s">
        <v>21</v>
      </c>
      <c r="C65" s="12">
        <f t="shared" ref="C65:K65" si="14">IFERROR(C63/C62,"")</f>
        <v>2.8129411764705883</v>
      </c>
      <c r="D65" s="12">
        <f t="shared" si="14"/>
        <v>4.3</v>
      </c>
      <c r="E65" s="12">
        <f t="shared" si="14"/>
        <v>0.9</v>
      </c>
      <c r="F65" s="12">
        <f t="shared" si="14"/>
        <v>3.7549999999999999</v>
      </c>
      <c r="G65" s="12">
        <f t="shared" si="14"/>
        <v>3.9060000000000001</v>
      </c>
      <c r="H65" s="12">
        <f t="shared" si="14"/>
        <v>1.1716326530612244</v>
      </c>
      <c r="I65" s="12">
        <f t="shared" si="14"/>
        <v>4.3481250000000005</v>
      </c>
      <c r="J65" s="12">
        <f t="shared" si="14"/>
        <v>6.6192982456140355</v>
      </c>
      <c r="K65" s="12">
        <f t="shared" si="14"/>
        <v>0.2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8" t="s">
        <v>29</v>
      </c>
      <c r="B66" s="8" t="s">
        <v>22</v>
      </c>
      <c r="C66" s="12">
        <f t="shared" ref="C66:K66" si="15">IFERROR(C64/C62,"")</f>
        <v>1.3847058823529412</v>
      </c>
      <c r="D66" s="12">
        <f t="shared" si="15"/>
        <v>1.6109090909090908</v>
      </c>
      <c r="E66" s="12">
        <f t="shared" si="15"/>
        <v>0.9</v>
      </c>
      <c r="F66" s="12">
        <f t="shared" si="15"/>
        <v>2.7549999999999999</v>
      </c>
      <c r="G66" s="12">
        <f t="shared" si="15"/>
        <v>2.8489999999999998</v>
      </c>
      <c r="H66" s="12">
        <f t="shared" si="15"/>
        <v>0.68285714285714283</v>
      </c>
      <c r="I66" s="12">
        <f t="shared" si="15"/>
        <v>2.8006250000000001</v>
      </c>
      <c r="J66" s="12">
        <f t="shared" si="15"/>
        <v>3.6254385964912283</v>
      </c>
      <c r="K66" s="12">
        <f t="shared" si="15"/>
        <v>0.2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4" t="s">
        <v>30</v>
      </c>
      <c r="B67" s="4" t="s">
        <v>15</v>
      </c>
      <c r="C67" s="5">
        <v>194.65</v>
      </c>
      <c r="D67" s="4">
        <v>193.02</v>
      </c>
      <c r="E67" s="7"/>
      <c r="F67" s="5">
        <v>239.19</v>
      </c>
      <c r="G67" s="4">
        <v>209.7</v>
      </c>
      <c r="H67" s="7">
        <v>166.47</v>
      </c>
      <c r="I67" s="5">
        <v>175.63</v>
      </c>
      <c r="J67" s="4">
        <v>216.65</v>
      </c>
      <c r="K67" s="7">
        <v>248.13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4" t="s">
        <v>30</v>
      </c>
      <c r="B68" s="4" t="s">
        <v>16</v>
      </c>
      <c r="C68" s="5">
        <v>29394.11</v>
      </c>
      <c r="D68" s="4">
        <v>9554.64</v>
      </c>
      <c r="E68" s="7"/>
      <c r="F68" s="5">
        <v>17795.82</v>
      </c>
      <c r="G68" s="4">
        <v>13892.66</v>
      </c>
      <c r="H68" s="7">
        <v>8140.57</v>
      </c>
      <c r="I68" s="5">
        <v>62508.62</v>
      </c>
      <c r="J68" s="4">
        <v>28836.66</v>
      </c>
      <c r="K68" s="7">
        <v>1215.82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4" t="s">
        <v>30</v>
      </c>
      <c r="B69" s="4" t="s">
        <v>17</v>
      </c>
      <c r="C69" s="5">
        <v>638.55999999999995</v>
      </c>
      <c r="D69" s="4">
        <v>492.05</v>
      </c>
      <c r="E69" s="7"/>
      <c r="F69" s="5">
        <v>1087.8900000000001</v>
      </c>
      <c r="G69" s="4">
        <v>752.76</v>
      </c>
      <c r="H69" s="7">
        <v>285.51</v>
      </c>
      <c r="I69" s="5">
        <v>794.15</v>
      </c>
      <c r="J69" s="4">
        <v>692.5</v>
      </c>
      <c r="K69" s="7">
        <v>1316.12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8" t="s">
        <v>30</v>
      </c>
      <c r="B70" s="8" t="s">
        <v>18</v>
      </c>
      <c r="C70" s="9">
        <v>78</v>
      </c>
      <c r="D70" s="8">
        <v>32</v>
      </c>
      <c r="E70" s="11"/>
      <c r="F70" s="9">
        <v>26</v>
      </c>
      <c r="G70" s="8">
        <v>30</v>
      </c>
      <c r="H70" s="11">
        <v>47</v>
      </c>
      <c r="I70" s="9">
        <v>72</v>
      </c>
      <c r="J70" s="8">
        <v>69</v>
      </c>
      <c r="K70" s="11">
        <v>2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x14ac:dyDescent="0.2">
      <c r="A71" s="8" t="s">
        <v>30</v>
      </c>
      <c r="B71" s="8" t="s">
        <v>19</v>
      </c>
      <c r="C71" s="9">
        <v>241.97</v>
      </c>
      <c r="D71" s="8">
        <v>107.63</v>
      </c>
      <c r="E71" s="11"/>
      <c r="F71" s="9">
        <v>93.45</v>
      </c>
      <c r="G71" s="8">
        <v>108.3</v>
      </c>
      <c r="H71" s="11">
        <v>65.2</v>
      </c>
      <c r="I71" s="9">
        <v>301.75</v>
      </c>
      <c r="J71" s="8">
        <v>355.65</v>
      </c>
      <c r="K71" s="11">
        <v>9.4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x14ac:dyDescent="0.2">
      <c r="A72" s="8" t="s">
        <v>30</v>
      </c>
      <c r="B72" s="8" t="s">
        <v>20</v>
      </c>
      <c r="C72" s="9">
        <v>151.01</v>
      </c>
      <c r="D72" s="8">
        <v>49.5</v>
      </c>
      <c r="E72" s="11"/>
      <c r="F72" s="9">
        <v>74.400000000000006</v>
      </c>
      <c r="G72" s="8">
        <v>66.25</v>
      </c>
      <c r="H72" s="11">
        <v>48.9</v>
      </c>
      <c r="I72" s="9">
        <v>185.1</v>
      </c>
      <c r="J72" s="8">
        <v>133.1</v>
      </c>
      <c r="K72" s="11">
        <v>4.9000000000000004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x14ac:dyDescent="0.2">
      <c r="A73" s="8" t="s">
        <v>30</v>
      </c>
      <c r="B73" s="8" t="s">
        <v>21</v>
      </c>
      <c r="C73" s="12">
        <f t="shared" ref="C73:K73" si="16">IFERROR(C71/C70,"")</f>
        <v>3.102179487179487</v>
      </c>
      <c r="D73" s="12">
        <f t="shared" si="16"/>
        <v>3.3634374999999999</v>
      </c>
      <c r="E73" s="12" t="str">
        <f t="shared" si="16"/>
        <v/>
      </c>
      <c r="F73" s="12">
        <f t="shared" si="16"/>
        <v>3.5942307692307693</v>
      </c>
      <c r="G73" s="12">
        <f t="shared" si="16"/>
        <v>3.61</v>
      </c>
      <c r="H73" s="12">
        <f t="shared" si="16"/>
        <v>1.3872340425531915</v>
      </c>
      <c r="I73" s="12">
        <f t="shared" si="16"/>
        <v>4.1909722222222223</v>
      </c>
      <c r="J73" s="12">
        <f t="shared" si="16"/>
        <v>5.1543478260869566</v>
      </c>
      <c r="K73" s="12">
        <f t="shared" si="16"/>
        <v>4.7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8" t="s">
        <v>30</v>
      </c>
      <c r="B74" s="8" t="s">
        <v>22</v>
      </c>
      <c r="C74" s="12">
        <f t="shared" ref="C74:K74" si="17">IFERROR(C72/C70,"")</f>
        <v>1.9360256410256409</v>
      </c>
      <c r="D74" s="12">
        <f t="shared" si="17"/>
        <v>1.546875</v>
      </c>
      <c r="E74" s="12" t="str">
        <f t="shared" si="17"/>
        <v/>
      </c>
      <c r="F74" s="12">
        <f t="shared" si="17"/>
        <v>2.8615384615384616</v>
      </c>
      <c r="G74" s="12">
        <f t="shared" si="17"/>
        <v>2.2083333333333335</v>
      </c>
      <c r="H74" s="12">
        <f t="shared" si="17"/>
        <v>1.0404255319148936</v>
      </c>
      <c r="I74" s="12">
        <f t="shared" si="17"/>
        <v>2.5708333333333333</v>
      </c>
      <c r="J74" s="12">
        <f t="shared" si="17"/>
        <v>1.9289855072463766</v>
      </c>
      <c r="K74" s="12">
        <f t="shared" si="17"/>
        <v>2.4500000000000002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4" t="s">
        <v>31</v>
      </c>
      <c r="B75" s="4" t="s">
        <v>15</v>
      </c>
      <c r="C75" s="5">
        <v>190.84</v>
      </c>
      <c r="D75" s="4">
        <v>595.27</v>
      </c>
      <c r="E75" s="7"/>
      <c r="F75" s="5">
        <v>205.59</v>
      </c>
      <c r="G75" s="4">
        <v>215.94</v>
      </c>
      <c r="H75" s="7">
        <v>222.51</v>
      </c>
      <c r="I75" s="5">
        <v>183.82</v>
      </c>
      <c r="J75" s="4">
        <v>205.83</v>
      </c>
      <c r="K75" s="7">
        <v>219.84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4" t="s">
        <v>31</v>
      </c>
      <c r="B76" s="4" t="s">
        <v>16</v>
      </c>
      <c r="C76" s="5">
        <v>23401.34</v>
      </c>
      <c r="D76" s="4">
        <v>18412.37</v>
      </c>
      <c r="E76" s="7"/>
      <c r="F76" s="5">
        <v>17830.89</v>
      </c>
      <c r="G76" s="4">
        <v>14699.18</v>
      </c>
      <c r="H76" s="7">
        <v>5651.81</v>
      </c>
      <c r="I76" s="5">
        <v>37564.370000000003</v>
      </c>
      <c r="J76" s="4">
        <v>29391.82</v>
      </c>
      <c r="K76" s="7">
        <v>571.59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4" t="s">
        <v>31</v>
      </c>
      <c r="B77" s="4" t="s">
        <v>17</v>
      </c>
      <c r="C77" s="5">
        <v>538.16999999999996</v>
      </c>
      <c r="D77" s="4">
        <v>595.27</v>
      </c>
      <c r="E77" s="7"/>
      <c r="F77" s="5">
        <v>745.77</v>
      </c>
      <c r="G77" s="4">
        <v>697.21</v>
      </c>
      <c r="H77" s="7">
        <v>392.52</v>
      </c>
      <c r="I77" s="5">
        <v>860.5</v>
      </c>
      <c r="J77" s="4">
        <v>927.11</v>
      </c>
      <c r="K77" s="7">
        <v>699.96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8" t="s">
        <v>31</v>
      </c>
      <c r="B78" s="8" t="s">
        <v>18</v>
      </c>
      <c r="C78" s="9">
        <v>75</v>
      </c>
      <c r="D78" s="8">
        <v>50</v>
      </c>
      <c r="E78" s="11"/>
      <c r="F78" s="9">
        <v>37</v>
      </c>
      <c r="G78" s="8">
        <v>36</v>
      </c>
      <c r="H78" s="11">
        <v>25</v>
      </c>
      <c r="I78" s="9">
        <v>68</v>
      </c>
      <c r="J78" s="8">
        <v>51</v>
      </c>
      <c r="K78" s="11">
        <v>2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x14ac:dyDescent="0.2">
      <c r="A79" s="8" t="s">
        <v>31</v>
      </c>
      <c r="B79" s="8" t="s">
        <v>19</v>
      </c>
      <c r="C79" s="9">
        <v>279.57</v>
      </c>
      <c r="D79" s="8">
        <v>212.05</v>
      </c>
      <c r="E79" s="11"/>
      <c r="F79" s="9">
        <v>130.93</v>
      </c>
      <c r="G79" s="8">
        <v>127.97</v>
      </c>
      <c r="H79" s="11">
        <v>68.05</v>
      </c>
      <c r="I79" s="9">
        <v>343.5</v>
      </c>
      <c r="J79" s="8">
        <v>313.5</v>
      </c>
      <c r="K79" s="11">
        <v>9.3000000000000007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x14ac:dyDescent="0.2">
      <c r="A80" s="8" t="s">
        <v>31</v>
      </c>
      <c r="B80" s="8" t="s">
        <v>20</v>
      </c>
      <c r="C80" s="9">
        <v>122.62</v>
      </c>
      <c r="D80" s="8">
        <v>90.65</v>
      </c>
      <c r="E80" s="11"/>
      <c r="F80" s="9">
        <v>86.73</v>
      </c>
      <c r="G80" s="8">
        <v>68.069999999999993</v>
      </c>
      <c r="H80" s="13">
        <v>25.4</v>
      </c>
      <c r="I80" s="14">
        <v>204.35</v>
      </c>
      <c r="J80" s="15">
        <v>142.80000000000001</v>
      </c>
      <c r="K80" s="16">
        <v>2.6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x14ac:dyDescent="0.2">
      <c r="A81" s="8" t="s">
        <v>31</v>
      </c>
      <c r="B81" s="8" t="s">
        <v>21</v>
      </c>
      <c r="C81" s="12">
        <f t="shared" ref="C81:K81" si="18">IFERROR(C79/C78,"")</f>
        <v>3.7275999999999998</v>
      </c>
      <c r="D81" s="12">
        <f t="shared" si="18"/>
        <v>4.2410000000000005</v>
      </c>
      <c r="E81" s="12" t="str">
        <f t="shared" si="18"/>
        <v/>
      </c>
      <c r="F81" s="12">
        <f t="shared" si="18"/>
        <v>3.5386486486486488</v>
      </c>
      <c r="G81" s="12">
        <f t="shared" si="18"/>
        <v>3.5547222222222223</v>
      </c>
      <c r="H81" s="12">
        <f t="shared" si="18"/>
        <v>2.722</v>
      </c>
      <c r="I81" s="12">
        <f t="shared" si="18"/>
        <v>5.0514705882352944</v>
      </c>
      <c r="J81" s="12">
        <f t="shared" si="18"/>
        <v>6.1470588235294121</v>
      </c>
      <c r="K81" s="12">
        <f t="shared" si="18"/>
        <v>4.6500000000000004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8" t="s">
        <v>31</v>
      </c>
      <c r="B82" s="8" t="s">
        <v>22</v>
      </c>
      <c r="C82" s="12">
        <f t="shared" ref="C82:K82" si="19">IFERROR(C80/C78,"")</f>
        <v>1.6349333333333333</v>
      </c>
      <c r="D82" s="12">
        <f t="shared" si="19"/>
        <v>1.8130000000000002</v>
      </c>
      <c r="E82" s="12" t="str">
        <f t="shared" si="19"/>
        <v/>
      </c>
      <c r="F82" s="12">
        <f t="shared" si="19"/>
        <v>2.344054054054054</v>
      </c>
      <c r="G82" s="12">
        <f t="shared" si="19"/>
        <v>1.8908333333333331</v>
      </c>
      <c r="H82" s="12">
        <f t="shared" si="19"/>
        <v>1.016</v>
      </c>
      <c r="I82" s="12">
        <f t="shared" si="19"/>
        <v>3.0051470588235292</v>
      </c>
      <c r="J82" s="12">
        <f t="shared" si="19"/>
        <v>2.8000000000000003</v>
      </c>
      <c r="K82" s="12">
        <f t="shared" si="19"/>
        <v>1.3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4" t="s">
        <v>32</v>
      </c>
      <c r="B83" s="4" t="s">
        <v>15</v>
      </c>
      <c r="C83" s="5">
        <v>210.93</v>
      </c>
      <c r="D83" s="4">
        <v>205.18</v>
      </c>
      <c r="E83" s="7">
        <v>326.72000000000003</v>
      </c>
      <c r="F83" s="5">
        <v>236.7</v>
      </c>
      <c r="G83" s="4">
        <v>223.27</v>
      </c>
      <c r="H83" s="17">
        <v>199.76</v>
      </c>
      <c r="I83" s="18">
        <v>218.73</v>
      </c>
      <c r="J83" s="19">
        <v>211.09</v>
      </c>
      <c r="K83" s="20">
        <v>1005.33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4" t="s">
        <v>32</v>
      </c>
      <c r="B84" s="4" t="s">
        <v>16</v>
      </c>
      <c r="C84" s="5">
        <v>22190.25</v>
      </c>
      <c r="D84" s="4">
        <v>27094.45</v>
      </c>
      <c r="E84" s="7">
        <v>424.74</v>
      </c>
      <c r="F84" s="5">
        <v>20498.55</v>
      </c>
      <c r="G84" s="4">
        <v>15260.78</v>
      </c>
      <c r="H84" s="17">
        <v>10077.82</v>
      </c>
      <c r="I84" s="18">
        <v>39439.800000000003</v>
      </c>
      <c r="J84" s="19">
        <v>20612.71</v>
      </c>
      <c r="K84" s="20">
        <v>150.80000000000001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4" t="s">
        <v>32</v>
      </c>
      <c r="B85" s="4" t="s">
        <v>17</v>
      </c>
      <c r="C85" s="5">
        <v>670.73</v>
      </c>
      <c r="D85" s="4">
        <v>555.33000000000004</v>
      </c>
      <c r="E85" s="7">
        <v>678.92</v>
      </c>
      <c r="F85" s="5">
        <v>1105.5899999999999</v>
      </c>
      <c r="G85" s="4">
        <v>1175.1300000000001</v>
      </c>
      <c r="H85" s="17">
        <v>673.53</v>
      </c>
      <c r="I85" s="18">
        <v>696.84</v>
      </c>
      <c r="J85" s="19">
        <v>911.95</v>
      </c>
      <c r="K85" s="20">
        <v>404.89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8" t="s">
        <v>32</v>
      </c>
      <c r="B86" s="8" t="s">
        <v>18</v>
      </c>
      <c r="C86" s="9">
        <v>54</v>
      </c>
      <c r="D86" s="8">
        <v>80</v>
      </c>
      <c r="E86" s="11">
        <v>1</v>
      </c>
      <c r="F86" s="9">
        <v>28</v>
      </c>
      <c r="G86" s="8">
        <v>20</v>
      </c>
      <c r="H86" s="13">
        <v>26</v>
      </c>
      <c r="I86" s="14">
        <v>91</v>
      </c>
      <c r="J86" s="15">
        <v>36</v>
      </c>
      <c r="K86" s="16">
        <v>1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x14ac:dyDescent="0.2">
      <c r="A87" s="8" t="s">
        <v>32</v>
      </c>
      <c r="B87" s="8" t="s">
        <v>19</v>
      </c>
      <c r="C87" s="9">
        <v>242.78</v>
      </c>
      <c r="D87" s="8">
        <v>273.14999999999998</v>
      </c>
      <c r="E87" s="11">
        <v>1.3</v>
      </c>
      <c r="F87" s="9">
        <v>108.35</v>
      </c>
      <c r="G87" s="8">
        <v>90.7</v>
      </c>
      <c r="H87" s="13">
        <v>78.8</v>
      </c>
      <c r="I87" s="14">
        <v>302.36</v>
      </c>
      <c r="J87" s="15">
        <v>218.25</v>
      </c>
      <c r="K87" s="16">
        <v>1.1499999999999999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x14ac:dyDescent="0.2">
      <c r="A88" s="8" t="s">
        <v>32</v>
      </c>
      <c r="B88" s="8" t="s">
        <v>20</v>
      </c>
      <c r="C88" s="9">
        <v>105.2</v>
      </c>
      <c r="D88" s="8">
        <v>132.05000000000001</v>
      </c>
      <c r="E88" s="11">
        <v>1.3</v>
      </c>
      <c r="F88" s="9">
        <v>86.6</v>
      </c>
      <c r="G88" s="8">
        <v>68.349999999999994</v>
      </c>
      <c r="H88" s="13">
        <v>50.45</v>
      </c>
      <c r="I88" s="14">
        <v>180.31</v>
      </c>
      <c r="J88" s="15">
        <v>97.65</v>
      </c>
      <c r="K88" s="16">
        <v>0.15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x14ac:dyDescent="0.2">
      <c r="A89" s="8" t="s">
        <v>32</v>
      </c>
      <c r="B89" s="8" t="s">
        <v>21</v>
      </c>
      <c r="C89" s="12">
        <f t="shared" ref="C89:K89" si="20">IFERROR(C87/C86,"")</f>
        <v>4.4959259259259259</v>
      </c>
      <c r="D89" s="12">
        <f t="shared" si="20"/>
        <v>3.4143749999999997</v>
      </c>
      <c r="E89" s="12">
        <f t="shared" si="20"/>
        <v>1.3</v>
      </c>
      <c r="F89" s="12">
        <f t="shared" si="20"/>
        <v>3.8696428571428569</v>
      </c>
      <c r="G89" s="12">
        <f t="shared" si="20"/>
        <v>4.5350000000000001</v>
      </c>
      <c r="H89" s="12">
        <f t="shared" si="20"/>
        <v>3.0307692307692307</v>
      </c>
      <c r="I89" s="12">
        <f t="shared" si="20"/>
        <v>3.3226373626373626</v>
      </c>
      <c r="J89" s="12">
        <f t="shared" si="20"/>
        <v>6.0625</v>
      </c>
      <c r="K89" s="12">
        <f t="shared" si="20"/>
        <v>1.1499999999999999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x14ac:dyDescent="0.2">
      <c r="A90" s="8" t="s">
        <v>32</v>
      </c>
      <c r="B90" s="8" t="s">
        <v>22</v>
      </c>
      <c r="C90" s="12">
        <f t="shared" ref="C90:K90" si="21">IFERROR(C88/C86,"")</f>
        <v>1.9481481481481482</v>
      </c>
      <c r="D90" s="12">
        <f t="shared" si="21"/>
        <v>1.6506250000000002</v>
      </c>
      <c r="E90" s="12">
        <f t="shared" si="21"/>
        <v>1.3</v>
      </c>
      <c r="F90" s="12">
        <f t="shared" si="21"/>
        <v>3.0928571428571425</v>
      </c>
      <c r="G90" s="12">
        <f t="shared" si="21"/>
        <v>3.4174999999999995</v>
      </c>
      <c r="H90" s="12">
        <f t="shared" si="21"/>
        <v>1.9403846153846156</v>
      </c>
      <c r="I90" s="12">
        <f t="shared" si="21"/>
        <v>1.9814285714285715</v>
      </c>
      <c r="J90" s="12">
        <f t="shared" si="21"/>
        <v>2.7125000000000004</v>
      </c>
      <c r="K90" s="12">
        <f t="shared" si="21"/>
        <v>0.15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x14ac:dyDescent="0.2">
      <c r="A91" s="4" t="s">
        <v>33</v>
      </c>
      <c r="B91" s="4" t="s">
        <v>15</v>
      </c>
      <c r="C91" s="5">
        <v>214.95</v>
      </c>
      <c r="D91" s="4">
        <v>231.74</v>
      </c>
      <c r="E91" s="7"/>
      <c r="F91" s="5">
        <v>212.89</v>
      </c>
      <c r="G91" s="4">
        <v>220.73</v>
      </c>
      <c r="H91" s="17">
        <v>214.92</v>
      </c>
      <c r="I91" s="18">
        <v>194.16</v>
      </c>
      <c r="J91" s="19">
        <v>196.25</v>
      </c>
      <c r="K91" s="20">
        <v>195.93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x14ac:dyDescent="0.2">
      <c r="A92" s="4" t="s">
        <v>33</v>
      </c>
      <c r="B92" s="4" t="s">
        <v>16</v>
      </c>
      <c r="C92" s="5">
        <v>28804.91</v>
      </c>
      <c r="D92" s="4">
        <v>14251.84</v>
      </c>
      <c r="E92" s="7"/>
      <c r="F92" s="5">
        <v>19017.740000000002</v>
      </c>
      <c r="G92" s="4">
        <v>10266.23</v>
      </c>
      <c r="H92" s="17">
        <v>31152.94</v>
      </c>
      <c r="I92" s="18">
        <v>41365.129999999997</v>
      </c>
      <c r="J92" s="19">
        <v>4572.62</v>
      </c>
      <c r="K92" s="20">
        <v>1107.02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x14ac:dyDescent="0.2">
      <c r="A93" s="4" t="s">
        <v>33</v>
      </c>
      <c r="B93" s="4" t="s">
        <v>17</v>
      </c>
      <c r="C93" s="5">
        <v>556.89</v>
      </c>
      <c r="D93" s="4">
        <v>392.49</v>
      </c>
      <c r="E93" s="7"/>
      <c r="F93" s="5">
        <v>666.2</v>
      </c>
      <c r="G93" s="4">
        <v>937.05</v>
      </c>
      <c r="H93" s="17">
        <v>928.3</v>
      </c>
      <c r="I93" s="18">
        <v>651.12</v>
      </c>
      <c r="J93" s="19">
        <v>597.66</v>
      </c>
      <c r="K93" s="20">
        <v>726.9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x14ac:dyDescent="0.2">
      <c r="A94" s="8" t="s">
        <v>33</v>
      </c>
      <c r="B94" s="8" t="s">
        <v>18</v>
      </c>
      <c r="C94" s="9">
        <v>87</v>
      </c>
      <c r="D94" s="8">
        <v>59</v>
      </c>
      <c r="E94" s="11"/>
      <c r="F94" s="9">
        <v>44</v>
      </c>
      <c r="G94" s="8">
        <v>19</v>
      </c>
      <c r="H94" s="13">
        <v>53</v>
      </c>
      <c r="I94" s="14">
        <v>97</v>
      </c>
      <c r="J94" s="15">
        <v>13</v>
      </c>
      <c r="K94" s="16">
        <v>3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x14ac:dyDescent="0.2">
      <c r="A95" s="8" t="s">
        <v>33</v>
      </c>
      <c r="B95" s="8" t="s">
        <v>19</v>
      </c>
      <c r="C95" s="9">
        <v>284.06</v>
      </c>
      <c r="D95" s="8">
        <v>217.2</v>
      </c>
      <c r="E95" s="11"/>
      <c r="F95" s="9">
        <v>140.83000000000001</v>
      </c>
      <c r="G95" s="8">
        <v>51.21</v>
      </c>
      <c r="H95" s="13">
        <v>209.45</v>
      </c>
      <c r="I95" s="14">
        <v>447.8</v>
      </c>
      <c r="J95" s="15">
        <v>48.7</v>
      </c>
      <c r="K95" s="16">
        <v>5.65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x14ac:dyDescent="0.2">
      <c r="A96" s="8" t="s">
        <v>33</v>
      </c>
      <c r="B96" s="8" t="s">
        <v>20</v>
      </c>
      <c r="C96" s="9">
        <v>134.01</v>
      </c>
      <c r="D96" s="8">
        <v>61.5</v>
      </c>
      <c r="E96" s="11"/>
      <c r="F96" s="9">
        <v>89.33</v>
      </c>
      <c r="G96" s="8">
        <v>46.51</v>
      </c>
      <c r="H96" s="13">
        <v>144.94999999999999</v>
      </c>
      <c r="I96" s="14">
        <v>213.05</v>
      </c>
      <c r="J96" s="15">
        <v>23.3</v>
      </c>
      <c r="K96" s="16">
        <v>5.65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x14ac:dyDescent="0.2">
      <c r="A97" s="8" t="s">
        <v>33</v>
      </c>
      <c r="B97" s="8" t="s">
        <v>21</v>
      </c>
      <c r="C97" s="12">
        <f t="shared" ref="C97:K97" si="22">IFERROR(C95/C94,"")</f>
        <v>3.2650574712643676</v>
      </c>
      <c r="D97" s="12">
        <f t="shared" si="22"/>
        <v>3.6813559322033895</v>
      </c>
      <c r="E97" s="12" t="str">
        <f t="shared" si="22"/>
        <v/>
      </c>
      <c r="F97" s="12">
        <f t="shared" si="22"/>
        <v>3.2006818181818186</v>
      </c>
      <c r="G97" s="12">
        <f t="shared" si="22"/>
        <v>2.695263157894737</v>
      </c>
      <c r="H97" s="12">
        <f t="shared" si="22"/>
        <v>3.95188679245283</v>
      </c>
      <c r="I97" s="12">
        <f t="shared" si="22"/>
        <v>4.6164948453608252</v>
      </c>
      <c r="J97" s="12">
        <f t="shared" si="22"/>
        <v>3.7461538461538462</v>
      </c>
      <c r="K97" s="12">
        <f t="shared" si="22"/>
        <v>1.8833333333333335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x14ac:dyDescent="0.2">
      <c r="A98" s="8" t="s">
        <v>33</v>
      </c>
      <c r="B98" s="8" t="s">
        <v>22</v>
      </c>
      <c r="C98" s="12">
        <f t="shared" ref="C98:K98" si="23">IFERROR(C96/C94,"")</f>
        <v>1.5403448275862068</v>
      </c>
      <c r="D98" s="12">
        <f t="shared" si="23"/>
        <v>1.0423728813559323</v>
      </c>
      <c r="E98" s="12" t="str">
        <f t="shared" si="23"/>
        <v/>
      </c>
      <c r="F98" s="12">
        <f t="shared" si="23"/>
        <v>2.0302272727272728</v>
      </c>
      <c r="G98" s="12">
        <f t="shared" si="23"/>
        <v>2.4478947368421053</v>
      </c>
      <c r="H98" s="12">
        <f t="shared" si="23"/>
        <v>2.7349056603773585</v>
      </c>
      <c r="I98" s="12">
        <f t="shared" si="23"/>
        <v>2.1963917525773198</v>
      </c>
      <c r="J98" s="12">
        <f t="shared" si="23"/>
        <v>1.7923076923076924</v>
      </c>
      <c r="K98" s="12">
        <f t="shared" si="23"/>
        <v>1.8833333333333335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x14ac:dyDescent="0.2">
      <c r="A99" s="4" t="s">
        <v>34</v>
      </c>
      <c r="B99" s="4" t="s">
        <v>15</v>
      </c>
      <c r="C99" s="5">
        <v>201.98</v>
      </c>
      <c r="D99" s="4">
        <v>200.07</v>
      </c>
      <c r="E99" s="7"/>
      <c r="F99" s="5">
        <v>227.9</v>
      </c>
      <c r="G99" s="4">
        <v>210.78</v>
      </c>
      <c r="H99" s="17">
        <v>227.82</v>
      </c>
      <c r="I99" s="18">
        <v>198.4</v>
      </c>
      <c r="J99" s="19">
        <v>223.56</v>
      </c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x14ac:dyDescent="0.2">
      <c r="A100" s="4" t="s">
        <v>34</v>
      </c>
      <c r="B100" s="4" t="s">
        <v>16</v>
      </c>
      <c r="C100" s="5">
        <v>32820.15</v>
      </c>
      <c r="D100" s="4">
        <v>15747.13</v>
      </c>
      <c r="E100" s="7"/>
      <c r="F100" s="5">
        <v>15417.38</v>
      </c>
      <c r="G100" s="4">
        <v>11150.17</v>
      </c>
      <c r="H100" s="17">
        <v>23989</v>
      </c>
      <c r="I100" s="18">
        <v>33054.160000000003</v>
      </c>
      <c r="J100" s="19">
        <v>22769.91</v>
      </c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x14ac:dyDescent="0.2">
      <c r="A101" s="4" t="s">
        <v>34</v>
      </c>
      <c r="B101" s="4" t="s">
        <v>17</v>
      </c>
      <c r="C101" s="5">
        <v>728.12</v>
      </c>
      <c r="D101" s="4">
        <v>471.57</v>
      </c>
      <c r="E101" s="7"/>
      <c r="F101" s="5">
        <v>1061.25</v>
      </c>
      <c r="G101" s="4">
        <v>1035.8699999999999</v>
      </c>
      <c r="H101" s="17">
        <v>780.38</v>
      </c>
      <c r="I101" s="18">
        <v>829.63</v>
      </c>
      <c r="J101" s="19">
        <v>782.11</v>
      </c>
      <c r="K101" s="20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x14ac:dyDescent="0.2">
      <c r="A102" s="8" t="s">
        <v>34</v>
      </c>
      <c r="B102" s="8" t="s">
        <v>18</v>
      </c>
      <c r="C102" s="9">
        <v>75</v>
      </c>
      <c r="D102" s="8">
        <v>57</v>
      </c>
      <c r="E102" s="11"/>
      <c r="F102" s="9">
        <v>25</v>
      </c>
      <c r="G102" s="8">
        <v>18</v>
      </c>
      <c r="H102" s="13">
        <v>51</v>
      </c>
      <c r="I102" s="14">
        <v>66</v>
      </c>
      <c r="J102" s="15">
        <v>45</v>
      </c>
      <c r="K102" s="16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x14ac:dyDescent="0.2">
      <c r="A103" s="8" t="s">
        <v>34</v>
      </c>
      <c r="B103" s="8" t="s">
        <v>19</v>
      </c>
      <c r="C103" s="9">
        <v>381.64</v>
      </c>
      <c r="D103" s="8">
        <v>237.46</v>
      </c>
      <c r="E103" s="11"/>
      <c r="F103" s="9">
        <v>102.45</v>
      </c>
      <c r="G103" s="8">
        <v>68</v>
      </c>
      <c r="H103" s="13">
        <v>186.87</v>
      </c>
      <c r="I103" s="14">
        <v>246.1</v>
      </c>
      <c r="J103" s="15">
        <v>195.34</v>
      </c>
      <c r="K103" s="16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x14ac:dyDescent="0.2">
      <c r="A104" s="8" t="s">
        <v>34</v>
      </c>
      <c r="B104" s="8" t="s">
        <v>20</v>
      </c>
      <c r="C104" s="9">
        <v>162.49</v>
      </c>
      <c r="D104" s="8">
        <v>78.709999999999994</v>
      </c>
      <c r="E104" s="11"/>
      <c r="F104" s="9">
        <v>67.650000000000006</v>
      </c>
      <c r="G104" s="8">
        <v>52.9</v>
      </c>
      <c r="H104" s="13">
        <v>105.3</v>
      </c>
      <c r="I104" s="14">
        <v>166.6</v>
      </c>
      <c r="J104" s="15">
        <v>101.85</v>
      </c>
      <c r="K104" s="16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x14ac:dyDescent="0.2">
      <c r="A105" s="8" t="s">
        <v>34</v>
      </c>
      <c r="B105" s="8" t="s">
        <v>21</v>
      </c>
      <c r="C105" s="12">
        <f t="shared" ref="C105:K105" si="24">IFERROR(C103/C102,"")</f>
        <v>5.0885333333333334</v>
      </c>
      <c r="D105" s="12">
        <f t="shared" si="24"/>
        <v>4.1659649122807023</v>
      </c>
      <c r="E105" s="12" t="str">
        <f t="shared" si="24"/>
        <v/>
      </c>
      <c r="F105" s="12">
        <f t="shared" si="24"/>
        <v>4.0979999999999999</v>
      </c>
      <c r="G105" s="12">
        <f t="shared" si="24"/>
        <v>3.7777777777777777</v>
      </c>
      <c r="H105" s="12">
        <f t="shared" si="24"/>
        <v>3.6641176470588235</v>
      </c>
      <c r="I105" s="12">
        <f t="shared" si="24"/>
        <v>3.7287878787878785</v>
      </c>
      <c r="J105" s="12">
        <f t="shared" si="24"/>
        <v>4.3408888888888892</v>
      </c>
      <c r="K105" s="12" t="str">
        <f t="shared" si="24"/>
        <v/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x14ac:dyDescent="0.2">
      <c r="A106" s="8" t="s">
        <v>34</v>
      </c>
      <c r="B106" s="8" t="s">
        <v>22</v>
      </c>
      <c r="C106" s="12">
        <f t="shared" ref="C106:K106" si="25">IFERROR(C104/C102,"")</f>
        <v>2.1665333333333336</v>
      </c>
      <c r="D106" s="12">
        <f t="shared" si="25"/>
        <v>1.3808771929824559</v>
      </c>
      <c r="E106" s="12" t="str">
        <f t="shared" si="25"/>
        <v/>
      </c>
      <c r="F106" s="12">
        <f t="shared" si="25"/>
        <v>2.7060000000000004</v>
      </c>
      <c r="G106" s="12">
        <f t="shared" si="25"/>
        <v>2.9388888888888887</v>
      </c>
      <c r="H106" s="12">
        <f t="shared" si="25"/>
        <v>2.0647058823529409</v>
      </c>
      <c r="I106" s="12">
        <f t="shared" si="25"/>
        <v>2.524242424242424</v>
      </c>
      <c r="J106" s="12">
        <f t="shared" si="25"/>
        <v>2.2633333333333332</v>
      </c>
      <c r="K106" s="12" t="str">
        <f t="shared" si="25"/>
        <v/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x14ac:dyDescent="0.2">
      <c r="A107" s="4" t="s">
        <v>35</v>
      </c>
      <c r="B107" s="4" t="s">
        <v>15</v>
      </c>
      <c r="C107" s="5">
        <v>205.01</v>
      </c>
      <c r="D107" s="4">
        <v>204.49</v>
      </c>
      <c r="E107" s="7"/>
      <c r="F107" s="9"/>
      <c r="G107" s="4">
        <v>223.96</v>
      </c>
      <c r="H107" s="17">
        <v>204.66</v>
      </c>
      <c r="I107" s="18">
        <v>191.39</v>
      </c>
      <c r="J107" s="19">
        <v>220.74</v>
      </c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x14ac:dyDescent="0.2">
      <c r="A108" s="4" t="s">
        <v>35</v>
      </c>
      <c r="B108" s="4" t="s">
        <v>16</v>
      </c>
      <c r="C108" s="5">
        <v>13551.23</v>
      </c>
      <c r="D108" s="4">
        <v>23853.86</v>
      </c>
      <c r="E108" s="7"/>
      <c r="F108" s="9"/>
      <c r="G108" s="4">
        <v>26752.400000000001</v>
      </c>
      <c r="H108" s="17">
        <v>23473.93</v>
      </c>
      <c r="I108" s="18">
        <v>30144.400000000001</v>
      </c>
      <c r="J108" s="19">
        <v>42914.71</v>
      </c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x14ac:dyDescent="0.2">
      <c r="A109" s="4" t="s">
        <v>35</v>
      </c>
      <c r="B109" s="4" t="s">
        <v>17</v>
      </c>
      <c r="C109" s="5">
        <v>487.17</v>
      </c>
      <c r="D109" s="4">
        <v>515.47</v>
      </c>
      <c r="E109" s="7"/>
      <c r="F109" s="9"/>
      <c r="G109" s="4">
        <v>1090.31</v>
      </c>
      <c r="H109" s="17">
        <v>599.67999999999995</v>
      </c>
      <c r="I109" s="18">
        <v>830.91</v>
      </c>
      <c r="J109" s="19">
        <v>1674.74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x14ac:dyDescent="0.2">
      <c r="A110" s="8" t="s">
        <v>35</v>
      </c>
      <c r="B110" s="8" t="s">
        <v>18</v>
      </c>
      <c r="C110" s="9">
        <v>46</v>
      </c>
      <c r="D110" s="8">
        <v>76</v>
      </c>
      <c r="E110" s="11"/>
      <c r="F110" s="9"/>
      <c r="G110" s="8">
        <v>39</v>
      </c>
      <c r="H110" s="13">
        <v>64</v>
      </c>
      <c r="I110" s="14">
        <v>61</v>
      </c>
      <c r="J110" s="15">
        <v>40</v>
      </c>
      <c r="K110" s="16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x14ac:dyDescent="0.2">
      <c r="A111" s="8" t="s">
        <v>35</v>
      </c>
      <c r="B111" s="8" t="s">
        <v>19</v>
      </c>
      <c r="C111" s="9">
        <v>121.9</v>
      </c>
      <c r="D111" s="8">
        <v>265.87</v>
      </c>
      <c r="E111" s="11"/>
      <c r="F111" s="9"/>
      <c r="G111" s="8">
        <v>169.2</v>
      </c>
      <c r="H111" s="13">
        <v>170.45</v>
      </c>
      <c r="I111" s="14">
        <v>256.8</v>
      </c>
      <c r="J111" s="15">
        <v>282.41000000000003</v>
      </c>
      <c r="K111" s="16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x14ac:dyDescent="0.2">
      <c r="A112" s="8" t="s">
        <v>35</v>
      </c>
      <c r="B112" s="8" t="s">
        <v>20</v>
      </c>
      <c r="C112" s="9">
        <v>66.099999999999994</v>
      </c>
      <c r="D112" s="8">
        <v>116.65</v>
      </c>
      <c r="E112" s="11"/>
      <c r="F112" s="9"/>
      <c r="G112" s="8">
        <v>119.45</v>
      </c>
      <c r="H112" s="13">
        <v>114.7</v>
      </c>
      <c r="I112" s="14">
        <v>157.5</v>
      </c>
      <c r="J112" s="15">
        <v>194.41</v>
      </c>
      <c r="K112" s="16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2">
      <c r="A113" s="8" t="s">
        <v>35</v>
      </c>
      <c r="B113" s="8" t="s">
        <v>21</v>
      </c>
      <c r="C113" s="12">
        <f t="shared" ref="C113:K113" si="26">IFERROR(C111/C110,"")</f>
        <v>2.65</v>
      </c>
      <c r="D113" s="12">
        <f t="shared" si="26"/>
        <v>3.4982894736842107</v>
      </c>
      <c r="E113" s="12" t="str">
        <f t="shared" si="26"/>
        <v/>
      </c>
      <c r="F113" s="12" t="str">
        <f t="shared" si="26"/>
        <v/>
      </c>
      <c r="G113" s="12">
        <f t="shared" si="26"/>
        <v>4.3384615384615381</v>
      </c>
      <c r="H113" s="12">
        <f t="shared" si="26"/>
        <v>2.6632812499999998</v>
      </c>
      <c r="I113" s="12">
        <f t="shared" si="26"/>
        <v>4.2098360655737705</v>
      </c>
      <c r="J113" s="12">
        <f t="shared" si="26"/>
        <v>7.0602500000000008</v>
      </c>
      <c r="K113" s="12" t="str">
        <f t="shared" si="26"/>
        <v/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x14ac:dyDescent="0.2">
      <c r="A114" s="8" t="s">
        <v>35</v>
      </c>
      <c r="B114" s="8" t="s">
        <v>22</v>
      </c>
      <c r="C114" s="12">
        <f t="shared" ref="C114:K114" si="27">IFERROR(C112/C110,"")</f>
        <v>1.4369565217391302</v>
      </c>
      <c r="D114" s="12">
        <f t="shared" si="27"/>
        <v>1.5348684210526315</v>
      </c>
      <c r="E114" s="12" t="str">
        <f t="shared" si="27"/>
        <v/>
      </c>
      <c r="F114" s="12" t="str">
        <f t="shared" si="27"/>
        <v/>
      </c>
      <c r="G114" s="12">
        <f t="shared" si="27"/>
        <v>3.062820512820513</v>
      </c>
      <c r="H114" s="12">
        <f t="shared" si="27"/>
        <v>1.7921875</v>
      </c>
      <c r="I114" s="12">
        <f t="shared" si="27"/>
        <v>2.581967213114754</v>
      </c>
      <c r="J114" s="12">
        <f t="shared" si="27"/>
        <v>4.8602499999999997</v>
      </c>
      <c r="K114" s="12" t="str">
        <f t="shared" si="27"/>
        <v/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x14ac:dyDescent="0.2">
      <c r="A115" s="4" t="s">
        <v>36</v>
      </c>
      <c r="B115" s="4" t="s">
        <v>15</v>
      </c>
      <c r="C115" s="5">
        <v>203.26</v>
      </c>
      <c r="D115" s="4">
        <v>216.88</v>
      </c>
      <c r="E115" s="7"/>
      <c r="F115" s="5">
        <v>257.48</v>
      </c>
      <c r="G115" s="4">
        <v>194.71</v>
      </c>
      <c r="H115" s="17">
        <v>225.5</v>
      </c>
      <c r="I115" s="18">
        <v>204.73</v>
      </c>
      <c r="J115" s="19">
        <v>224.07</v>
      </c>
      <c r="K115" s="20">
        <v>36.200000000000003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x14ac:dyDescent="0.2">
      <c r="A116" s="4" t="s">
        <v>36</v>
      </c>
      <c r="B116" s="4" t="s">
        <v>16</v>
      </c>
      <c r="C116" s="5">
        <v>26748.87</v>
      </c>
      <c r="D116" s="4">
        <v>19447.669999999998</v>
      </c>
      <c r="E116" s="7"/>
      <c r="F116" s="5">
        <v>13445.55</v>
      </c>
      <c r="G116" s="4">
        <v>14343.28</v>
      </c>
      <c r="H116" s="17">
        <v>23102.44</v>
      </c>
      <c r="I116" s="18">
        <v>31405.46</v>
      </c>
      <c r="J116" s="19">
        <v>31807.35</v>
      </c>
      <c r="K116" s="20">
        <v>7.24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x14ac:dyDescent="0.2">
      <c r="A117" s="4" t="s">
        <v>36</v>
      </c>
      <c r="B117" s="4" t="s">
        <v>17</v>
      </c>
      <c r="C117" s="5">
        <v>843.26</v>
      </c>
      <c r="D117" s="4">
        <v>600.14</v>
      </c>
      <c r="E117" s="7"/>
      <c r="F117" s="5">
        <v>1699.2</v>
      </c>
      <c r="G117" s="4">
        <v>1049.75</v>
      </c>
      <c r="H117" s="17">
        <v>759.42</v>
      </c>
      <c r="I117" s="18">
        <v>713.93</v>
      </c>
      <c r="J117" s="19">
        <v>1025.71</v>
      </c>
      <c r="K117" s="20">
        <v>27.54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x14ac:dyDescent="0.2">
      <c r="A118" s="8" t="s">
        <v>36</v>
      </c>
      <c r="B118" s="8" t="s">
        <v>18</v>
      </c>
      <c r="C118" s="9">
        <v>53</v>
      </c>
      <c r="D118" s="8">
        <v>55</v>
      </c>
      <c r="E118" s="11"/>
      <c r="F118" s="9">
        <v>12</v>
      </c>
      <c r="G118" s="8">
        <v>21</v>
      </c>
      <c r="H118" s="13">
        <v>47</v>
      </c>
      <c r="I118" s="14">
        <v>73</v>
      </c>
      <c r="J118" s="15">
        <v>48</v>
      </c>
      <c r="K118" s="16">
        <v>1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x14ac:dyDescent="0.2">
      <c r="A119" s="8" t="s">
        <v>36</v>
      </c>
      <c r="B119" s="8" t="s">
        <v>19</v>
      </c>
      <c r="C119" s="9">
        <v>230.61</v>
      </c>
      <c r="D119" s="8">
        <v>195.52</v>
      </c>
      <c r="E119" s="11"/>
      <c r="F119" s="9">
        <v>72.27</v>
      </c>
      <c r="G119" s="8">
        <v>78.45</v>
      </c>
      <c r="H119" s="13">
        <v>142.75</v>
      </c>
      <c r="I119" s="14">
        <v>308.39999999999998</v>
      </c>
      <c r="J119" s="15">
        <v>330.5</v>
      </c>
      <c r="K119" s="16">
        <v>5.6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x14ac:dyDescent="0.2">
      <c r="A120" s="8" t="s">
        <v>36</v>
      </c>
      <c r="B120" s="8" t="s">
        <v>20</v>
      </c>
      <c r="C120" s="9">
        <v>131.6</v>
      </c>
      <c r="D120" s="8">
        <v>89.67</v>
      </c>
      <c r="E120" s="11"/>
      <c r="F120" s="9">
        <v>52.22</v>
      </c>
      <c r="G120" s="8">
        <v>57.25</v>
      </c>
      <c r="H120" s="13">
        <v>102.45</v>
      </c>
      <c r="I120" s="14">
        <v>153.4</v>
      </c>
      <c r="J120" s="15">
        <v>141.94999999999999</v>
      </c>
      <c r="K120" s="16">
        <v>0.2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x14ac:dyDescent="0.2">
      <c r="A121" s="8" t="s">
        <v>36</v>
      </c>
      <c r="B121" s="8" t="s">
        <v>21</v>
      </c>
      <c r="C121" s="12">
        <f t="shared" ref="C121:K121" si="28">IFERROR(C119/C118,"")</f>
        <v>4.351132075471698</v>
      </c>
      <c r="D121" s="12">
        <f t="shared" si="28"/>
        <v>3.5549090909090912</v>
      </c>
      <c r="E121" s="12" t="str">
        <f t="shared" si="28"/>
        <v/>
      </c>
      <c r="F121" s="12">
        <f t="shared" si="28"/>
        <v>6.0225</v>
      </c>
      <c r="G121" s="12">
        <f t="shared" si="28"/>
        <v>3.7357142857142858</v>
      </c>
      <c r="H121" s="12">
        <f t="shared" si="28"/>
        <v>3.0372340425531914</v>
      </c>
      <c r="I121" s="12">
        <f t="shared" si="28"/>
        <v>4.2246575342465746</v>
      </c>
      <c r="J121" s="12">
        <f t="shared" si="28"/>
        <v>6.885416666666667</v>
      </c>
      <c r="K121" s="12">
        <f t="shared" si="28"/>
        <v>5.6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x14ac:dyDescent="0.2">
      <c r="A122" s="8" t="s">
        <v>36</v>
      </c>
      <c r="B122" s="8" t="s">
        <v>22</v>
      </c>
      <c r="C122" s="12">
        <f t="shared" ref="C122:K122" si="29">IFERROR(C120/C118,"")</f>
        <v>2.4830188679245282</v>
      </c>
      <c r="D122" s="12">
        <f t="shared" si="29"/>
        <v>1.6303636363636365</v>
      </c>
      <c r="E122" s="12" t="str">
        <f t="shared" si="29"/>
        <v/>
      </c>
      <c r="F122" s="12">
        <f t="shared" si="29"/>
        <v>4.3516666666666666</v>
      </c>
      <c r="G122" s="12">
        <f t="shared" si="29"/>
        <v>2.7261904761904763</v>
      </c>
      <c r="H122" s="12">
        <f t="shared" si="29"/>
        <v>2.179787234042553</v>
      </c>
      <c r="I122" s="12">
        <f t="shared" si="29"/>
        <v>2.1013698630136988</v>
      </c>
      <c r="J122" s="12">
        <f t="shared" si="29"/>
        <v>2.9572916666666664</v>
      </c>
      <c r="K122" s="12">
        <f t="shared" si="29"/>
        <v>0.2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x14ac:dyDescent="0.2">
      <c r="A123" s="4" t="s">
        <v>37</v>
      </c>
      <c r="B123" s="4" t="s">
        <v>15</v>
      </c>
      <c r="C123" s="5">
        <v>220.7</v>
      </c>
      <c r="D123" s="4">
        <v>195.73</v>
      </c>
      <c r="E123" s="7"/>
      <c r="F123" s="5">
        <v>226.5</v>
      </c>
      <c r="G123" s="4">
        <v>231.22</v>
      </c>
      <c r="H123" s="17">
        <v>209.12</v>
      </c>
      <c r="I123" s="18">
        <v>193.12</v>
      </c>
      <c r="J123" s="19">
        <v>210.04</v>
      </c>
      <c r="K123" s="20">
        <v>171.3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x14ac:dyDescent="0.2">
      <c r="A124" s="4" t="s">
        <v>37</v>
      </c>
      <c r="B124" s="4" t="s">
        <v>16</v>
      </c>
      <c r="C124" s="5">
        <v>27963.26</v>
      </c>
      <c r="D124" s="4">
        <v>26343.84</v>
      </c>
      <c r="E124" s="7"/>
      <c r="F124" s="5">
        <v>18402.919999999998</v>
      </c>
      <c r="G124" s="4">
        <v>17422.099999999999</v>
      </c>
      <c r="H124" s="17">
        <v>23379.14</v>
      </c>
      <c r="I124" s="18">
        <v>43779.8</v>
      </c>
      <c r="J124" s="22">
        <v>22610.99</v>
      </c>
      <c r="K124" s="17">
        <v>736.57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x14ac:dyDescent="0.2">
      <c r="A125" s="4" t="s">
        <v>37</v>
      </c>
      <c r="B125" s="4" t="s">
        <v>17</v>
      </c>
      <c r="C125" s="5">
        <v>776.49</v>
      </c>
      <c r="D125" s="4">
        <v>674.87</v>
      </c>
      <c r="E125" s="7"/>
      <c r="F125" s="5">
        <v>900.2</v>
      </c>
      <c r="G125" s="4">
        <v>1222.71</v>
      </c>
      <c r="H125" s="7">
        <v>566.23</v>
      </c>
      <c r="I125" s="5">
        <v>952.84</v>
      </c>
      <c r="J125" s="4">
        <v>949.05</v>
      </c>
      <c r="K125" s="7">
        <v>577.39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x14ac:dyDescent="0.2">
      <c r="A126" s="8" t="s">
        <v>37</v>
      </c>
      <c r="B126" s="8" t="s">
        <v>18</v>
      </c>
      <c r="C126" s="9">
        <v>61</v>
      </c>
      <c r="D126" s="8">
        <v>63</v>
      </c>
      <c r="E126" s="11"/>
      <c r="F126" s="9">
        <v>32</v>
      </c>
      <c r="G126" s="8">
        <v>23</v>
      </c>
      <c r="H126" s="11">
        <v>69</v>
      </c>
      <c r="I126" s="9">
        <v>75</v>
      </c>
      <c r="J126" s="8">
        <v>39</v>
      </c>
      <c r="K126" s="11">
        <v>2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x14ac:dyDescent="0.2">
      <c r="A127" s="8" t="s">
        <v>37</v>
      </c>
      <c r="B127" s="8" t="s">
        <v>19</v>
      </c>
      <c r="C127" s="9">
        <v>273.77</v>
      </c>
      <c r="D127" s="8">
        <v>292.57</v>
      </c>
      <c r="E127" s="11"/>
      <c r="F127" s="9">
        <v>110.3</v>
      </c>
      <c r="G127" s="8">
        <v>108.15</v>
      </c>
      <c r="H127" s="11">
        <v>184.85</v>
      </c>
      <c r="I127" s="9">
        <v>294.95</v>
      </c>
      <c r="J127" s="8">
        <v>200.65</v>
      </c>
      <c r="K127" s="11">
        <v>4.3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x14ac:dyDescent="0.2">
      <c r="A128" s="8" t="s">
        <v>37</v>
      </c>
      <c r="B128" s="8" t="s">
        <v>20</v>
      </c>
      <c r="C128" s="9">
        <v>126.7</v>
      </c>
      <c r="D128" s="8">
        <v>134.59</v>
      </c>
      <c r="E128" s="11"/>
      <c r="F128" s="9">
        <v>81.25</v>
      </c>
      <c r="G128" s="8">
        <v>75.349999999999994</v>
      </c>
      <c r="H128" s="11">
        <v>111.8</v>
      </c>
      <c r="I128" s="9">
        <v>226.7</v>
      </c>
      <c r="J128" s="8">
        <v>107.65</v>
      </c>
      <c r="K128" s="11">
        <v>4.3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x14ac:dyDescent="0.2">
      <c r="A129" s="8" t="s">
        <v>37</v>
      </c>
      <c r="B129" s="8" t="s">
        <v>21</v>
      </c>
      <c r="C129" s="12">
        <f t="shared" ref="C129:K129" si="30">IFERROR(C127/C126,"")</f>
        <v>4.4880327868852454</v>
      </c>
      <c r="D129" s="12">
        <f t="shared" si="30"/>
        <v>4.6439682539682536</v>
      </c>
      <c r="E129" s="12" t="str">
        <f t="shared" si="30"/>
        <v/>
      </c>
      <c r="F129" s="12">
        <f t="shared" si="30"/>
        <v>3.4468749999999999</v>
      </c>
      <c r="G129" s="12">
        <f t="shared" si="30"/>
        <v>4.7021739130434783</v>
      </c>
      <c r="H129" s="12">
        <f t="shared" si="30"/>
        <v>2.6789855072463769</v>
      </c>
      <c r="I129" s="12">
        <f t="shared" si="30"/>
        <v>3.9326666666666665</v>
      </c>
      <c r="J129" s="12">
        <f t="shared" si="30"/>
        <v>5.1448717948717952</v>
      </c>
      <c r="K129" s="12">
        <f t="shared" si="30"/>
        <v>2.15</v>
      </c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x14ac:dyDescent="0.2">
      <c r="A130" s="8" t="s">
        <v>37</v>
      </c>
      <c r="B130" s="8" t="s">
        <v>22</v>
      </c>
      <c r="C130" s="12">
        <f t="shared" ref="C130:K130" si="31">IFERROR(C128/C126,"")</f>
        <v>2.0770491803278688</v>
      </c>
      <c r="D130" s="12">
        <f t="shared" si="31"/>
        <v>2.1363492063492062</v>
      </c>
      <c r="E130" s="12" t="str">
        <f t="shared" si="31"/>
        <v/>
      </c>
      <c r="F130" s="12">
        <f t="shared" si="31"/>
        <v>2.5390625</v>
      </c>
      <c r="G130" s="12">
        <f t="shared" si="31"/>
        <v>3.276086956521739</v>
      </c>
      <c r="H130" s="12">
        <f t="shared" si="31"/>
        <v>1.6202898550724638</v>
      </c>
      <c r="I130" s="12">
        <f t="shared" si="31"/>
        <v>3.0226666666666664</v>
      </c>
      <c r="J130" s="12">
        <f t="shared" si="31"/>
        <v>2.7602564102564102</v>
      </c>
      <c r="K130" s="12">
        <f t="shared" si="31"/>
        <v>2.15</v>
      </c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x14ac:dyDescent="0.2">
      <c r="A131" s="4" t="s">
        <v>38</v>
      </c>
      <c r="B131" s="4" t="s">
        <v>15</v>
      </c>
      <c r="C131" s="5">
        <v>222.16</v>
      </c>
      <c r="D131" s="4">
        <v>235.95</v>
      </c>
      <c r="E131" s="7">
        <v>105.25</v>
      </c>
      <c r="F131" s="5">
        <v>249.59</v>
      </c>
      <c r="G131" s="4">
        <v>229.9</v>
      </c>
      <c r="H131" s="7">
        <v>185.78</v>
      </c>
      <c r="I131" s="5">
        <v>200.92</v>
      </c>
      <c r="J131" s="4">
        <v>173.55</v>
      </c>
      <c r="K131" s="7">
        <v>288.63</v>
      </c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x14ac:dyDescent="0.2">
      <c r="A132" s="4" t="s">
        <v>38</v>
      </c>
      <c r="B132" s="4" t="s">
        <v>16</v>
      </c>
      <c r="C132" s="5">
        <v>25259.8</v>
      </c>
      <c r="D132" s="4">
        <v>22155.74</v>
      </c>
      <c r="E132" s="7">
        <v>42.1</v>
      </c>
      <c r="F132" s="5">
        <v>19465.759999999998</v>
      </c>
      <c r="G132" s="4">
        <v>7988.91</v>
      </c>
      <c r="H132" s="7">
        <v>17166.18</v>
      </c>
      <c r="I132" s="5">
        <v>41520.400000000001</v>
      </c>
      <c r="J132" s="4">
        <v>6560.36</v>
      </c>
      <c r="K132" s="7">
        <v>1760.67</v>
      </c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x14ac:dyDescent="0.2">
      <c r="A133" s="4" t="s">
        <v>38</v>
      </c>
      <c r="B133" s="4" t="s">
        <v>17</v>
      </c>
      <c r="C133" s="5">
        <v>740.32</v>
      </c>
      <c r="D133" s="4">
        <v>561.77</v>
      </c>
      <c r="E133" s="7">
        <v>86.39</v>
      </c>
      <c r="F133" s="5">
        <v>1327.85</v>
      </c>
      <c r="G133" s="4">
        <v>836.8</v>
      </c>
      <c r="H133" s="7">
        <v>386.71</v>
      </c>
      <c r="I133" s="5">
        <v>856.93</v>
      </c>
      <c r="J133" s="4">
        <v>937.14</v>
      </c>
      <c r="K133" s="7">
        <v>957.41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8" t="s">
        <v>38</v>
      </c>
      <c r="B134" s="8" t="s">
        <v>18</v>
      </c>
      <c r="C134" s="9">
        <v>58</v>
      </c>
      <c r="D134" s="8">
        <v>68</v>
      </c>
      <c r="E134" s="11">
        <v>1</v>
      </c>
      <c r="F134" s="9">
        <v>25</v>
      </c>
      <c r="G134" s="8">
        <v>14</v>
      </c>
      <c r="H134" s="11">
        <v>71</v>
      </c>
      <c r="I134" s="9">
        <v>78</v>
      </c>
      <c r="J134" s="8">
        <v>12</v>
      </c>
      <c r="K134" s="11">
        <v>4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x14ac:dyDescent="0.2">
      <c r="A135" s="8" t="s">
        <v>38</v>
      </c>
      <c r="B135" s="8" t="s">
        <v>19</v>
      </c>
      <c r="C135" s="9">
        <v>200.7</v>
      </c>
      <c r="D135" s="8">
        <v>235.02</v>
      </c>
      <c r="E135" s="11">
        <v>0.4</v>
      </c>
      <c r="F135" s="9">
        <v>110.13</v>
      </c>
      <c r="G135" s="8">
        <v>59.45</v>
      </c>
      <c r="H135" s="11">
        <v>186.55</v>
      </c>
      <c r="I135" s="9">
        <v>299.75</v>
      </c>
      <c r="J135" s="8">
        <v>65.099999999999994</v>
      </c>
      <c r="K135" s="11">
        <v>8.35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x14ac:dyDescent="0.2">
      <c r="A136" s="8" t="s">
        <v>38</v>
      </c>
      <c r="B136" s="8" t="s">
        <v>20</v>
      </c>
      <c r="C136" s="9">
        <v>113.7</v>
      </c>
      <c r="D136" s="8">
        <v>93.9</v>
      </c>
      <c r="E136" s="11">
        <v>0.4</v>
      </c>
      <c r="F136" s="9">
        <v>77.989999999999995</v>
      </c>
      <c r="G136" s="8">
        <v>34.75</v>
      </c>
      <c r="H136" s="11">
        <v>92.4</v>
      </c>
      <c r="I136" s="9">
        <v>206.65</v>
      </c>
      <c r="J136" s="8">
        <v>37.799999999999997</v>
      </c>
      <c r="K136" s="11">
        <v>6.1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x14ac:dyDescent="0.2">
      <c r="A137" s="8" t="s">
        <v>38</v>
      </c>
      <c r="B137" s="8" t="s">
        <v>21</v>
      </c>
      <c r="C137" s="12">
        <f t="shared" ref="C137:K137" si="32">IFERROR(C135/C134,"")</f>
        <v>3.4603448275862068</v>
      </c>
      <c r="D137" s="12">
        <f t="shared" si="32"/>
        <v>3.4561764705882356</v>
      </c>
      <c r="E137" s="12">
        <f t="shared" si="32"/>
        <v>0.4</v>
      </c>
      <c r="F137" s="12">
        <f t="shared" si="32"/>
        <v>4.4051999999999998</v>
      </c>
      <c r="G137" s="12">
        <f t="shared" si="32"/>
        <v>4.2464285714285719</v>
      </c>
      <c r="H137" s="12">
        <f t="shared" si="32"/>
        <v>2.6274647887323943</v>
      </c>
      <c r="I137" s="12">
        <f t="shared" si="32"/>
        <v>3.8429487179487181</v>
      </c>
      <c r="J137" s="12">
        <f t="shared" si="32"/>
        <v>5.4249999999999998</v>
      </c>
      <c r="K137" s="12">
        <f t="shared" si="32"/>
        <v>2.0874999999999999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8" t="s">
        <v>38</v>
      </c>
      <c r="B138" s="8" t="s">
        <v>22</v>
      </c>
      <c r="C138" s="12">
        <f t="shared" ref="C138:K138" si="33">IFERROR(C136/C134,"")</f>
        <v>1.960344827586207</v>
      </c>
      <c r="D138" s="12">
        <f t="shared" si="33"/>
        <v>1.3808823529411764</v>
      </c>
      <c r="E138" s="12">
        <f t="shared" si="33"/>
        <v>0.4</v>
      </c>
      <c r="F138" s="12">
        <f t="shared" si="33"/>
        <v>3.1195999999999997</v>
      </c>
      <c r="G138" s="12">
        <f t="shared" si="33"/>
        <v>2.4821428571428572</v>
      </c>
      <c r="H138" s="12">
        <f t="shared" si="33"/>
        <v>1.3014084507042254</v>
      </c>
      <c r="I138" s="12">
        <f t="shared" si="33"/>
        <v>2.6493589743589743</v>
      </c>
      <c r="J138" s="12">
        <f t="shared" si="33"/>
        <v>3.15</v>
      </c>
      <c r="K138" s="12">
        <f t="shared" si="33"/>
        <v>1.5249999999999999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4" t="s">
        <v>39</v>
      </c>
      <c r="B139" s="4" t="s">
        <v>15</v>
      </c>
      <c r="C139" s="5">
        <v>198.18</v>
      </c>
      <c r="D139" s="4">
        <v>200.6</v>
      </c>
      <c r="E139" s="7">
        <v>189.58</v>
      </c>
      <c r="F139" s="5">
        <v>211.01</v>
      </c>
      <c r="G139" s="4">
        <v>237.46</v>
      </c>
      <c r="H139" s="7">
        <v>211.99</v>
      </c>
      <c r="I139" s="5">
        <v>212.73</v>
      </c>
      <c r="J139" s="4">
        <v>230.64</v>
      </c>
      <c r="K139" s="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4" t="s">
        <v>39</v>
      </c>
      <c r="B140" s="4" t="s">
        <v>16</v>
      </c>
      <c r="C140" s="5">
        <v>24039.74</v>
      </c>
      <c r="D140" s="4">
        <v>16689.84</v>
      </c>
      <c r="E140" s="7">
        <v>1308.1300000000001</v>
      </c>
      <c r="F140" s="5">
        <v>10339.44</v>
      </c>
      <c r="G140" s="4">
        <v>30145.16</v>
      </c>
      <c r="H140" s="7">
        <v>12814.66</v>
      </c>
      <c r="I140" s="5">
        <v>34430.620000000003</v>
      </c>
      <c r="J140" s="4">
        <v>36002.97</v>
      </c>
      <c r="K140" s="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4" t="s">
        <v>39</v>
      </c>
      <c r="B141" s="4" t="s">
        <v>17</v>
      </c>
      <c r="C141" s="5">
        <v>644.80999999999995</v>
      </c>
      <c r="D141" s="4">
        <v>546.77</v>
      </c>
      <c r="E141" s="7">
        <v>1181.3</v>
      </c>
      <c r="F141" s="5">
        <v>658.44</v>
      </c>
      <c r="G141" s="4">
        <v>1198.24</v>
      </c>
      <c r="H141" s="7">
        <v>509</v>
      </c>
      <c r="I141" s="5">
        <v>792.98</v>
      </c>
      <c r="J141" s="4">
        <v>1119.44</v>
      </c>
      <c r="K141" s="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8" t="s">
        <v>39</v>
      </c>
      <c r="B142" s="8" t="s">
        <v>18</v>
      </c>
      <c r="C142" s="9">
        <v>61</v>
      </c>
      <c r="D142" s="8">
        <v>55</v>
      </c>
      <c r="E142" s="11">
        <v>2</v>
      </c>
      <c r="F142" s="9">
        <v>25</v>
      </c>
      <c r="G142" s="8">
        <v>40</v>
      </c>
      <c r="H142" s="11">
        <v>44</v>
      </c>
      <c r="I142" s="9">
        <v>70</v>
      </c>
      <c r="J142" s="8">
        <v>51</v>
      </c>
      <c r="K142" s="11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x14ac:dyDescent="0.2">
      <c r="A143" s="8" t="s">
        <v>39</v>
      </c>
      <c r="B143" s="8" t="s">
        <v>19</v>
      </c>
      <c r="C143" s="9">
        <v>222.78</v>
      </c>
      <c r="D143" s="8">
        <v>216.05</v>
      </c>
      <c r="E143" s="11">
        <v>6.9</v>
      </c>
      <c r="F143" s="9">
        <v>93.87</v>
      </c>
      <c r="G143" s="8">
        <v>158.63999999999999</v>
      </c>
      <c r="H143" s="11">
        <v>104.15</v>
      </c>
      <c r="I143" s="9">
        <v>288.05</v>
      </c>
      <c r="J143" s="8">
        <v>321.37</v>
      </c>
      <c r="K143" s="11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x14ac:dyDescent="0.2">
      <c r="A144" s="8" t="s">
        <v>39</v>
      </c>
      <c r="B144" s="8" t="s">
        <v>20</v>
      </c>
      <c r="C144" s="9">
        <v>121.3</v>
      </c>
      <c r="D144" s="8">
        <v>83.2</v>
      </c>
      <c r="E144" s="11">
        <v>6.9</v>
      </c>
      <c r="F144" s="9">
        <v>49</v>
      </c>
      <c r="G144" s="8">
        <v>126.95</v>
      </c>
      <c r="H144" s="11">
        <v>60.45</v>
      </c>
      <c r="I144" s="9">
        <v>161.85</v>
      </c>
      <c r="J144" s="8">
        <v>156.1</v>
      </c>
      <c r="K144" s="11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x14ac:dyDescent="0.2">
      <c r="A145" s="8" t="s">
        <v>39</v>
      </c>
      <c r="B145" s="8" t="s">
        <v>21</v>
      </c>
      <c r="C145" s="12">
        <f t="shared" ref="C145:K145" si="34">IFERROR(C143/C142,"")</f>
        <v>3.6521311475409837</v>
      </c>
      <c r="D145" s="12">
        <f t="shared" si="34"/>
        <v>3.9281818181818182</v>
      </c>
      <c r="E145" s="12">
        <f t="shared" si="34"/>
        <v>3.45</v>
      </c>
      <c r="F145" s="12">
        <f t="shared" si="34"/>
        <v>3.7548000000000004</v>
      </c>
      <c r="G145" s="12">
        <f t="shared" si="34"/>
        <v>3.9659999999999997</v>
      </c>
      <c r="H145" s="12">
        <f t="shared" si="34"/>
        <v>2.3670454545454547</v>
      </c>
      <c r="I145" s="12">
        <f t="shared" si="34"/>
        <v>4.1150000000000002</v>
      </c>
      <c r="J145" s="12">
        <f t="shared" si="34"/>
        <v>6.3013725490196082</v>
      </c>
      <c r="K145" s="12" t="str">
        <f t="shared" si="34"/>
        <v/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8" t="s">
        <v>39</v>
      </c>
      <c r="B146" s="8" t="s">
        <v>22</v>
      </c>
      <c r="C146" s="12">
        <f t="shared" ref="C146:K146" si="35">IFERROR(C144/C142,"")</f>
        <v>1.9885245901639343</v>
      </c>
      <c r="D146" s="12">
        <f t="shared" si="35"/>
        <v>1.5127272727272727</v>
      </c>
      <c r="E146" s="12">
        <f t="shared" si="35"/>
        <v>3.45</v>
      </c>
      <c r="F146" s="12">
        <f t="shared" si="35"/>
        <v>1.96</v>
      </c>
      <c r="G146" s="12">
        <f t="shared" si="35"/>
        <v>3.1737500000000001</v>
      </c>
      <c r="H146" s="12">
        <f t="shared" si="35"/>
        <v>1.3738636363636365</v>
      </c>
      <c r="I146" s="12">
        <f t="shared" si="35"/>
        <v>2.3121428571428573</v>
      </c>
      <c r="J146" s="12">
        <f t="shared" si="35"/>
        <v>3.06078431372549</v>
      </c>
      <c r="K146" s="12" t="str">
        <f t="shared" si="35"/>
        <v/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4" t="s">
        <v>40</v>
      </c>
      <c r="B147" s="4" t="s">
        <v>15</v>
      </c>
      <c r="C147" s="5">
        <v>200.7</v>
      </c>
      <c r="D147" s="4">
        <v>193.47</v>
      </c>
      <c r="E147" s="7">
        <v>152.12</v>
      </c>
      <c r="F147" s="5">
        <v>258.47000000000003</v>
      </c>
      <c r="G147" s="4">
        <v>215.55</v>
      </c>
      <c r="H147" s="7">
        <v>205.42</v>
      </c>
      <c r="I147" s="5">
        <v>198.51</v>
      </c>
      <c r="J147" s="4">
        <v>221.49</v>
      </c>
      <c r="K147" s="7">
        <v>215.68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4" t="s">
        <v>40</v>
      </c>
      <c r="B148" s="4" t="s">
        <v>16</v>
      </c>
      <c r="C148" s="5">
        <v>27168.57</v>
      </c>
      <c r="D148" s="4">
        <v>26176.639999999999</v>
      </c>
      <c r="E148" s="7">
        <v>844.25</v>
      </c>
      <c r="F148" s="5">
        <v>10946.41</v>
      </c>
      <c r="G148" s="4">
        <v>20941.099999999999</v>
      </c>
      <c r="H148" s="7">
        <v>15807.13</v>
      </c>
      <c r="I148" s="5">
        <v>29816.21</v>
      </c>
      <c r="J148" s="4">
        <v>36347.24</v>
      </c>
      <c r="K148" s="7">
        <v>1660.75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4" t="s">
        <v>40</v>
      </c>
      <c r="B149" s="4" t="s">
        <v>17</v>
      </c>
      <c r="C149" s="5">
        <v>680.27</v>
      </c>
      <c r="D149" s="4">
        <v>636.12</v>
      </c>
      <c r="E149" s="7">
        <v>715.6</v>
      </c>
      <c r="F149" s="5">
        <v>1097.22</v>
      </c>
      <c r="G149" s="4">
        <v>1123.7</v>
      </c>
      <c r="H149" s="7">
        <v>383.53</v>
      </c>
      <c r="I149" s="5">
        <v>952.93</v>
      </c>
      <c r="J149" s="4">
        <v>887.37</v>
      </c>
      <c r="K149" s="7">
        <v>866.64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8" t="s">
        <v>40</v>
      </c>
      <c r="B150" s="8" t="s">
        <v>18</v>
      </c>
      <c r="C150" s="9">
        <v>64</v>
      </c>
      <c r="D150" s="8">
        <v>66</v>
      </c>
      <c r="E150" s="11">
        <v>2</v>
      </c>
      <c r="F150" s="9">
        <v>16</v>
      </c>
      <c r="G150" s="8">
        <v>30</v>
      </c>
      <c r="H150" s="11">
        <v>66</v>
      </c>
      <c r="I150" s="9">
        <v>50</v>
      </c>
      <c r="J150" s="8">
        <v>68</v>
      </c>
      <c r="K150" s="11">
        <v>3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x14ac:dyDescent="0.2">
      <c r="A151" s="8" t="s">
        <v>40</v>
      </c>
      <c r="B151" s="8" t="s">
        <v>19</v>
      </c>
      <c r="C151" s="9">
        <v>225.42</v>
      </c>
      <c r="D151" s="8">
        <v>280.58999999999997</v>
      </c>
      <c r="E151" s="11">
        <v>5.55</v>
      </c>
      <c r="F151" s="9">
        <v>70.84</v>
      </c>
      <c r="G151" s="8">
        <v>146.69999999999999</v>
      </c>
      <c r="H151" s="11">
        <v>158.05000000000001</v>
      </c>
      <c r="I151" s="9">
        <v>238.85</v>
      </c>
      <c r="J151" s="8">
        <v>344.48</v>
      </c>
      <c r="K151" s="11">
        <v>22.3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x14ac:dyDescent="0.2">
      <c r="A152" s="8" t="s">
        <v>40</v>
      </c>
      <c r="B152" s="8" t="s">
        <v>20</v>
      </c>
      <c r="C152" s="9">
        <v>135.37</v>
      </c>
      <c r="D152" s="8">
        <v>135.30000000000001</v>
      </c>
      <c r="E152" s="11">
        <v>5.55</v>
      </c>
      <c r="F152" s="9">
        <v>42.35</v>
      </c>
      <c r="G152" s="8">
        <v>97.15</v>
      </c>
      <c r="H152" s="11">
        <v>76.95</v>
      </c>
      <c r="I152" s="9">
        <v>150.19999999999999</v>
      </c>
      <c r="J152" s="8">
        <v>164.1</v>
      </c>
      <c r="K152" s="11">
        <v>7.7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x14ac:dyDescent="0.2">
      <c r="A153" s="8" t="s">
        <v>40</v>
      </c>
      <c r="B153" s="8" t="s">
        <v>21</v>
      </c>
      <c r="C153" s="12">
        <f t="shared" ref="C153:K153" si="36">IFERROR(C151/C150,"")</f>
        <v>3.5221874999999998</v>
      </c>
      <c r="D153" s="12">
        <f t="shared" si="36"/>
        <v>4.251363636363636</v>
      </c>
      <c r="E153" s="12">
        <f t="shared" si="36"/>
        <v>2.7749999999999999</v>
      </c>
      <c r="F153" s="12">
        <f t="shared" si="36"/>
        <v>4.4275000000000002</v>
      </c>
      <c r="G153" s="12">
        <f t="shared" si="36"/>
        <v>4.8899999999999997</v>
      </c>
      <c r="H153" s="12">
        <f t="shared" si="36"/>
        <v>2.39469696969697</v>
      </c>
      <c r="I153" s="12">
        <f t="shared" si="36"/>
        <v>4.7770000000000001</v>
      </c>
      <c r="J153" s="12">
        <f t="shared" si="36"/>
        <v>5.0658823529411769</v>
      </c>
      <c r="K153" s="12">
        <f t="shared" si="36"/>
        <v>7.4333333333333336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8" t="s">
        <v>40</v>
      </c>
      <c r="B154" s="8" t="s">
        <v>22</v>
      </c>
      <c r="C154" s="12">
        <f t="shared" ref="C154:K154" si="37">IFERROR(C152/C150,"")</f>
        <v>2.1151562500000001</v>
      </c>
      <c r="D154" s="12">
        <f t="shared" si="37"/>
        <v>2.0500000000000003</v>
      </c>
      <c r="E154" s="12">
        <f t="shared" si="37"/>
        <v>2.7749999999999999</v>
      </c>
      <c r="F154" s="12">
        <f t="shared" si="37"/>
        <v>2.6468750000000001</v>
      </c>
      <c r="G154" s="12">
        <f t="shared" si="37"/>
        <v>3.2383333333333337</v>
      </c>
      <c r="H154" s="12">
        <f t="shared" si="37"/>
        <v>1.165909090909091</v>
      </c>
      <c r="I154" s="12">
        <f t="shared" si="37"/>
        <v>3.0039999999999996</v>
      </c>
      <c r="J154" s="12">
        <f t="shared" si="37"/>
        <v>2.4132352941176469</v>
      </c>
      <c r="K154" s="12">
        <f t="shared" si="37"/>
        <v>2.5666666666666669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4" t="s">
        <v>41</v>
      </c>
      <c r="B155" s="4" t="s">
        <v>15</v>
      </c>
      <c r="C155" s="5">
        <v>219.33</v>
      </c>
      <c r="D155" s="4">
        <v>217.76</v>
      </c>
      <c r="E155" s="7">
        <v>351.79</v>
      </c>
      <c r="F155" s="5">
        <v>196.78</v>
      </c>
      <c r="G155" s="4">
        <v>243.53</v>
      </c>
      <c r="H155" s="7">
        <v>212.58</v>
      </c>
      <c r="I155" s="5">
        <v>206.32</v>
      </c>
      <c r="J155" s="4">
        <v>214.17</v>
      </c>
      <c r="K155" s="7">
        <v>173.25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4" t="s">
        <v>41</v>
      </c>
      <c r="B156" s="4" t="s">
        <v>16</v>
      </c>
      <c r="C156" s="5">
        <v>22043.119999999999</v>
      </c>
      <c r="D156" s="4">
        <v>25205.49</v>
      </c>
      <c r="E156" s="7">
        <v>1090.55</v>
      </c>
      <c r="F156" s="5">
        <v>9327.42</v>
      </c>
      <c r="G156" s="4">
        <v>23719.86</v>
      </c>
      <c r="H156" s="7">
        <v>20801.27</v>
      </c>
      <c r="I156" s="5">
        <v>35435.11</v>
      </c>
      <c r="J156" s="4">
        <v>37160.620000000003</v>
      </c>
      <c r="K156" s="7">
        <v>277.2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4" t="s">
        <v>41</v>
      </c>
      <c r="B157" s="4" t="s">
        <v>17</v>
      </c>
      <c r="C157" s="5">
        <v>617.47</v>
      </c>
      <c r="D157" s="4">
        <v>570.54</v>
      </c>
      <c r="E157" s="7">
        <v>825.78</v>
      </c>
      <c r="F157" s="5">
        <v>992.78</v>
      </c>
      <c r="G157" s="4">
        <v>779.97</v>
      </c>
      <c r="H157" s="7">
        <v>768.91</v>
      </c>
      <c r="I157" s="5">
        <v>803.28</v>
      </c>
      <c r="J157" s="4">
        <v>1093.23</v>
      </c>
      <c r="K157" s="7">
        <v>204.52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8" t="s">
        <v>41</v>
      </c>
      <c r="B158" s="8" t="s">
        <v>18</v>
      </c>
      <c r="C158" s="9">
        <v>59</v>
      </c>
      <c r="D158" s="8">
        <v>77</v>
      </c>
      <c r="E158" s="11">
        <v>2</v>
      </c>
      <c r="F158" s="9">
        <v>15</v>
      </c>
      <c r="G158" s="8">
        <v>49</v>
      </c>
      <c r="H158" s="11">
        <v>46</v>
      </c>
      <c r="I158" s="9">
        <v>70</v>
      </c>
      <c r="J158" s="8">
        <v>54</v>
      </c>
      <c r="K158" s="11">
        <v>2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x14ac:dyDescent="0.2">
      <c r="A159" s="8" t="s">
        <v>41</v>
      </c>
      <c r="B159" s="8" t="s">
        <v>19</v>
      </c>
      <c r="C159" s="9">
        <v>200.85</v>
      </c>
      <c r="D159" s="8">
        <v>249.18</v>
      </c>
      <c r="E159" s="11">
        <v>5.3</v>
      </c>
      <c r="F159" s="9">
        <v>51.99</v>
      </c>
      <c r="G159" s="8">
        <v>153.75</v>
      </c>
      <c r="H159" s="11">
        <v>132.65</v>
      </c>
      <c r="I159" s="9">
        <v>292.25</v>
      </c>
      <c r="J159" s="8">
        <v>274.31</v>
      </c>
      <c r="K159" s="11">
        <v>4.5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x14ac:dyDescent="0.2">
      <c r="A160" s="8" t="s">
        <v>41</v>
      </c>
      <c r="B160" s="8" t="s">
        <v>20</v>
      </c>
      <c r="C160" s="9">
        <v>100.5</v>
      </c>
      <c r="D160" s="8">
        <v>115.75</v>
      </c>
      <c r="E160" s="11">
        <v>3.1</v>
      </c>
      <c r="F160" s="9">
        <v>47.4</v>
      </c>
      <c r="G160" s="8">
        <v>97.4</v>
      </c>
      <c r="H160" s="11">
        <v>97.85</v>
      </c>
      <c r="I160" s="9">
        <v>171.75</v>
      </c>
      <c r="J160" s="8">
        <v>173.51</v>
      </c>
      <c r="K160" s="11">
        <v>1.6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x14ac:dyDescent="0.2">
      <c r="A161" s="8" t="s">
        <v>41</v>
      </c>
      <c r="B161" s="8" t="s">
        <v>21</v>
      </c>
      <c r="C161" s="12">
        <f t="shared" ref="C161:K161" si="38">IFERROR(C159/C158,"")</f>
        <v>3.4042372881355933</v>
      </c>
      <c r="D161" s="12">
        <f t="shared" si="38"/>
        <v>3.2361038961038964</v>
      </c>
      <c r="E161" s="12">
        <f t="shared" si="38"/>
        <v>2.65</v>
      </c>
      <c r="F161" s="12">
        <f t="shared" si="38"/>
        <v>3.4660000000000002</v>
      </c>
      <c r="G161" s="12">
        <f t="shared" si="38"/>
        <v>3.1377551020408165</v>
      </c>
      <c r="H161" s="12">
        <f t="shared" si="38"/>
        <v>2.883695652173913</v>
      </c>
      <c r="I161" s="12">
        <f t="shared" si="38"/>
        <v>4.1749999999999998</v>
      </c>
      <c r="J161" s="12">
        <f t="shared" si="38"/>
        <v>5.0798148148148146</v>
      </c>
      <c r="K161" s="12">
        <f t="shared" si="38"/>
        <v>2.25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8" t="s">
        <v>41</v>
      </c>
      <c r="B162" s="8" t="s">
        <v>22</v>
      </c>
      <c r="C162" s="12">
        <f t="shared" ref="C162:K162" si="39">IFERROR(C160/C158,"")</f>
        <v>1.7033898305084745</v>
      </c>
      <c r="D162" s="12">
        <f t="shared" si="39"/>
        <v>1.5032467532467533</v>
      </c>
      <c r="E162" s="12">
        <f t="shared" si="39"/>
        <v>1.55</v>
      </c>
      <c r="F162" s="12">
        <f t="shared" si="39"/>
        <v>3.1599999999999997</v>
      </c>
      <c r="G162" s="12">
        <f t="shared" si="39"/>
        <v>1.9877551020408164</v>
      </c>
      <c r="H162" s="12">
        <f t="shared" si="39"/>
        <v>2.1271739130434781</v>
      </c>
      <c r="I162" s="12">
        <f t="shared" si="39"/>
        <v>2.4535714285714287</v>
      </c>
      <c r="J162" s="12">
        <f t="shared" si="39"/>
        <v>3.2131481481481479</v>
      </c>
      <c r="K162" s="12">
        <f t="shared" si="39"/>
        <v>0.8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4" t="s">
        <v>42</v>
      </c>
      <c r="B163" s="4" t="s">
        <v>15</v>
      </c>
      <c r="C163" s="5">
        <v>214.11</v>
      </c>
      <c r="D163" s="4">
        <v>199.19</v>
      </c>
      <c r="E163" s="7">
        <v>190.62</v>
      </c>
      <c r="F163" s="5">
        <v>244.28</v>
      </c>
      <c r="G163" s="4">
        <v>228.03</v>
      </c>
      <c r="H163" s="7">
        <v>215.86</v>
      </c>
      <c r="I163" s="5">
        <v>197.88</v>
      </c>
      <c r="J163" s="4">
        <v>217.52</v>
      </c>
      <c r="K163" s="7">
        <v>256.01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4" t="s">
        <v>42</v>
      </c>
      <c r="B164" s="4" t="s">
        <v>16</v>
      </c>
      <c r="C164" s="5">
        <v>19100.419999999998</v>
      </c>
      <c r="D164" s="4">
        <v>25777.55</v>
      </c>
      <c r="E164" s="7">
        <v>953.12</v>
      </c>
      <c r="F164" s="5">
        <v>19535.169999999998</v>
      </c>
      <c r="G164" s="4">
        <v>29655.48</v>
      </c>
      <c r="H164" s="7">
        <v>16482.97</v>
      </c>
      <c r="I164" s="5">
        <v>35786.879999999997</v>
      </c>
      <c r="J164" s="4">
        <v>28908.39</v>
      </c>
      <c r="K164" s="7">
        <v>3865.8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4" t="s">
        <v>42</v>
      </c>
      <c r="B165" s="4" t="s">
        <v>17</v>
      </c>
      <c r="C165" s="5">
        <v>620.96</v>
      </c>
      <c r="D165" s="4">
        <v>607.44000000000005</v>
      </c>
      <c r="E165" s="7">
        <v>470.34</v>
      </c>
      <c r="F165" s="5">
        <v>1532.1</v>
      </c>
      <c r="G165" s="4">
        <v>1003.44</v>
      </c>
      <c r="H165" s="7">
        <v>582.64</v>
      </c>
      <c r="I165" s="5">
        <v>924.41</v>
      </c>
      <c r="J165" s="4">
        <v>849.99</v>
      </c>
      <c r="K165" s="7">
        <v>1053.78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8" t="s">
        <v>42</v>
      </c>
      <c r="B166" s="8" t="s">
        <v>18</v>
      </c>
      <c r="C166" s="9">
        <v>52</v>
      </c>
      <c r="D166" s="8">
        <v>70</v>
      </c>
      <c r="E166" s="11">
        <v>4</v>
      </c>
      <c r="F166" s="9">
        <v>20</v>
      </c>
      <c r="G166" s="8">
        <v>47</v>
      </c>
      <c r="H166" s="11">
        <v>45</v>
      </c>
      <c r="I166" s="9">
        <v>61</v>
      </c>
      <c r="J166" s="8">
        <v>56</v>
      </c>
      <c r="K166" s="11">
        <v>7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x14ac:dyDescent="0.2">
      <c r="A167" s="8" t="s">
        <v>42</v>
      </c>
      <c r="B167" s="8" t="s">
        <v>19</v>
      </c>
      <c r="C167" s="9">
        <v>142.11000000000001</v>
      </c>
      <c r="D167" s="8">
        <v>256.48</v>
      </c>
      <c r="E167" s="11">
        <v>11</v>
      </c>
      <c r="F167" s="9">
        <v>91.02</v>
      </c>
      <c r="G167" s="8">
        <v>150.5</v>
      </c>
      <c r="H167" s="11">
        <v>107.94</v>
      </c>
      <c r="I167" s="9">
        <v>286.60000000000002</v>
      </c>
      <c r="J167" s="8">
        <v>287.5</v>
      </c>
      <c r="K167" s="11">
        <v>32.799999999999997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x14ac:dyDescent="0.2">
      <c r="A168" s="8" t="s">
        <v>42</v>
      </c>
      <c r="B168" s="8" t="s">
        <v>20</v>
      </c>
      <c r="C168" s="9">
        <v>89.21</v>
      </c>
      <c r="D168" s="8">
        <v>129.41</v>
      </c>
      <c r="E168" s="11">
        <v>5</v>
      </c>
      <c r="F168" s="9">
        <v>79.97</v>
      </c>
      <c r="G168" s="8">
        <v>130.05000000000001</v>
      </c>
      <c r="H168" s="11">
        <v>76.36</v>
      </c>
      <c r="I168" s="9">
        <v>180.85</v>
      </c>
      <c r="J168" s="8">
        <v>132.9</v>
      </c>
      <c r="K168" s="11">
        <v>15.1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x14ac:dyDescent="0.2">
      <c r="A169" s="8" t="s">
        <v>42</v>
      </c>
      <c r="B169" s="8" t="s">
        <v>21</v>
      </c>
      <c r="C169" s="12">
        <f t="shared" ref="C169:K169" si="40">IFERROR(C167/C166,"")</f>
        <v>2.7328846153846156</v>
      </c>
      <c r="D169" s="12">
        <f t="shared" si="40"/>
        <v>3.6640000000000001</v>
      </c>
      <c r="E169" s="12">
        <f t="shared" si="40"/>
        <v>2.75</v>
      </c>
      <c r="F169" s="12">
        <f t="shared" si="40"/>
        <v>4.5510000000000002</v>
      </c>
      <c r="G169" s="12">
        <f t="shared" si="40"/>
        <v>3.2021276595744679</v>
      </c>
      <c r="H169" s="12">
        <f t="shared" si="40"/>
        <v>2.3986666666666667</v>
      </c>
      <c r="I169" s="12">
        <f t="shared" si="40"/>
        <v>4.6983606557377051</v>
      </c>
      <c r="J169" s="12">
        <f t="shared" si="40"/>
        <v>5.1339285714285712</v>
      </c>
      <c r="K169" s="12">
        <f t="shared" si="40"/>
        <v>4.6857142857142851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8" t="s">
        <v>42</v>
      </c>
      <c r="B170" s="8" t="s">
        <v>22</v>
      </c>
      <c r="C170" s="12">
        <f t="shared" ref="C170:K170" si="41">IFERROR(C168/C166,"")</f>
        <v>1.7155769230769229</v>
      </c>
      <c r="D170" s="12">
        <f t="shared" si="41"/>
        <v>1.8487142857142858</v>
      </c>
      <c r="E170" s="12">
        <f t="shared" si="41"/>
        <v>1.25</v>
      </c>
      <c r="F170" s="12">
        <f t="shared" si="41"/>
        <v>3.9984999999999999</v>
      </c>
      <c r="G170" s="12">
        <f t="shared" si="41"/>
        <v>2.7670212765957447</v>
      </c>
      <c r="H170" s="12">
        <f t="shared" si="41"/>
        <v>1.6968888888888889</v>
      </c>
      <c r="I170" s="12">
        <f t="shared" si="41"/>
        <v>2.9647540983606557</v>
      </c>
      <c r="J170" s="12">
        <f t="shared" si="41"/>
        <v>2.3732142857142859</v>
      </c>
      <c r="K170" s="12">
        <f t="shared" si="41"/>
        <v>2.157142857142857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4" t="s">
        <v>43</v>
      </c>
      <c r="B171" s="4" t="s">
        <v>15</v>
      </c>
      <c r="C171" s="5">
        <v>200.96</v>
      </c>
      <c r="D171" s="4">
        <v>210.6</v>
      </c>
      <c r="E171" s="7">
        <v>193.22</v>
      </c>
      <c r="F171" s="5">
        <v>249.44</v>
      </c>
      <c r="G171" s="4">
        <v>242.03</v>
      </c>
      <c r="H171" s="7">
        <v>213</v>
      </c>
      <c r="I171" s="5">
        <v>207.23</v>
      </c>
      <c r="J171" s="4">
        <v>212.6</v>
      </c>
      <c r="K171" s="7">
        <v>272.36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4" t="s">
        <v>43</v>
      </c>
      <c r="B172" s="4" t="s">
        <v>16</v>
      </c>
      <c r="C172" s="5">
        <v>20809.740000000002</v>
      </c>
      <c r="D172" s="4">
        <v>12960.62</v>
      </c>
      <c r="E172" s="7">
        <v>627.97</v>
      </c>
      <c r="F172" s="5">
        <v>12976.09</v>
      </c>
      <c r="G172" s="4">
        <v>23201.42</v>
      </c>
      <c r="H172" s="7">
        <v>9316.56</v>
      </c>
      <c r="I172" s="5">
        <v>22535.75</v>
      </c>
      <c r="J172" s="4">
        <v>31507.040000000001</v>
      </c>
      <c r="K172" s="7">
        <v>435.78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4" t="s">
        <v>43</v>
      </c>
      <c r="B173" s="4" t="s">
        <v>17</v>
      </c>
      <c r="C173" s="5">
        <v>812.39</v>
      </c>
      <c r="D173" s="4">
        <v>480.21</v>
      </c>
      <c r="E173" s="7">
        <v>768.44</v>
      </c>
      <c r="F173" s="5">
        <v>622.79</v>
      </c>
      <c r="G173" s="4">
        <v>970.62</v>
      </c>
      <c r="H173" s="7">
        <v>615.82000000000005</v>
      </c>
      <c r="I173" s="5">
        <v>639.91</v>
      </c>
      <c r="J173" s="4">
        <v>1195.8599999999999</v>
      </c>
      <c r="K173" s="7">
        <v>852.79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8" t="s">
        <v>43</v>
      </c>
      <c r="B174" s="8" t="s">
        <v>18</v>
      </c>
      <c r="C174" s="9">
        <v>44</v>
      </c>
      <c r="D174" s="8">
        <v>45</v>
      </c>
      <c r="E174" s="11">
        <v>2</v>
      </c>
      <c r="F174" s="9">
        <v>32</v>
      </c>
      <c r="G174" s="8">
        <v>41</v>
      </c>
      <c r="H174" s="11">
        <v>24</v>
      </c>
      <c r="I174" s="9">
        <v>56</v>
      </c>
      <c r="J174" s="8">
        <v>42</v>
      </c>
      <c r="K174" s="11">
        <v>1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x14ac:dyDescent="0.2">
      <c r="A175" s="8" t="s">
        <v>43</v>
      </c>
      <c r="B175" s="8" t="s">
        <v>19</v>
      </c>
      <c r="C175" s="9">
        <v>153.69999999999999</v>
      </c>
      <c r="D175" s="8">
        <v>155.79</v>
      </c>
      <c r="E175" s="11">
        <v>3.25</v>
      </c>
      <c r="F175" s="9">
        <v>80.27</v>
      </c>
      <c r="G175" s="8">
        <v>134.76</v>
      </c>
      <c r="H175" s="11">
        <v>62.54</v>
      </c>
      <c r="I175" s="9">
        <v>249.8</v>
      </c>
      <c r="J175" s="8">
        <v>293.60000000000002</v>
      </c>
      <c r="K175" s="11">
        <v>1.6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x14ac:dyDescent="0.2">
      <c r="A176" s="8" t="s">
        <v>43</v>
      </c>
      <c r="B176" s="8" t="s">
        <v>20</v>
      </c>
      <c r="C176" s="9">
        <v>103.55</v>
      </c>
      <c r="D176" s="8">
        <v>61.54</v>
      </c>
      <c r="E176" s="11">
        <v>3.25</v>
      </c>
      <c r="F176" s="9">
        <v>52.02</v>
      </c>
      <c r="G176" s="8">
        <v>95.86</v>
      </c>
      <c r="H176" s="11">
        <v>43.74</v>
      </c>
      <c r="I176" s="9">
        <v>108.75</v>
      </c>
      <c r="J176" s="8">
        <v>148.19999999999999</v>
      </c>
      <c r="K176" s="11">
        <v>1.6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x14ac:dyDescent="0.2">
      <c r="A177" s="8" t="s">
        <v>43</v>
      </c>
      <c r="B177" s="8" t="s">
        <v>21</v>
      </c>
      <c r="C177" s="12">
        <f t="shared" ref="C177:K177" si="42">IFERROR(C175/C174,"")</f>
        <v>3.4931818181818177</v>
      </c>
      <c r="D177" s="12">
        <f t="shared" si="42"/>
        <v>3.4619999999999997</v>
      </c>
      <c r="E177" s="12">
        <f t="shared" si="42"/>
        <v>1.625</v>
      </c>
      <c r="F177" s="12">
        <f t="shared" si="42"/>
        <v>2.5084374999999999</v>
      </c>
      <c r="G177" s="12">
        <f t="shared" si="42"/>
        <v>3.2868292682926827</v>
      </c>
      <c r="H177" s="12">
        <f t="shared" si="42"/>
        <v>2.6058333333333334</v>
      </c>
      <c r="I177" s="12">
        <f t="shared" si="42"/>
        <v>4.4607142857142863</v>
      </c>
      <c r="J177" s="12">
        <f t="shared" si="42"/>
        <v>6.9904761904761914</v>
      </c>
      <c r="K177" s="12">
        <f t="shared" si="42"/>
        <v>1.6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8" t="s">
        <v>43</v>
      </c>
      <c r="B178" s="8" t="s">
        <v>22</v>
      </c>
      <c r="C178" s="12">
        <f t="shared" ref="C178:K178" si="43">IFERROR(C176/C174,"")</f>
        <v>2.353409090909091</v>
      </c>
      <c r="D178" s="12">
        <f t="shared" si="43"/>
        <v>1.3675555555555556</v>
      </c>
      <c r="E178" s="12">
        <f t="shared" si="43"/>
        <v>1.625</v>
      </c>
      <c r="F178" s="12">
        <f t="shared" si="43"/>
        <v>1.6256250000000001</v>
      </c>
      <c r="G178" s="12">
        <f t="shared" si="43"/>
        <v>2.3380487804878047</v>
      </c>
      <c r="H178" s="12">
        <f t="shared" si="43"/>
        <v>1.8225</v>
      </c>
      <c r="I178" s="12">
        <f t="shared" si="43"/>
        <v>1.9419642857142858</v>
      </c>
      <c r="J178" s="12">
        <f t="shared" si="43"/>
        <v>3.5285714285714285</v>
      </c>
      <c r="K178" s="12">
        <f t="shared" si="43"/>
        <v>1.6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4" t="s">
        <v>44</v>
      </c>
      <c r="B179" s="4" t="s">
        <v>15</v>
      </c>
      <c r="C179" s="5">
        <v>213.59</v>
      </c>
      <c r="D179" s="4">
        <v>197.89</v>
      </c>
      <c r="E179" s="7">
        <v>251.84</v>
      </c>
      <c r="F179" s="5">
        <v>256.64</v>
      </c>
      <c r="G179" s="4">
        <v>220.35</v>
      </c>
      <c r="H179" s="7">
        <v>216.29</v>
      </c>
      <c r="I179" s="5">
        <v>195.5</v>
      </c>
      <c r="J179" s="4">
        <v>194.33</v>
      </c>
      <c r="K179" s="7">
        <v>174.81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4" t="s">
        <v>44</v>
      </c>
      <c r="B180" s="4" t="s">
        <v>16</v>
      </c>
      <c r="C180" s="5">
        <v>26634.68</v>
      </c>
      <c r="D180" s="4">
        <v>18176.62</v>
      </c>
      <c r="E180" s="7">
        <v>402.95</v>
      </c>
      <c r="F180" s="5">
        <v>9328.8799999999992</v>
      </c>
      <c r="G180" s="4">
        <v>23789.46</v>
      </c>
      <c r="H180" s="7">
        <v>21574.52</v>
      </c>
      <c r="I180" s="5">
        <v>39343.79</v>
      </c>
      <c r="J180" s="4">
        <v>33473.919999999998</v>
      </c>
      <c r="K180" s="7">
        <v>1861.71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x14ac:dyDescent="0.2">
      <c r="A181" s="4" t="s">
        <v>44</v>
      </c>
      <c r="B181" s="4" t="s">
        <v>17</v>
      </c>
      <c r="C181" s="5">
        <v>735.13</v>
      </c>
      <c r="D181" s="4">
        <v>540.83000000000004</v>
      </c>
      <c r="E181" s="7">
        <v>1001.35</v>
      </c>
      <c r="F181" s="5">
        <v>768.77</v>
      </c>
      <c r="G181" s="4">
        <v>927.76</v>
      </c>
      <c r="H181" s="7">
        <v>442.94</v>
      </c>
      <c r="I181" s="5">
        <v>889.14</v>
      </c>
      <c r="J181" s="4">
        <v>891.3</v>
      </c>
      <c r="K181" s="7">
        <v>1094.7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x14ac:dyDescent="0.2">
      <c r="A182" s="8" t="s">
        <v>44</v>
      </c>
      <c r="B182" s="8" t="s">
        <v>18</v>
      </c>
      <c r="C182" s="9">
        <v>62</v>
      </c>
      <c r="D182" s="8">
        <v>55</v>
      </c>
      <c r="E182" s="11">
        <v>1</v>
      </c>
      <c r="F182" s="9">
        <v>18</v>
      </c>
      <c r="G182" s="8">
        <v>43</v>
      </c>
      <c r="H182" s="11">
        <v>76</v>
      </c>
      <c r="I182" s="9">
        <v>72</v>
      </c>
      <c r="J182" s="8">
        <v>59</v>
      </c>
      <c r="K182" s="11">
        <v>3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x14ac:dyDescent="0.2">
      <c r="A183" s="8" t="s">
        <v>44</v>
      </c>
      <c r="B183" s="8" t="s">
        <v>19</v>
      </c>
      <c r="C183" s="9">
        <v>207.89</v>
      </c>
      <c r="D183" s="8">
        <v>222.95</v>
      </c>
      <c r="E183" s="11">
        <v>10.3</v>
      </c>
      <c r="F183" s="9">
        <v>44.7</v>
      </c>
      <c r="G183" s="8">
        <v>118.26</v>
      </c>
      <c r="H183" s="11">
        <v>142.35</v>
      </c>
      <c r="I183" s="9">
        <v>304.39999999999998</v>
      </c>
      <c r="J183" s="8">
        <v>261.55</v>
      </c>
      <c r="K183" s="11">
        <v>15.15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x14ac:dyDescent="0.2">
      <c r="A184" s="8" t="s">
        <v>44</v>
      </c>
      <c r="B184" s="8" t="s">
        <v>20</v>
      </c>
      <c r="C184" s="9">
        <v>124.7</v>
      </c>
      <c r="D184" s="8">
        <v>91.85</v>
      </c>
      <c r="E184" s="11">
        <v>1.6</v>
      </c>
      <c r="F184" s="9">
        <v>36.35</v>
      </c>
      <c r="G184" s="8">
        <v>107.96</v>
      </c>
      <c r="H184" s="11">
        <v>99.75</v>
      </c>
      <c r="I184" s="9">
        <v>201.25</v>
      </c>
      <c r="J184" s="8">
        <v>172.25</v>
      </c>
      <c r="K184" s="11">
        <v>10.65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x14ac:dyDescent="0.2">
      <c r="A185" s="8" t="s">
        <v>44</v>
      </c>
      <c r="B185" s="8" t="s">
        <v>21</v>
      </c>
      <c r="C185" s="12">
        <f t="shared" ref="C185:K185" si="44">IFERROR(C183/C182,"")</f>
        <v>3.3530645161290322</v>
      </c>
      <c r="D185" s="12">
        <f t="shared" si="44"/>
        <v>4.0536363636363637</v>
      </c>
      <c r="E185" s="12">
        <f t="shared" si="44"/>
        <v>10.3</v>
      </c>
      <c r="F185" s="12">
        <f t="shared" si="44"/>
        <v>2.4833333333333334</v>
      </c>
      <c r="G185" s="12">
        <f t="shared" si="44"/>
        <v>2.750232558139535</v>
      </c>
      <c r="H185" s="12">
        <f t="shared" si="44"/>
        <v>1.8730263157894735</v>
      </c>
      <c r="I185" s="12">
        <f t="shared" si="44"/>
        <v>4.2277777777777779</v>
      </c>
      <c r="J185" s="12">
        <f t="shared" si="44"/>
        <v>4.4330508474576273</v>
      </c>
      <c r="K185" s="12">
        <f t="shared" si="44"/>
        <v>5.05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x14ac:dyDescent="0.2">
      <c r="A186" s="8" t="s">
        <v>44</v>
      </c>
      <c r="B186" s="8" t="s">
        <v>22</v>
      </c>
      <c r="C186" s="12">
        <f t="shared" ref="C186:K186" si="45">IFERROR(C184/C182,"")</f>
        <v>2.0112903225806451</v>
      </c>
      <c r="D186" s="12">
        <f t="shared" si="45"/>
        <v>1.67</v>
      </c>
      <c r="E186" s="12">
        <f t="shared" si="45"/>
        <v>1.6</v>
      </c>
      <c r="F186" s="12">
        <f t="shared" si="45"/>
        <v>2.0194444444444444</v>
      </c>
      <c r="G186" s="12">
        <f t="shared" si="45"/>
        <v>2.5106976744186045</v>
      </c>
      <c r="H186" s="12">
        <f t="shared" si="45"/>
        <v>1.3125</v>
      </c>
      <c r="I186" s="12">
        <f t="shared" si="45"/>
        <v>2.7951388888888888</v>
      </c>
      <c r="J186" s="12">
        <f t="shared" si="45"/>
        <v>2.9194915254237288</v>
      </c>
      <c r="K186" s="12">
        <f t="shared" si="45"/>
        <v>3.5500000000000003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x14ac:dyDescent="0.2">
      <c r="A187" s="4" t="s">
        <v>45</v>
      </c>
      <c r="B187" s="4" t="s">
        <v>15</v>
      </c>
      <c r="C187" s="5">
        <v>219.59</v>
      </c>
      <c r="D187" s="4">
        <v>216.46</v>
      </c>
      <c r="E187" s="7">
        <v>515.33000000000004</v>
      </c>
      <c r="F187" s="5"/>
      <c r="G187" s="4">
        <v>218.27</v>
      </c>
      <c r="H187" s="7">
        <v>206.77</v>
      </c>
      <c r="I187" s="5">
        <v>208.48</v>
      </c>
      <c r="J187" s="4">
        <v>225.92</v>
      </c>
      <c r="K187" s="7">
        <v>202.93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x14ac:dyDescent="0.2">
      <c r="A188" s="4" t="s">
        <v>45</v>
      </c>
      <c r="B188" s="4" t="s">
        <v>16</v>
      </c>
      <c r="C188" s="5">
        <v>27086.54</v>
      </c>
      <c r="D188" s="4">
        <v>21018.31</v>
      </c>
      <c r="E188" s="7">
        <v>77.3</v>
      </c>
      <c r="F188" s="5"/>
      <c r="G188" s="4">
        <v>25219.45</v>
      </c>
      <c r="H188" s="7">
        <v>17430.53</v>
      </c>
      <c r="I188" s="5">
        <v>38453.68</v>
      </c>
      <c r="J188" s="4">
        <v>41207.57</v>
      </c>
      <c r="K188" s="7">
        <v>4099.18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x14ac:dyDescent="0.2">
      <c r="A189" s="4" t="s">
        <v>45</v>
      </c>
      <c r="B189" s="4" t="s">
        <v>17</v>
      </c>
      <c r="C189" s="5">
        <v>603.55999999999995</v>
      </c>
      <c r="D189" s="4">
        <v>500.5</v>
      </c>
      <c r="E189" s="7">
        <v>245.98</v>
      </c>
      <c r="F189" s="5"/>
      <c r="G189" s="4">
        <v>959.39</v>
      </c>
      <c r="H189" s="7">
        <v>450.55</v>
      </c>
      <c r="I189" s="5">
        <v>921.35</v>
      </c>
      <c r="J189" s="4">
        <v>1253.3800000000001</v>
      </c>
      <c r="K189" s="7">
        <v>501.37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x14ac:dyDescent="0.2">
      <c r="A190" s="8" t="s">
        <v>45</v>
      </c>
      <c r="B190" s="8" t="s">
        <v>18</v>
      </c>
      <c r="C190" s="9">
        <v>76</v>
      </c>
      <c r="D190" s="8">
        <v>69</v>
      </c>
      <c r="E190" s="11">
        <v>1</v>
      </c>
      <c r="F190" s="9"/>
      <c r="G190" s="8">
        <v>41</v>
      </c>
      <c r="H190" s="11">
        <v>63</v>
      </c>
      <c r="I190" s="9">
        <v>6</v>
      </c>
      <c r="J190" s="8">
        <v>53</v>
      </c>
      <c r="K190" s="11">
        <v>13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x14ac:dyDescent="0.2">
      <c r="A191" s="8" t="s">
        <v>45</v>
      </c>
      <c r="B191" s="8" t="s">
        <v>19</v>
      </c>
      <c r="C191" s="9">
        <v>243.61</v>
      </c>
      <c r="D191" s="8">
        <v>240.7</v>
      </c>
      <c r="E191" s="11">
        <v>0.15</v>
      </c>
      <c r="F191" s="9"/>
      <c r="G191" s="8">
        <v>156.04</v>
      </c>
      <c r="H191" s="11">
        <v>130.5</v>
      </c>
      <c r="I191" s="9">
        <v>360.7</v>
      </c>
      <c r="J191" s="8">
        <v>293.64999999999998</v>
      </c>
      <c r="K191" s="11">
        <v>56.6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x14ac:dyDescent="0.2">
      <c r="A192" s="8" t="s">
        <v>45</v>
      </c>
      <c r="B192" s="8" t="s">
        <v>20</v>
      </c>
      <c r="C192" s="9">
        <v>123.35</v>
      </c>
      <c r="D192" s="8">
        <v>97.1</v>
      </c>
      <c r="E192" s="11">
        <v>0.15</v>
      </c>
      <c r="F192" s="9"/>
      <c r="G192" s="8">
        <v>115.54</v>
      </c>
      <c r="H192" s="11">
        <v>84.3</v>
      </c>
      <c r="I192" s="9">
        <v>184.45</v>
      </c>
      <c r="J192" s="8">
        <v>182.4</v>
      </c>
      <c r="K192" s="11">
        <v>20.2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x14ac:dyDescent="0.2">
      <c r="A193" s="8" t="s">
        <v>45</v>
      </c>
      <c r="B193" s="8" t="s">
        <v>21</v>
      </c>
      <c r="C193" s="12">
        <f t="shared" ref="C193:K193" si="46">IFERROR(C191/C190,"")</f>
        <v>3.2053947368421056</v>
      </c>
      <c r="D193" s="12">
        <f t="shared" si="46"/>
        <v>3.488405797101449</v>
      </c>
      <c r="E193" s="12">
        <f t="shared" si="46"/>
        <v>0.15</v>
      </c>
      <c r="F193" s="12" t="str">
        <f t="shared" si="46"/>
        <v/>
      </c>
      <c r="G193" s="12">
        <f t="shared" si="46"/>
        <v>3.8058536585365852</v>
      </c>
      <c r="H193" s="12">
        <f t="shared" si="46"/>
        <v>2.0714285714285716</v>
      </c>
      <c r="I193" s="12">
        <f t="shared" si="46"/>
        <v>60.116666666666667</v>
      </c>
      <c r="J193" s="12">
        <f t="shared" si="46"/>
        <v>5.5405660377358483</v>
      </c>
      <c r="K193" s="12">
        <f t="shared" si="46"/>
        <v>4.3538461538461544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x14ac:dyDescent="0.2">
      <c r="A194" s="8" t="s">
        <v>45</v>
      </c>
      <c r="B194" s="8" t="s">
        <v>22</v>
      </c>
      <c r="C194" s="12">
        <f t="shared" ref="C194:K194" si="47">IFERROR(C192/C190,"")</f>
        <v>1.6230263157894735</v>
      </c>
      <c r="D194" s="12">
        <f t="shared" si="47"/>
        <v>1.4072463768115941</v>
      </c>
      <c r="E194" s="12">
        <f t="shared" si="47"/>
        <v>0.15</v>
      </c>
      <c r="F194" s="12" t="str">
        <f t="shared" si="47"/>
        <v/>
      </c>
      <c r="G194" s="12">
        <f t="shared" si="47"/>
        <v>2.8180487804878052</v>
      </c>
      <c r="H194" s="12">
        <f t="shared" si="47"/>
        <v>1.338095238095238</v>
      </c>
      <c r="I194" s="12">
        <f t="shared" si="47"/>
        <v>30.741666666666664</v>
      </c>
      <c r="J194" s="12">
        <f t="shared" si="47"/>
        <v>3.4415094339622643</v>
      </c>
      <c r="K194" s="12">
        <f t="shared" si="47"/>
        <v>1.5538461538461539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x14ac:dyDescent="0.2">
      <c r="A195" s="4" t="s">
        <v>46</v>
      </c>
      <c r="B195" s="4" t="s">
        <v>15</v>
      </c>
      <c r="C195" s="5">
        <v>222.9</v>
      </c>
      <c r="D195" s="4">
        <v>195.04</v>
      </c>
      <c r="E195" s="7"/>
      <c r="F195" s="5"/>
      <c r="G195" s="4">
        <v>250.57</v>
      </c>
      <c r="H195" s="7">
        <v>217.59</v>
      </c>
      <c r="I195" s="5">
        <v>198.13</v>
      </c>
      <c r="J195" s="4">
        <v>216.32</v>
      </c>
      <c r="K195" s="7">
        <v>220.1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x14ac:dyDescent="0.2">
      <c r="A196" s="4" t="s">
        <v>46</v>
      </c>
      <c r="B196" s="4" t="s">
        <v>16</v>
      </c>
      <c r="C196" s="5">
        <v>28007.25</v>
      </c>
      <c r="D196" s="4">
        <v>19747.47</v>
      </c>
      <c r="E196" s="7"/>
      <c r="F196" s="5"/>
      <c r="G196" s="4">
        <v>31785.14</v>
      </c>
      <c r="H196" s="7">
        <v>23260.560000000001</v>
      </c>
      <c r="I196" s="5">
        <v>38040.269999999997</v>
      </c>
      <c r="J196" s="4">
        <v>32320.31</v>
      </c>
      <c r="K196" s="7">
        <v>4545.07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x14ac:dyDescent="0.2">
      <c r="A197" s="4" t="s">
        <v>46</v>
      </c>
      <c r="B197" s="4" t="s">
        <v>17</v>
      </c>
      <c r="C197" s="5">
        <v>551.09</v>
      </c>
      <c r="D197" s="4">
        <v>609.5</v>
      </c>
      <c r="E197" s="7"/>
      <c r="F197" s="5"/>
      <c r="G197" s="4">
        <v>844.27</v>
      </c>
      <c r="H197" s="7">
        <v>542.19000000000005</v>
      </c>
      <c r="I197" s="5">
        <v>793.62</v>
      </c>
      <c r="J197" s="4">
        <v>711.65</v>
      </c>
      <c r="K197" s="7">
        <v>655.21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x14ac:dyDescent="0.2">
      <c r="A198" s="8" t="s">
        <v>46</v>
      </c>
      <c r="B198" s="8" t="s">
        <v>18</v>
      </c>
      <c r="C198" s="9">
        <v>80</v>
      </c>
      <c r="D198" s="8">
        <v>56</v>
      </c>
      <c r="E198" s="11"/>
      <c r="F198" s="9"/>
      <c r="G198" s="8">
        <v>61</v>
      </c>
      <c r="H198" s="11">
        <v>72</v>
      </c>
      <c r="I198" s="9">
        <v>78</v>
      </c>
      <c r="J198" s="8">
        <v>70</v>
      </c>
      <c r="K198" s="11">
        <v>13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x14ac:dyDescent="0.2">
      <c r="A199" s="8" t="s">
        <v>46</v>
      </c>
      <c r="B199" s="8" t="s">
        <v>19</v>
      </c>
      <c r="C199" s="9">
        <v>238.45</v>
      </c>
      <c r="D199" s="8">
        <v>264.73</v>
      </c>
      <c r="E199" s="11"/>
      <c r="F199" s="9"/>
      <c r="G199" s="8">
        <v>197.8</v>
      </c>
      <c r="H199" s="11">
        <v>154.05000000000001</v>
      </c>
      <c r="I199" s="9">
        <v>335.7</v>
      </c>
      <c r="J199" s="8">
        <v>280.61</v>
      </c>
      <c r="K199" s="11">
        <v>54.9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x14ac:dyDescent="0.2">
      <c r="A200" s="8" t="s">
        <v>46</v>
      </c>
      <c r="B200" s="8" t="s">
        <v>20</v>
      </c>
      <c r="C200" s="9">
        <v>125.65</v>
      </c>
      <c r="D200" s="8">
        <v>101.25</v>
      </c>
      <c r="E200" s="11"/>
      <c r="F200" s="9"/>
      <c r="G200" s="8">
        <v>126.85</v>
      </c>
      <c r="H200" s="11">
        <v>106.9</v>
      </c>
      <c r="I200" s="9">
        <v>192</v>
      </c>
      <c r="J200" s="8">
        <v>149.41</v>
      </c>
      <c r="K200" s="11">
        <v>20.65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x14ac:dyDescent="0.2">
      <c r="A201" s="8" t="s">
        <v>46</v>
      </c>
      <c r="B201" s="8" t="s">
        <v>21</v>
      </c>
      <c r="C201" s="12">
        <f t="shared" ref="C201:K201" si="48">IFERROR(C199/C198,"")</f>
        <v>2.9806249999999999</v>
      </c>
      <c r="D201" s="12">
        <f t="shared" si="48"/>
        <v>4.7273214285714289</v>
      </c>
      <c r="E201" s="12" t="str">
        <f t="shared" si="48"/>
        <v/>
      </c>
      <c r="F201" s="12" t="str">
        <f t="shared" si="48"/>
        <v/>
      </c>
      <c r="G201" s="12">
        <f t="shared" si="48"/>
        <v>3.2426229508196722</v>
      </c>
      <c r="H201" s="12">
        <f t="shared" si="48"/>
        <v>2.1395833333333334</v>
      </c>
      <c r="I201" s="12">
        <f t="shared" si="48"/>
        <v>4.3038461538461537</v>
      </c>
      <c r="J201" s="12">
        <f t="shared" si="48"/>
        <v>4.0087142857142863</v>
      </c>
      <c r="K201" s="12">
        <f t="shared" si="48"/>
        <v>4.2230769230769232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x14ac:dyDescent="0.2">
      <c r="A202" s="8" t="s">
        <v>46</v>
      </c>
      <c r="B202" s="8" t="s">
        <v>22</v>
      </c>
      <c r="C202" s="12">
        <f t="shared" ref="C202:K202" si="49">IFERROR(C200/C198,"")</f>
        <v>1.5706250000000002</v>
      </c>
      <c r="D202" s="12">
        <f t="shared" si="49"/>
        <v>1.8080357142857142</v>
      </c>
      <c r="E202" s="12" t="str">
        <f t="shared" si="49"/>
        <v/>
      </c>
      <c r="F202" s="12" t="str">
        <f t="shared" si="49"/>
        <v/>
      </c>
      <c r="G202" s="12">
        <f t="shared" si="49"/>
        <v>2.0795081967213114</v>
      </c>
      <c r="H202" s="12">
        <f t="shared" si="49"/>
        <v>1.4847222222222223</v>
      </c>
      <c r="I202" s="12">
        <f t="shared" si="49"/>
        <v>2.4615384615384617</v>
      </c>
      <c r="J202" s="12">
        <f t="shared" si="49"/>
        <v>2.1344285714285713</v>
      </c>
      <c r="K202" s="12">
        <f t="shared" si="49"/>
        <v>1.5884615384615384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x14ac:dyDescent="0.2">
      <c r="A203" s="4" t="s">
        <v>47</v>
      </c>
      <c r="B203" s="4" t="s">
        <v>15</v>
      </c>
      <c r="C203" s="5">
        <v>213.07</v>
      </c>
      <c r="D203" s="4">
        <v>205.7</v>
      </c>
      <c r="E203" s="7"/>
      <c r="F203" s="5"/>
      <c r="G203" s="4">
        <v>228.17</v>
      </c>
      <c r="H203" s="7">
        <v>234.02</v>
      </c>
      <c r="I203" s="5">
        <v>191.57</v>
      </c>
      <c r="J203" s="4">
        <v>206.81</v>
      </c>
      <c r="K203" s="7">
        <v>202.4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x14ac:dyDescent="0.2">
      <c r="A204" s="4" t="s">
        <v>47</v>
      </c>
      <c r="B204" s="4" t="s">
        <v>16</v>
      </c>
      <c r="C204" s="5">
        <v>20785.13</v>
      </c>
      <c r="D204" s="4">
        <v>17784.8</v>
      </c>
      <c r="E204" s="7"/>
      <c r="F204" s="5"/>
      <c r="G204" s="4">
        <v>30086.080000000002</v>
      </c>
      <c r="H204" s="7">
        <v>31209.55</v>
      </c>
      <c r="I204" s="5">
        <v>40795.67</v>
      </c>
      <c r="J204" s="4">
        <v>26916.17</v>
      </c>
      <c r="K204" s="7">
        <v>3592.59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x14ac:dyDescent="0.2">
      <c r="A205" s="4" t="s">
        <v>47</v>
      </c>
      <c r="B205" s="4" t="s">
        <v>17</v>
      </c>
      <c r="C205" s="5">
        <v>482.11</v>
      </c>
      <c r="D205" s="4">
        <v>656.79</v>
      </c>
      <c r="E205" s="7"/>
      <c r="F205" s="5"/>
      <c r="G205" s="4">
        <v>721.58</v>
      </c>
      <c r="H205" s="7">
        <v>739.18</v>
      </c>
      <c r="I205" s="5">
        <v>859.87</v>
      </c>
      <c r="J205" s="4">
        <v>674.63</v>
      </c>
      <c r="K205" s="7">
        <v>467.47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x14ac:dyDescent="0.2">
      <c r="A206" s="8" t="s">
        <v>47</v>
      </c>
      <c r="B206" s="8" t="s">
        <v>18</v>
      </c>
      <c r="C206" s="9">
        <v>72</v>
      </c>
      <c r="D206" s="8">
        <v>44</v>
      </c>
      <c r="E206" s="11"/>
      <c r="F206" s="9"/>
      <c r="G206" s="8">
        <v>64</v>
      </c>
      <c r="H206" s="11">
        <v>66</v>
      </c>
      <c r="I206" s="9">
        <v>76</v>
      </c>
      <c r="J206" s="8">
        <v>61</v>
      </c>
      <c r="K206" s="11">
        <v>14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x14ac:dyDescent="0.2">
      <c r="A207" s="8" t="s">
        <v>47</v>
      </c>
      <c r="B207" s="8" t="s">
        <v>19</v>
      </c>
      <c r="C207" s="9">
        <v>217.25</v>
      </c>
      <c r="D207" s="8">
        <v>197.16</v>
      </c>
      <c r="E207" s="11"/>
      <c r="F207" s="9"/>
      <c r="G207" s="8">
        <v>202.96</v>
      </c>
      <c r="H207" s="11">
        <v>242.28</v>
      </c>
      <c r="I207" s="9">
        <v>320.7</v>
      </c>
      <c r="J207" s="8">
        <v>244.4</v>
      </c>
      <c r="K207" s="11">
        <v>46.55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x14ac:dyDescent="0.2">
      <c r="A208" s="8" t="s">
        <v>47</v>
      </c>
      <c r="B208" s="8" t="s">
        <v>20</v>
      </c>
      <c r="C208" s="9">
        <v>97.55</v>
      </c>
      <c r="D208" s="8">
        <v>86.46</v>
      </c>
      <c r="E208" s="11"/>
      <c r="F208" s="8"/>
      <c r="G208" s="8">
        <v>131.86000000000001</v>
      </c>
      <c r="H208" s="11">
        <v>133.36000000000001</v>
      </c>
      <c r="I208" s="9">
        <v>212.95</v>
      </c>
      <c r="J208" s="8">
        <v>130.15</v>
      </c>
      <c r="K208" s="11">
        <v>17.75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2">
      <c r="A209" s="8" t="s">
        <v>47</v>
      </c>
      <c r="B209" s="8" t="s">
        <v>21</v>
      </c>
      <c r="C209" s="12">
        <f t="shared" ref="C209:K209" si="50">IFERROR(C207/C206,"")</f>
        <v>3.0173611111111112</v>
      </c>
      <c r="D209" s="12">
        <f t="shared" si="50"/>
        <v>4.4809090909090905</v>
      </c>
      <c r="E209" s="12" t="str">
        <f t="shared" si="50"/>
        <v/>
      </c>
      <c r="F209" s="12" t="str">
        <f t="shared" si="50"/>
        <v/>
      </c>
      <c r="G209" s="12">
        <f t="shared" si="50"/>
        <v>3.1712500000000001</v>
      </c>
      <c r="H209" s="12">
        <f t="shared" si="50"/>
        <v>3.6709090909090909</v>
      </c>
      <c r="I209" s="12">
        <f t="shared" si="50"/>
        <v>4.219736842105263</v>
      </c>
      <c r="J209" s="12">
        <f t="shared" si="50"/>
        <v>4.0065573770491802</v>
      </c>
      <c r="K209" s="12">
        <f t="shared" si="50"/>
        <v>3.3249999999999997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x14ac:dyDescent="0.2">
      <c r="A210" s="8" t="s">
        <v>47</v>
      </c>
      <c r="B210" s="8" t="s">
        <v>22</v>
      </c>
      <c r="C210" s="12">
        <f t="shared" ref="C210:K210" si="51">IFERROR(C208/C206,"")</f>
        <v>1.3548611111111111</v>
      </c>
      <c r="D210" s="12">
        <f t="shared" si="51"/>
        <v>1.9649999999999999</v>
      </c>
      <c r="E210" s="12" t="str">
        <f t="shared" si="51"/>
        <v/>
      </c>
      <c r="F210" s="12" t="str">
        <f t="shared" si="51"/>
        <v/>
      </c>
      <c r="G210" s="12">
        <f t="shared" si="51"/>
        <v>2.0603125000000002</v>
      </c>
      <c r="H210" s="12">
        <f t="shared" si="51"/>
        <v>2.020606060606061</v>
      </c>
      <c r="I210" s="12">
        <f t="shared" si="51"/>
        <v>2.8019736842105263</v>
      </c>
      <c r="J210" s="12">
        <f t="shared" si="51"/>
        <v>2.1336065573770493</v>
      </c>
      <c r="K210" s="12">
        <f t="shared" si="51"/>
        <v>1.2678571428571428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x14ac:dyDescent="0.2">
      <c r="A211" s="4" t="s">
        <v>48</v>
      </c>
      <c r="B211" s="4" t="s">
        <v>15</v>
      </c>
      <c r="C211" s="5">
        <v>210.51</v>
      </c>
      <c r="D211" s="4">
        <v>229.65</v>
      </c>
      <c r="E211" s="7">
        <v>161.35</v>
      </c>
      <c r="F211" s="4">
        <v>240.69</v>
      </c>
      <c r="G211" s="4">
        <v>224.06</v>
      </c>
      <c r="H211" s="4"/>
      <c r="I211" s="5">
        <v>231</v>
      </c>
      <c r="J211" s="4">
        <v>208.48</v>
      </c>
      <c r="K211" s="7">
        <v>182.03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x14ac:dyDescent="0.2">
      <c r="A212" s="4" t="s">
        <v>48</v>
      </c>
      <c r="B212" s="4" t="s">
        <v>16</v>
      </c>
      <c r="C212" s="5">
        <v>20810.560000000001</v>
      </c>
      <c r="D212" s="4">
        <v>19159.86</v>
      </c>
      <c r="E212" s="7">
        <v>782.53</v>
      </c>
      <c r="F212" s="4">
        <v>16275.67</v>
      </c>
      <c r="G212" s="4">
        <v>26193</v>
      </c>
      <c r="H212" s="4"/>
      <c r="I212" s="5">
        <v>21598.13</v>
      </c>
      <c r="J212" s="4">
        <v>39381.56</v>
      </c>
      <c r="K212" s="7">
        <v>2584.86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x14ac:dyDescent="0.2">
      <c r="A213" s="4" t="s">
        <v>48</v>
      </c>
      <c r="B213" s="4" t="s">
        <v>17</v>
      </c>
      <c r="C213" s="5">
        <v>598.88</v>
      </c>
      <c r="D213" s="4">
        <v>588.14</v>
      </c>
      <c r="E213" s="7">
        <v>1686.15</v>
      </c>
      <c r="F213" s="4">
        <v>1369.29</v>
      </c>
      <c r="G213" s="4">
        <v>567.65</v>
      </c>
      <c r="H213" s="4"/>
      <c r="I213" s="5">
        <v>979.12</v>
      </c>
      <c r="J213" s="4">
        <v>983.34</v>
      </c>
      <c r="K213" s="7">
        <v>518.07000000000005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x14ac:dyDescent="0.2">
      <c r="A214" s="8" t="s">
        <v>48</v>
      </c>
      <c r="B214" s="8" t="s">
        <v>18</v>
      </c>
      <c r="C214" s="9">
        <v>60</v>
      </c>
      <c r="D214" s="8">
        <v>52</v>
      </c>
      <c r="E214" s="11">
        <v>1</v>
      </c>
      <c r="F214" s="8">
        <v>18</v>
      </c>
      <c r="G214" s="8">
        <v>75</v>
      </c>
      <c r="H214" s="8"/>
      <c r="I214" s="9">
        <v>33</v>
      </c>
      <c r="J214" s="8">
        <v>61</v>
      </c>
      <c r="K214" s="11">
        <v>8</v>
      </c>
    </row>
    <row r="215" spans="1:34" x14ac:dyDescent="0.2">
      <c r="A215" s="8" t="s">
        <v>48</v>
      </c>
      <c r="B215" s="8" t="s">
        <v>19</v>
      </c>
      <c r="C215" s="9">
        <v>190.04</v>
      </c>
      <c r="D215" s="8">
        <v>184.25</v>
      </c>
      <c r="E215" s="11">
        <v>4.8499999999999996</v>
      </c>
      <c r="F215" s="8">
        <v>79.02</v>
      </c>
      <c r="G215" s="8">
        <v>159.65</v>
      </c>
      <c r="H215" s="8"/>
      <c r="I215" s="9">
        <v>137.05000000000001</v>
      </c>
      <c r="J215" s="8">
        <v>281.35000000000002</v>
      </c>
      <c r="K215" s="11">
        <v>22.1</v>
      </c>
    </row>
    <row r="216" spans="1:34" x14ac:dyDescent="0.2">
      <c r="A216" s="8" t="s">
        <v>48</v>
      </c>
      <c r="B216" s="8" t="s">
        <v>20</v>
      </c>
      <c r="C216" s="9">
        <v>98.86</v>
      </c>
      <c r="D216" s="8">
        <v>83.43</v>
      </c>
      <c r="E216" s="8">
        <v>4.8499999999999996</v>
      </c>
      <c r="F216" s="9">
        <v>67.62</v>
      </c>
      <c r="G216" s="8">
        <v>116.9</v>
      </c>
      <c r="H216" s="11"/>
      <c r="I216" s="8">
        <v>93.5</v>
      </c>
      <c r="J216" s="8">
        <v>188.9</v>
      </c>
      <c r="K216" s="11">
        <v>14.2</v>
      </c>
    </row>
    <row r="217" spans="1:34" x14ac:dyDescent="0.2">
      <c r="A217" s="8" t="s">
        <v>48</v>
      </c>
      <c r="B217" s="8" t="s">
        <v>21</v>
      </c>
      <c r="C217" s="12">
        <f t="shared" ref="C217:K217" si="52">IFERROR(C215/C214,"")</f>
        <v>3.1673333333333331</v>
      </c>
      <c r="D217" s="12">
        <f t="shared" si="52"/>
        <v>3.5432692307692308</v>
      </c>
      <c r="E217" s="12">
        <f t="shared" si="52"/>
        <v>4.8499999999999996</v>
      </c>
      <c r="F217" s="12">
        <f t="shared" si="52"/>
        <v>4.3899999999999997</v>
      </c>
      <c r="G217" s="12">
        <f t="shared" si="52"/>
        <v>2.1286666666666667</v>
      </c>
      <c r="H217" s="12" t="str">
        <f t="shared" si="52"/>
        <v/>
      </c>
      <c r="I217" s="12">
        <f t="shared" si="52"/>
        <v>4.1530303030303033</v>
      </c>
      <c r="J217" s="12">
        <f t="shared" si="52"/>
        <v>4.6122950819672131</v>
      </c>
      <c r="K217" s="12">
        <f t="shared" si="52"/>
        <v>2.7625000000000002</v>
      </c>
    </row>
    <row r="218" spans="1:34" x14ac:dyDescent="0.2">
      <c r="A218" s="8" t="s">
        <v>48</v>
      </c>
      <c r="B218" s="8" t="s">
        <v>22</v>
      </c>
      <c r="C218" s="12">
        <f t="shared" ref="C218:K218" si="53">IFERROR(C216/C214,"")</f>
        <v>1.6476666666666666</v>
      </c>
      <c r="D218" s="12">
        <f t="shared" si="53"/>
        <v>1.604423076923077</v>
      </c>
      <c r="E218" s="12">
        <f t="shared" si="53"/>
        <v>4.8499999999999996</v>
      </c>
      <c r="F218" s="12">
        <f t="shared" si="53"/>
        <v>3.7566666666666668</v>
      </c>
      <c r="G218" s="12">
        <f t="shared" si="53"/>
        <v>1.5586666666666666</v>
      </c>
      <c r="H218" s="12" t="str">
        <f t="shared" si="53"/>
        <v/>
      </c>
      <c r="I218" s="12">
        <f t="shared" si="53"/>
        <v>2.8333333333333335</v>
      </c>
      <c r="J218" s="12">
        <f t="shared" si="53"/>
        <v>3.09672131147541</v>
      </c>
      <c r="K218" s="12">
        <f t="shared" si="53"/>
        <v>1.7749999999999999</v>
      </c>
    </row>
    <row r="219" spans="1:34" x14ac:dyDescent="0.2">
      <c r="A219" s="4" t="s">
        <v>49</v>
      </c>
      <c r="B219" s="4" t="s">
        <v>15</v>
      </c>
      <c r="C219" s="5">
        <v>190.94</v>
      </c>
      <c r="D219" s="4">
        <v>218</v>
      </c>
      <c r="E219" s="7">
        <v>49.31</v>
      </c>
      <c r="F219" s="4"/>
      <c r="G219" s="4">
        <v>246.36</v>
      </c>
      <c r="H219" s="4">
        <v>236.65</v>
      </c>
      <c r="I219" s="5"/>
      <c r="J219" s="4">
        <v>224.83</v>
      </c>
      <c r="K219" s="7">
        <v>248.51</v>
      </c>
    </row>
    <row r="220" spans="1:34" x14ac:dyDescent="0.2">
      <c r="A220" s="4" t="s">
        <v>49</v>
      </c>
      <c r="B220" s="4" t="s">
        <v>16</v>
      </c>
      <c r="C220" s="5">
        <v>24641.35</v>
      </c>
      <c r="D220" s="4">
        <v>20801.38</v>
      </c>
      <c r="E220" s="7">
        <v>119.1</v>
      </c>
      <c r="F220" s="4"/>
      <c r="G220" s="4">
        <v>30721.7</v>
      </c>
      <c r="H220" s="4">
        <v>26105.4</v>
      </c>
      <c r="I220" s="5"/>
      <c r="J220" s="4">
        <v>39008.839999999997</v>
      </c>
      <c r="K220" s="7">
        <v>2199.3000000000002</v>
      </c>
    </row>
    <row r="221" spans="1:34" x14ac:dyDescent="0.2">
      <c r="A221" s="4" t="s">
        <v>49</v>
      </c>
      <c r="B221" s="4" t="s">
        <v>17</v>
      </c>
      <c r="C221" s="5">
        <v>516.07000000000005</v>
      </c>
      <c r="D221" s="4">
        <v>617.07000000000005</v>
      </c>
      <c r="E221" s="7">
        <v>47.64</v>
      </c>
      <c r="F221" s="4"/>
      <c r="G221" s="4">
        <v>936.84</v>
      </c>
      <c r="H221" s="4">
        <v>627.11</v>
      </c>
      <c r="I221" s="5"/>
      <c r="J221" s="4">
        <v>747.82</v>
      </c>
      <c r="K221" s="7">
        <v>576.39</v>
      </c>
    </row>
    <row r="222" spans="1:34" x14ac:dyDescent="0.2">
      <c r="A222" s="4" t="s">
        <v>49</v>
      </c>
      <c r="B222" s="8" t="s">
        <v>18</v>
      </c>
      <c r="C222" s="9">
        <v>84</v>
      </c>
      <c r="D222" s="8">
        <v>58</v>
      </c>
      <c r="E222" s="11">
        <v>2</v>
      </c>
      <c r="F222" s="8"/>
      <c r="G222" s="8">
        <v>57</v>
      </c>
      <c r="H222" s="8">
        <v>71</v>
      </c>
      <c r="I222" s="9"/>
      <c r="J222" s="8">
        <v>83</v>
      </c>
      <c r="K222" s="11">
        <v>8</v>
      </c>
    </row>
    <row r="223" spans="1:34" x14ac:dyDescent="0.2">
      <c r="A223" s="4" t="s">
        <v>49</v>
      </c>
      <c r="B223" s="8" t="s">
        <v>19</v>
      </c>
      <c r="C223" s="9">
        <v>279.2</v>
      </c>
      <c r="D223" s="8">
        <v>208.66</v>
      </c>
      <c r="E223" s="11">
        <v>4.25</v>
      </c>
      <c r="F223" s="8"/>
      <c r="G223" s="8">
        <v>168.3</v>
      </c>
      <c r="H223" s="8">
        <v>204.86</v>
      </c>
      <c r="I223" s="9"/>
      <c r="J223" s="8">
        <v>241.5</v>
      </c>
      <c r="K223" s="11">
        <v>11.85</v>
      </c>
    </row>
    <row r="224" spans="1:34" x14ac:dyDescent="0.2">
      <c r="A224" s="4" t="s">
        <v>49</v>
      </c>
      <c r="B224" s="8" t="s">
        <v>20</v>
      </c>
      <c r="C224" s="9">
        <v>129.05000000000001</v>
      </c>
      <c r="D224" s="8">
        <v>95.42</v>
      </c>
      <c r="E224" s="8">
        <v>0.4</v>
      </c>
      <c r="F224" s="9"/>
      <c r="G224" s="8">
        <v>124.7</v>
      </c>
      <c r="H224" s="11">
        <v>110.31</v>
      </c>
      <c r="I224" s="8"/>
      <c r="J224" s="8">
        <v>173.5</v>
      </c>
      <c r="K224" s="11">
        <v>8.85</v>
      </c>
    </row>
    <row r="225" spans="1:11" x14ac:dyDescent="0.2">
      <c r="A225" s="4" t="s">
        <v>49</v>
      </c>
      <c r="B225" s="8" t="s">
        <v>21</v>
      </c>
      <c r="C225" s="12">
        <f t="shared" ref="C225:K225" si="54">IFERROR(C223/C222,"")</f>
        <v>3.3238095238095235</v>
      </c>
      <c r="D225" s="12">
        <f t="shared" si="54"/>
        <v>3.5975862068965516</v>
      </c>
      <c r="E225" s="12">
        <f t="shared" si="54"/>
        <v>2.125</v>
      </c>
      <c r="F225" s="12" t="str">
        <f t="shared" si="54"/>
        <v/>
      </c>
      <c r="G225" s="12">
        <f t="shared" si="54"/>
        <v>2.9526315789473685</v>
      </c>
      <c r="H225" s="12">
        <f t="shared" si="54"/>
        <v>2.8853521126760566</v>
      </c>
      <c r="I225" s="12" t="str">
        <f t="shared" si="54"/>
        <v/>
      </c>
      <c r="J225" s="12">
        <f t="shared" si="54"/>
        <v>2.9096385542168677</v>
      </c>
      <c r="K225" s="12">
        <f t="shared" si="54"/>
        <v>1.48125</v>
      </c>
    </row>
    <row r="226" spans="1:11" x14ac:dyDescent="0.2">
      <c r="A226" s="4" t="s">
        <v>49</v>
      </c>
      <c r="B226" s="8" t="s">
        <v>22</v>
      </c>
      <c r="C226" s="12">
        <f t="shared" ref="C226:K226" si="55">IFERROR(C224/C222,"")</f>
        <v>1.5363095238095239</v>
      </c>
      <c r="D226" s="12">
        <f t="shared" si="55"/>
        <v>1.6451724137931034</v>
      </c>
      <c r="E226" s="12">
        <f t="shared" si="55"/>
        <v>0.2</v>
      </c>
      <c r="F226" s="12" t="str">
        <f t="shared" si="55"/>
        <v/>
      </c>
      <c r="G226" s="12">
        <f t="shared" si="55"/>
        <v>2.187719298245614</v>
      </c>
      <c r="H226" s="12">
        <f t="shared" si="55"/>
        <v>1.5536619718309859</v>
      </c>
      <c r="I226" s="12" t="str">
        <f t="shared" si="55"/>
        <v/>
      </c>
      <c r="J226" s="12">
        <f t="shared" si="55"/>
        <v>2.0903614457831323</v>
      </c>
      <c r="K226" s="12">
        <f t="shared" si="55"/>
        <v>1.10625</v>
      </c>
    </row>
    <row r="227" spans="1:11" x14ac:dyDescent="0.2">
      <c r="A227" s="4" t="s">
        <v>50</v>
      </c>
      <c r="B227" s="4" t="s">
        <v>15</v>
      </c>
      <c r="C227" s="5">
        <v>225.79</v>
      </c>
      <c r="D227" s="4">
        <v>217.98</v>
      </c>
      <c r="E227" s="7">
        <v>253.8</v>
      </c>
      <c r="F227" s="4">
        <v>228.97</v>
      </c>
      <c r="G227" s="4"/>
      <c r="H227" s="4">
        <v>215.11</v>
      </c>
      <c r="I227" s="5">
        <v>172.59</v>
      </c>
      <c r="J227" s="4">
        <v>211.21</v>
      </c>
      <c r="K227" s="7">
        <v>177.45</v>
      </c>
    </row>
    <row r="228" spans="1:11" x14ac:dyDescent="0.2">
      <c r="A228" s="4" t="s">
        <v>50</v>
      </c>
      <c r="B228" s="4" t="s">
        <v>16</v>
      </c>
      <c r="C228" s="5">
        <v>16681.27</v>
      </c>
      <c r="D228" s="4">
        <v>35700.75</v>
      </c>
      <c r="E228" s="7">
        <v>1395.88</v>
      </c>
      <c r="F228" s="4">
        <v>31968.23</v>
      </c>
      <c r="G228" s="4"/>
      <c r="H228" s="4">
        <v>27858.92</v>
      </c>
      <c r="I228" s="5">
        <v>22323.99</v>
      </c>
      <c r="J228" s="4">
        <v>28936.28</v>
      </c>
      <c r="K228" s="7">
        <v>3132</v>
      </c>
    </row>
    <row r="229" spans="1:11" x14ac:dyDescent="0.2">
      <c r="A229" s="4" t="s">
        <v>50</v>
      </c>
      <c r="B229" s="4" t="s">
        <v>17</v>
      </c>
      <c r="C229" s="5">
        <v>551.54</v>
      </c>
      <c r="D229" s="4">
        <v>738.7</v>
      </c>
      <c r="E229" s="7">
        <v>340.58</v>
      </c>
      <c r="F229" s="4">
        <v>1134.53</v>
      </c>
      <c r="G229" s="4"/>
      <c r="H229" s="4">
        <v>574.53</v>
      </c>
      <c r="I229" s="5">
        <v>620.11</v>
      </c>
      <c r="J229" s="4">
        <v>695.33</v>
      </c>
      <c r="K229" s="7">
        <v>359.46</v>
      </c>
    </row>
    <row r="230" spans="1:11" x14ac:dyDescent="0.2">
      <c r="A230" s="4" t="s">
        <v>50</v>
      </c>
      <c r="B230" s="8" t="s">
        <v>18</v>
      </c>
      <c r="C230" s="9">
        <v>55</v>
      </c>
      <c r="D230" s="8">
        <v>78</v>
      </c>
      <c r="E230" s="11">
        <v>8</v>
      </c>
      <c r="F230" s="8">
        <v>44</v>
      </c>
      <c r="G230" s="8"/>
      <c r="H230" s="8">
        <v>78</v>
      </c>
      <c r="I230" s="9">
        <v>61</v>
      </c>
      <c r="J230" s="8">
        <v>66</v>
      </c>
      <c r="K230" s="11">
        <v>16</v>
      </c>
    </row>
    <row r="231" spans="1:11" x14ac:dyDescent="0.2">
      <c r="A231" s="4" t="s">
        <v>50</v>
      </c>
      <c r="B231" s="8" t="s">
        <v>19</v>
      </c>
      <c r="C231" s="9">
        <v>162.66</v>
      </c>
      <c r="D231" s="8">
        <v>289.22000000000003</v>
      </c>
      <c r="E231" s="11">
        <v>24.08</v>
      </c>
      <c r="F231" s="8">
        <v>210.07</v>
      </c>
      <c r="G231" s="8"/>
      <c r="H231" s="8">
        <v>270.66000000000003</v>
      </c>
      <c r="I231" s="9">
        <v>221.3</v>
      </c>
      <c r="J231" s="8">
        <v>274.5</v>
      </c>
      <c r="K231" s="11">
        <v>37.450000000000003</v>
      </c>
    </row>
    <row r="232" spans="1:11" x14ac:dyDescent="0.2">
      <c r="A232" s="4" t="s">
        <v>50</v>
      </c>
      <c r="B232" s="8" t="s">
        <v>20</v>
      </c>
      <c r="C232" s="9">
        <v>73.88</v>
      </c>
      <c r="D232" s="8">
        <v>163.78</v>
      </c>
      <c r="E232" s="8">
        <v>5.5</v>
      </c>
      <c r="F232" s="9">
        <v>139.62</v>
      </c>
      <c r="G232" s="8"/>
      <c r="H232" s="11">
        <v>129.51</v>
      </c>
      <c r="I232" s="8">
        <v>129.35</v>
      </c>
      <c r="J232" s="8">
        <v>137</v>
      </c>
      <c r="K232" s="11">
        <v>17.649999999999999</v>
      </c>
    </row>
    <row r="233" spans="1:11" x14ac:dyDescent="0.2">
      <c r="A233" s="4" t="s">
        <v>50</v>
      </c>
      <c r="B233" s="8" t="s">
        <v>21</v>
      </c>
      <c r="C233" s="12">
        <f t="shared" ref="C233:K233" si="56">IFERROR(C231/C230,"")</f>
        <v>2.9574545454545453</v>
      </c>
      <c r="D233" s="12">
        <f t="shared" si="56"/>
        <v>3.7079487179487183</v>
      </c>
      <c r="E233" s="12">
        <f t="shared" si="56"/>
        <v>3.01</v>
      </c>
      <c r="F233" s="12">
        <f t="shared" si="56"/>
        <v>4.7743181818181819</v>
      </c>
      <c r="G233" s="12" t="str">
        <f t="shared" si="56"/>
        <v/>
      </c>
      <c r="H233" s="12">
        <f t="shared" si="56"/>
        <v>3.47</v>
      </c>
      <c r="I233" s="12">
        <f t="shared" si="56"/>
        <v>3.6278688524590166</v>
      </c>
      <c r="J233" s="12">
        <f t="shared" si="56"/>
        <v>4.1590909090909092</v>
      </c>
      <c r="K233" s="12">
        <f t="shared" si="56"/>
        <v>2.3406250000000002</v>
      </c>
    </row>
    <row r="234" spans="1:11" x14ac:dyDescent="0.2">
      <c r="A234" s="4" t="s">
        <v>50</v>
      </c>
      <c r="B234" s="8" t="s">
        <v>22</v>
      </c>
      <c r="C234" s="12">
        <f t="shared" ref="C234:K234" si="57">IFERROR(C232/C230,"")</f>
        <v>1.3432727272727272</v>
      </c>
      <c r="D234" s="12">
        <f t="shared" si="57"/>
        <v>2.0997435897435897</v>
      </c>
      <c r="E234" s="12">
        <f t="shared" si="57"/>
        <v>0.6875</v>
      </c>
      <c r="F234" s="12">
        <f t="shared" si="57"/>
        <v>3.1731818181818183</v>
      </c>
      <c r="G234" s="12" t="str">
        <f t="shared" si="57"/>
        <v/>
      </c>
      <c r="H234" s="12">
        <f t="shared" si="57"/>
        <v>1.6603846153846153</v>
      </c>
      <c r="I234" s="12">
        <f t="shared" si="57"/>
        <v>2.1204918032786884</v>
      </c>
      <c r="J234" s="12">
        <f t="shared" si="57"/>
        <v>2.0757575757575757</v>
      </c>
      <c r="K234" s="12">
        <f t="shared" si="57"/>
        <v>1.1031249999999999</v>
      </c>
    </row>
    <row r="235" spans="1:11" x14ac:dyDescent="0.2"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"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"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"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"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">
      <c r="C240" s="8"/>
      <c r="D240" s="8"/>
      <c r="E240" s="8"/>
      <c r="F240" s="8"/>
      <c r="G240" s="8"/>
      <c r="H240" s="8"/>
      <c r="I240" s="8"/>
      <c r="J240" s="8"/>
      <c r="K240" s="8"/>
    </row>
    <row r="241" spans="3:11" x14ac:dyDescent="0.2">
      <c r="C241" s="8"/>
      <c r="D241" s="8"/>
      <c r="E241" s="8"/>
      <c r="F241" s="8"/>
      <c r="G241" s="8"/>
      <c r="H241" s="8"/>
      <c r="I241" s="8"/>
      <c r="J241" s="8"/>
      <c r="K241" s="8"/>
    </row>
    <row r="242" spans="3:11" x14ac:dyDescent="0.2">
      <c r="C242" s="8"/>
      <c r="D242" s="8"/>
      <c r="E242" s="8"/>
      <c r="F242" s="8"/>
      <c r="G242" s="8"/>
      <c r="H242" s="8"/>
      <c r="I242" s="8"/>
      <c r="J242" s="8"/>
      <c r="K242" s="8"/>
    </row>
    <row r="243" spans="3:11" x14ac:dyDescent="0.2">
      <c r="C243" s="8"/>
      <c r="D243" s="8"/>
      <c r="E243" s="8"/>
      <c r="F243" s="8"/>
      <c r="G243" s="8"/>
      <c r="H243" s="8"/>
      <c r="I243" s="8"/>
      <c r="J243" s="8"/>
      <c r="K243" s="8"/>
    </row>
    <row r="244" spans="3:11" x14ac:dyDescent="0.2">
      <c r="C244" s="8"/>
      <c r="D244" s="8"/>
      <c r="E244" s="8"/>
      <c r="F244" s="8"/>
      <c r="G244" s="8"/>
      <c r="H244" s="8"/>
      <c r="I244" s="8"/>
      <c r="J244" s="8"/>
      <c r="K244" s="8"/>
    </row>
    <row r="245" spans="3:11" x14ac:dyDescent="0.2">
      <c r="C245" s="8"/>
      <c r="D245" s="8"/>
      <c r="E245" s="8"/>
      <c r="F245" s="8"/>
      <c r="G245" s="8"/>
      <c r="H245" s="8"/>
      <c r="I245" s="8"/>
      <c r="J245" s="8"/>
      <c r="K245" s="8"/>
    </row>
    <row r="246" spans="3:11" x14ac:dyDescent="0.2">
      <c r="C246" s="8"/>
      <c r="D246" s="8"/>
      <c r="E246" s="8"/>
      <c r="F246" s="8"/>
      <c r="G246" s="8"/>
      <c r="H246" s="8"/>
      <c r="I246" s="8"/>
      <c r="J246" s="8"/>
      <c r="K246" s="8"/>
    </row>
    <row r="247" spans="3:11" x14ac:dyDescent="0.2">
      <c r="C247" s="8"/>
      <c r="D247" s="8"/>
      <c r="E247" s="8"/>
      <c r="F247" s="8"/>
      <c r="G247" s="8"/>
      <c r="H247" s="8"/>
      <c r="I247" s="8"/>
      <c r="J247" s="8"/>
      <c r="K247" s="8"/>
    </row>
    <row r="248" spans="3:11" x14ac:dyDescent="0.2">
      <c r="C248" s="8"/>
      <c r="D248" s="8"/>
      <c r="E248" s="8"/>
      <c r="F248" s="8"/>
      <c r="G248" s="8"/>
      <c r="H248" s="8"/>
      <c r="I248" s="8"/>
      <c r="J248" s="8"/>
      <c r="K248" s="8"/>
    </row>
    <row r="249" spans="3:11" x14ac:dyDescent="0.2">
      <c r="C249" s="8"/>
      <c r="D249" s="8"/>
      <c r="E249" s="8"/>
      <c r="F249" s="8"/>
      <c r="G249" s="8"/>
      <c r="H249" s="8"/>
      <c r="I249" s="8"/>
      <c r="J249" s="8"/>
      <c r="K249" s="8"/>
    </row>
    <row r="250" spans="3:11" x14ac:dyDescent="0.2">
      <c r="C250" s="8"/>
      <c r="D250" s="8"/>
      <c r="E250" s="8"/>
      <c r="F250" s="8"/>
      <c r="G250" s="8"/>
      <c r="H250" s="8"/>
      <c r="I250" s="8"/>
      <c r="J250" s="8"/>
      <c r="K250" s="8"/>
    </row>
    <row r="251" spans="3:11" x14ac:dyDescent="0.2">
      <c r="C251" s="8"/>
      <c r="D251" s="8"/>
      <c r="E251" s="8"/>
      <c r="F251" s="8"/>
      <c r="G251" s="8"/>
      <c r="H251" s="8"/>
      <c r="I251" s="8"/>
      <c r="J251" s="8"/>
      <c r="K251" s="8"/>
    </row>
    <row r="252" spans="3:11" x14ac:dyDescent="0.2">
      <c r="C252" s="8"/>
      <c r="D252" s="8"/>
      <c r="E252" s="8"/>
      <c r="F252" s="8"/>
      <c r="G252" s="8"/>
      <c r="H252" s="8"/>
      <c r="I252" s="8"/>
      <c r="J252" s="8"/>
      <c r="K252" s="8"/>
    </row>
    <row r="253" spans="3:11" x14ac:dyDescent="0.2">
      <c r="C253" s="8"/>
      <c r="D253" s="8"/>
      <c r="E253" s="8"/>
      <c r="F253" s="8"/>
      <c r="G253" s="8"/>
      <c r="H253" s="8"/>
      <c r="I253" s="8"/>
      <c r="J253" s="8"/>
      <c r="K253" s="8"/>
    </row>
    <row r="254" spans="3:11" x14ac:dyDescent="0.2">
      <c r="C254" s="8"/>
      <c r="D254" s="8"/>
      <c r="E254" s="8"/>
      <c r="F254" s="8"/>
      <c r="G254" s="8"/>
      <c r="H254" s="8"/>
      <c r="I254" s="8"/>
      <c r="J254" s="8"/>
      <c r="K254" s="8"/>
    </row>
    <row r="255" spans="3:11" x14ac:dyDescent="0.2">
      <c r="C255" s="8"/>
      <c r="D255" s="8"/>
      <c r="E255" s="8"/>
      <c r="F255" s="8"/>
      <c r="G255" s="8"/>
      <c r="H255" s="8"/>
      <c r="I255" s="8"/>
      <c r="J255" s="8"/>
      <c r="K255" s="8"/>
    </row>
    <row r="256" spans="3:11" x14ac:dyDescent="0.2">
      <c r="C256" s="8"/>
      <c r="D256" s="8"/>
      <c r="E256" s="8"/>
      <c r="F256" s="8"/>
      <c r="G256" s="8"/>
      <c r="H256" s="8"/>
      <c r="I256" s="8"/>
      <c r="J256" s="8"/>
      <c r="K256" s="8"/>
    </row>
    <row r="257" spans="3:11" x14ac:dyDescent="0.2">
      <c r="C257" s="8"/>
      <c r="D257" s="8"/>
      <c r="E257" s="8"/>
      <c r="F257" s="8"/>
      <c r="G257" s="8"/>
      <c r="H257" s="8"/>
      <c r="I257" s="8"/>
      <c r="J257" s="8"/>
      <c r="K257" s="8"/>
    </row>
    <row r="258" spans="3:11" x14ac:dyDescent="0.2">
      <c r="C258" s="8"/>
      <c r="D258" s="8"/>
      <c r="E258" s="8"/>
      <c r="F258" s="8"/>
      <c r="G258" s="8"/>
      <c r="H258" s="8"/>
      <c r="I258" s="8"/>
      <c r="J258" s="8"/>
      <c r="K258" s="8"/>
    </row>
    <row r="259" spans="3:11" x14ac:dyDescent="0.2">
      <c r="C259" s="8"/>
      <c r="D259" s="8"/>
      <c r="E259" s="8"/>
      <c r="F259" s="8"/>
      <c r="G259" s="8"/>
      <c r="H259" s="8"/>
      <c r="I259" s="8"/>
      <c r="J259" s="8"/>
      <c r="K259" s="8"/>
    </row>
    <row r="260" spans="3:11" x14ac:dyDescent="0.2">
      <c r="C260" s="8"/>
      <c r="D260" s="8"/>
      <c r="E260" s="8"/>
      <c r="F260" s="8"/>
      <c r="G260" s="8"/>
      <c r="H260" s="8"/>
      <c r="I260" s="8"/>
      <c r="J260" s="8"/>
      <c r="K260" s="8"/>
    </row>
    <row r="261" spans="3:11" x14ac:dyDescent="0.2">
      <c r="C261" s="8"/>
      <c r="D261" s="8"/>
      <c r="E261" s="8"/>
      <c r="F261" s="8"/>
      <c r="G261" s="8"/>
      <c r="H261" s="8"/>
      <c r="I261" s="8"/>
      <c r="J261" s="8"/>
      <c r="K261" s="8"/>
    </row>
    <row r="262" spans="3:11" x14ac:dyDescent="0.2">
      <c r="C262" s="8"/>
      <c r="D262" s="8"/>
      <c r="E262" s="8"/>
      <c r="F262" s="8"/>
      <c r="G262" s="8"/>
      <c r="H262" s="8"/>
      <c r="I262" s="8"/>
      <c r="J262" s="8"/>
      <c r="K262" s="8"/>
    </row>
    <row r="263" spans="3:11" x14ac:dyDescent="0.2">
      <c r="C263" s="8"/>
      <c r="D263" s="8"/>
      <c r="E263" s="8"/>
      <c r="F263" s="8"/>
      <c r="G263" s="8"/>
      <c r="H263" s="8"/>
      <c r="I263" s="8"/>
      <c r="J263" s="8"/>
      <c r="K263" s="8"/>
    </row>
    <row r="264" spans="3:11" x14ac:dyDescent="0.2">
      <c r="C264" s="8"/>
      <c r="D264" s="8"/>
      <c r="E264" s="8"/>
      <c r="F264" s="8"/>
      <c r="G264" s="8"/>
      <c r="H264" s="8"/>
      <c r="I264" s="8"/>
      <c r="J264" s="8"/>
      <c r="K264" s="8"/>
    </row>
    <row r="265" spans="3:11" x14ac:dyDescent="0.2">
      <c r="C265" s="8"/>
      <c r="D265" s="8"/>
      <c r="E265" s="8"/>
      <c r="F265" s="8"/>
      <c r="G265" s="8"/>
      <c r="H265" s="8"/>
      <c r="I265" s="8"/>
      <c r="J265" s="8"/>
      <c r="K265" s="8"/>
    </row>
    <row r="266" spans="3:11" x14ac:dyDescent="0.2">
      <c r="C266" s="8"/>
      <c r="D266" s="8"/>
      <c r="E266" s="8"/>
      <c r="F266" s="8"/>
      <c r="G266" s="8"/>
      <c r="H266" s="8"/>
      <c r="I266" s="8"/>
      <c r="J266" s="8"/>
      <c r="K266" s="8"/>
    </row>
    <row r="267" spans="3:11" x14ac:dyDescent="0.2">
      <c r="C267" s="8"/>
      <c r="D267" s="8"/>
      <c r="E267" s="8"/>
      <c r="F267" s="8"/>
      <c r="G267" s="8"/>
      <c r="H267" s="8"/>
      <c r="I267" s="8"/>
      <c r="J267" s="8"/>
      <c r="K267" s="8"/>
    </row>
    <row r="268" spans="3:11" x14ac:dyDescent="0.2">
      <c r="C268" s="8"/>
      <c r="D268" s="8"/>
      <c r="E268" s="8"/>
      <c r="F268" s="8"/>
      <c r="G268" s="8"/>
      <c r="H268" s="8"/>
      <c r="I268" s="8"/>
      <c r="J268" s="8"/>
      <c r="K268" s="8"/>
    </row>
    <row r="269" spans="3:11" x14ac:dyDescent="0.2">
      <c r="C269" s="8"/>
      <c r="D269" s="8"/>
      <c r="E269" s="8"/>
      <c r="F269" s="8"/>
      <c r="G269" s="8"/>
      <c r="H269" s="8"/>
      <c r="I269" s="8"/>
      <c r="J269" s="8"/>
      <c r="K269" s="8"/>
    </row>
    <row r="270" spans="3:11" x14ac:dyDescent="0.2">
      <c r="C270" s="8"/>
      <c r="D270" s="8"/>
      <c r="E270" s="8"/>
      <c r="F270" s="8"/>
      <c r="G270" s="8"/>
      <c r="H270" s="8"/>
      <c r="I270" s="8"/>
      <c r="J270" s="8"/>
      <c r="K270" s="8"/>
    </row>
    <row r="271" spans="3:11" x14ac:dyDescent="0.2">
      <c r="C271" s="8"/>
      <c r="D271" s="8"/>
      <c r="E271" s="8"/>
      <c r="F271" s="8"/>
      <c r="G271" s="8"/>
      <c r="H271" s="8"/>
      <c r="I271" s="8"/>
      <c r="J271" s="8"/>
      <c r="K271" s="8"/>
    </row>
    <row r="272" spans="3:11" x14ac:dyDescent="0.2">
      <c r="C272" s="8"/>
      <c r="D272" s="8"/>
      <c r="E272" s="8"/>
      <c r="F272" s="8"/>
      <c r="G272" s="8"/>
      <c r="H272" s="8"/>
      <c r="I272" s="8"/>
      <c r="J272" s="8"/>
      <c r="K272" s="8"/>
    </row>
    <row r="273" spans="3:11" x14ac:dyDescent="0.2">
      <c r="C273" s="8"/>
      <c r="D273" s="8"/>
      <c r="E273" s="8"/>
      <c r="F273" s="8"/>
      <c r="G273" s="8"/>
      <c r="H273" s="8"/>
      <c r="I273" s="8"/>
      <c r="J273" s="8"/>
      <c r="K273" s="8"/>
    </row>
    <row r="274" spans="3:11" x14ac:dyDescent="0.2">
      <c r="C274" s="8"/>
      <c r="D274" s="8"/>
      <c r="E274" s="8"/>
      <c r="F274" s="8"/>
      <c r="G274" s="8"/>
      <c r="H274" s="8"/>
      <c r="I274" s="8"/>
      <c r="J274" s="8"/>
      <c r="K274" s="8"/>
    </row>
    <row r="275" spans="3:11" x14ac:dyDescent="0.2">
      <c r="C275" s="8"/>
      <c r="D275" s="8"/>
      <c r="E275" s="8"/>
      <c r="F275" s="8"/>
      <c r="G275" s="8"/>
      <c r="H275" s="8"/>
      <c r="I275" s="8"/>
      <c r="J275" s="8"/>
      <c r="K275" s="8"/>
    </row>
    <row r="276" spans="3:11" x14ac:dyDescent="0.2">
      <c r="C276" s="8"/>
      <c r="D276" s="8"/>
      <c r="E276" s="8"/>
      <c r="F276" s="8"/>
      <c r="G276" s="8"/>
      <c r="H276" s="8"/>
      <c r="I276" s="8"/>
      <c r="J276" s="8"/>
      <c r="K276" s="8"/>
    </row>
    <row r="277" spans="3:11" x14ac:dyDescent="0.2">
      <c r="C277" s="8"/>
      <c r="D277" s="8"/>
      <c r="E277" s="8"/>
      <c r="F277" s="8"/>
      <c r="G277" s="8"/>
      <c r="H277" s="8"/>
      <c r="I277" s="8"/>
      <c r="J277" s="8"/>
      <c r="K277" s="8"/>
    </row>
    <row r="278" spans="3:11" x14ac:dyDescent="0.2">
      <c r="C278" s="8"/>
      <c r="D278" s="8"/>
      <c r="E278" s="8"/>
      <c r="F278" s="8"/>
      <c r="G278" s="8"/>
      <c r="H278" s="8"/>
      <c r="I278" s="8"/>
      <c r="J278" s="8"/>
      <c r="K278" s="8"/>
    </row>
    <row r="279" spans="3:11" x14ac:dyDescent="0.2">
      <c r="C279" s="8"/>
      <c r="D279" s="8"/>
      <c r="E279" s="8"/>
      <c r="F279" s="8"/>
      <c r="G279" s="8"/>
      <c r="H279" s="8"/>
      <c r="I279" s="8"/>
      <c r="J279" s="8"/>
      <c r="K279" s="8"/>
    </row>
    <row r="280" spans="3:11" x14ac:dyDescent="0.2">
      <c r="C280" s="8"/>
      <c r="D280" s="8"/>
      <c r="E280" s="8"/>
      <c r="F280" s="8"/>
      <c r="G280" s="8"/>
      <c r="H280" s="8"/>
      <c r="I280" s="8"/>
      <c r="J280" s="8"/>
      <c r="K280" s="8"/>
    </row>
    <row r="281" spans="3:11" x14ac:dyDescent="0.2">
      <c r="C281" s="8"/>
      <c r="D281" s="8"/>
      <c r="E281" s="8"/>
      <c r="F281" s="8"/>
      <c r="G281" s="8"/>
      <c r="H281" s="8"/>
      <c r="I281" s="8"/>
      <c r="J281" s="8"/>
      <c r="K281" s="8"/>
    </row>
    <row r="282" spans="3:11" x14ac:dyDescent="0.2">
      <c r="C282" s="8"/>
      <c r="D282" s="8"/>
      <c r="E282" s="8"/>
      <c r="F282" s="8"/>
      <c r="G282" s="8"/>
      <c r="H282" s="8"/>
      <c r="I282" s="8"/>
      <c r="J282" s="8"/>
      <c r="K282" s="8"/>
    </row>
    <row r="283" spans="3:11" x14ac:dyDescent="0.2">
      <c r="C283" s="8"/>
      <c r="D283" s="8"/>
      <c r="E283" s="8"/>
      <c r="F283" s="8"/>
      <c r="G283" s="8"/>
      <c r="H283" s="8"/>
      <c r="I283" s="8"/>
      <c r="J283" s="8"/>
      <c r="K283" s="8"/>
    </row>
    <row r="284" spans="3:11" x14ac:dyDescent="0.2">
      <c r="C284" s="8"/>
      <c r="D284" s="8"/>
      <c r="E284" s="8"/>
      <c r="F284" s="8"/>
      <c r="G284" s="8"/>
      <c r="H284" s="8"/>
      <c r="I284" s="8"/>
      <c r="J284" s="8"/>
      <c r="K284" s="8"/>
    </row>
    <row r="285" spans="3:11" x14ac:dyDescent="0.2">
      <c r="C285" s="8"/>
      <c r="D285" s="8"/>
      <c r="E285" s="8"/>
      <c r="F285" s="8"/>
      <c r="G285" s="8"/>
      <c r="H285" s="8"/>
      <c r="I285" s="8"/>
      <c r="J285" s="8"/>
      <c r="K285" s="8"/>
    </row>
    <row r="286" spans="3:11" x14ac:dyDescent="0.2">
      <c r="C286" s="8"/>
      <c r="D286" s="8"/>
      <c r="E286" s="8"/>
      <c r="F286" s="8"/>
      <c r="G286" s="8"/>
      <c r="H286" s="8"/>
      <c r="I286" s="8"/>
      <c r="J286" s="8"/>
      <c r="K286" s="8"/>
    </row>
    <row r="287" spans="3:11" x14ac:dyDescent="0.2">
      <c r="C287" s="8"/>
      <c r="D287" s="8"/>
      <c r="E287" s="8"/>
      <c r="F287" s="8"/>
      <c r="G287" s="8"/>
      <c r="H287" s="8"/>
      <c r="I287" s="8"/>
      <c r="J287" s="8"/>
      <c r="K287" s="8"/>
    </row>
    <row r="288" spans="3:11" x14ac:dyDescent="0.2">
      <c r="C288" s="8"/>
      <c r="D288" s="8"/>
      <c r="E288" s="8"/>
      <c r="F288" s="8"/>
      <c r="G288" s="8"/>
      <c r="H288" s="8"/>
      <c r="I288" s="8"/>
      <c r="J288" s="8"/>
      <c r="K288" s="8"/>
    </row>
    <row r="289" spans="3:11" x14ac:dyDescent="0.2">
      <c r="C289" s="8"/>
      <c r="D289" s="8"/>
      <c r="E289" s="8"/>
      <c r="F289" s="8"/>
      <c r="G289" s="8"/>
      <c r="H289" s="8"/>
      <c r="I289" s="8"/>
      <c r="J289" s="8"/>
      <c r="K289" s="8"/>
    </row>
    <row r="290" spans="3:11" x14ac:dyDescent="0.2">
      <c r="C290" s="8"/>
      <c r="D290" s="8"/>
      <c r="E290" s="8"/>
      <c r="F290" s="8"/>
      <c r="G290" s="8"/>
      <c r="H290" s="8"/>
      <c r="I290" s="8"/>
      <c r="J290" s="8"/>
      <c r="K290" s="8"/>
    </row>
    <row r="291" spans="3:11" x14ac:dyDescent="0.2">
      <c r="C291" s="8"/>
      <c r="D291" s="8"/>
      <c r="E291" s="8"/>
      <c r="F291" s="8"/>
      <c r="G291" s="8"/>
      <c r="H291" s="8"/>
      <c r="I291" s="8"/>
      <c r="J291" s="8"/>
      <c r="K291" s="8"/>
    </row>
    <row r="292" spans="3:11" x14ac:dyDescent="0.2">
      <c r="C292" s="8"/>
      <c r="D292" s="8"/>
      <c r="E292" s="8"/>
      <c r="F292" s="8"/>
      <c r="G292" s="8"/>
      <c r="H292" s="8"/>
      <c r="I292" s="8"/>
      <c r="J292" s="8"/>
      <c r="K292" s="8"/>
    </row>
    <row r="293" spans="3:11" x14ac:dyDescent="0.2">
      <c r="C293" s="8"/>
      <c r="D293" s="8"/>
      <c r="E293" s="8"/>
      <c r="F293" s="8"/>
      <c r="G293" s="8"/>
      <c r="H293" s="8"/>
      <c r="I293" s="8"/>
      <c r="J293" s="8"/>
      <c r="K293" s="8"/>
    </row>
    <row r="294" spans="3:11" x14ac:dyDescent="0.2">
      <c r="C294" s="8"/>
      <c r="D294" s="8"/>
      <c r="E294" s="8"/>
      <c r="F294" s="8"/>
      <c r="G294" s="8"/>
      <c r="H294" s="8"/>
      <c r="I294" s="8"/>
      <c r="J294" s="8"/>
      <c r="K294" s="8"/>
    </row>
    <row r="295" spans="3:11" x14ac:dyDescent="0.2">
      <c r="C295" s="8"/>
      <c r="D295" s="8"/>
      <c r="E295" s="8"/>
      <c r="F295" s="8"/>
      <c r="G295" s="8"/>
      <c r="H295" s="8"/>
      <c r="I295" s="8"/>
      <c r="J295" s="8"/>
      <c r="K295" s="8"/>
    </row>
    <row r="296" spans="3:11" x14ac:dyDescent="0.2">
      <c r="C296" s="8"/>
      <c r="D296" s="8"/>
      <c r="E296" s="8"/>
      <c r="F296" s="8"/>
      <c r="G296" s="8"/>
      <c r="H296" s="8"/>
      <c r="I296" s="8"/>
      <c r="J296" s="8"/>
      <c r="K296" s="8"/>
    </row>
    <row r="297" spans="3:11" x14ac:dyDescent="0.2">
      <c r="C297" s="8"/>
      <c r="D297" s="8"/>
      <c r="E297" s="8"/>
      <c r="F297" s="8"/>
      <c r="G297" s="8"/>
      <c r="H297" s="8"/>
      <c r="I297" s="8"/>
      <c r="J297" s="8"/>
      <c r="K297" s="8"/>
    </row>
    <row r="298" spans="3:11" x14ac:dyDescent="0.2">
      <c r="C298" s="8"/>
      <c r="D298" s="8"/>
      <c r="E298" s="8"/>
      <c r="F298" s="8"/>
      <c r="G298" s="8"/>
      <c r="H298" s="8"/>
      <c r="I298" s="8"/>
      <c r="J298" s="8"/>
      <c r="K298" s="8"/>
    </row>
    <row r="299" spans="3:11" x14ac:dyDescent="0.2">
      <c r="C299" s="8"/>
      <c r="D299" s="8"/>
      <c r="E299" s="8"/>
      <c r="F299" s="8"/>
      <c r="G299" s="8"/>
      <c r="H299" s="8"/>
      <c r="I299" s="8"/>
      <c r="J299" s="8"/>
      <c r="K299" s="8"/>
    </row>
    <row r="300" spans="3:11" x14ac:dyDescent="0.2">
      <c r="C300" s="8"/>
      <c r="D300" s="8"/>
      <c r="E300" s="8"/>
      <c r="F300" s="8"/>
      <c r="G300" s="8"/>
      <c r="H300" s="8"/>
      <c r="I300" s="8"/>
      <c r="J300" s="8"/>
      <c r="K300" s="8"/>
    </row>
    <row r="301" spans="3:11" x14ac:dyDescent="0.2">
      <c r="C301" s="8"/>
      <c r="D301" s="8"/>
      <c r="E301" s="8"/>
      <c r="F301" s="8"/>
      <c r="G301" s="8"/>
      <c r="H301" s="8"/>
      <c r="I301" s="8"/>
      <c r="J301" s="8"/>
      <c r="K301" s="8"/>
    </row>
    <row r="302" spans="3:11" x14ac:dyDescent="0.2">
      <c r="C302" s="8"/>
      <c r="D302" s="8"/>
      <c r="E302" s="8"/>
      <c r="F302" s="8"/>
      <c r="G302" s="8"/>
      <c r="H302" s="8"/>
      <c r="I302" s="8"/>
      <c r="J302" s="8"/>
      <c r="K302" s="8"/>
    </row>
    <row r="303" spans="3:11" x14ac:dyDescent="0.2">
      <c r="C303" s="8"/>
      <c r="D303" s="8"/>
      <c r="E303" s="8"/>
      <c r="F303" s="8"/>
      <c r="G303" s="8"/>
      <c r="H303" s="8"/>
      <c r="I303" s="8"/>
      <c r="J303" s="8"/>
      <c r="K303" s="8"/>
    </row>
    <row r="304" spans="3:11" x14ac:dyDescent="0.2">
      <c r="C304" s="8"/>
      <c r="D304" s="8"/>
      <c r="E304" s="8"/>
      <c r="F304" s="8"/>
      <c r="G304" s="8"/>
      <c r="H304" s="8"/>
      <c r="I304" s="8"/>
      <c r="J304" s="8"/>
      <c r="K304" s="8"/>
    </row>
  </sheetData>
  <mergeCells count="4">
    <mergeCell ref="A1:B1"/>
    <mergeCell ref="C1:E1"/>
    <mergeCell ref="F1:H1"/>
    <mergeCell ref="I1:K1"/>
  </mergeCells>
  <conditionalFormatting sqref="C1:K304">
    <cfRule type="containsBlanks" dxfId="0" priority="1">
      <formula>LEN(TRIM(C1))=0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"/>
  <sheetViews>
    <sheetView workbookViewId="0"/>
  </sheetViews>
  <sheetFormatPr defaultColWidth="12.5703125" defaultRowHeight="15.75" customHeight="1" x14ac:dyDescent="0.2"/>
  <sheetData>
    <row r="1" spans="1:11" x14ac:dyDescent="0.2">
      <c r="A1" s="8" t="str">
        <f ca="1">IFERROR(__xludf.DUMMYFUNCTION("QUERY(Data!A:K, ""SELECT A, B, C, D, E, F, G, H, I, J, K WHERE B = 'GP$/HR' LIMIT 50"", 2)
"),"  Advisor Name")</f>
        <v xml:space="preserve">  Advisor Name</v>
      </c>
      <c r="B1" s="8" t="str">
        <f ca="1">IFERROR(__xludf.DUMMYFUNCTION("""COMPUTED_VALUE""")," Metric")</f>
        <v xml:space="preserve"> Metric</v>
      </c>
      <c r="C1" s="8" t="str">
        <f ca="1">IFERROR(__xludf.DUMMYFUNCTION("""COMPUTED_VALUE"""),"Northbrook Armando")</f>
        <v>Northbrook Armando</v>
      </c>
      <c r="D1" s="8" t="str">
        <f ca="1">IFERROR(__xludf.DUMMYFUNCTION("""COMPUTED_VALUE""")," Jaime")</f>
        <v xml:space="preserve"> Jaime</v>
      </c>
      <c r="E1" s="8" t="str">
        <f ca="1">IFERROR(__xludf.DUMMYFUNCTION("""COMPUTED_VALUE""")," Craig")</f>
        <v xml:space="preserve"> Craig</v>
      </c>
      <c r="F1" s="8" t="str">
        <f ca="1">IFERROR(__xludf.DUMMYFUNCTION("""COMPUTED_VALUE"""),"Wilmette Frank")</f>
        <v>Wilmette Frank</v>
      </c>
      <c r="G1" s="8" t="str">
        <f ca="1">IFERROR(__xludf.DUMMYFUNCTION("""COMPUTED_VALUE""")," Dimitri")</f>
        <v xml:space="preserve"> Dimitri</v>
      </c>
      <c r="H1" s="8" t="str">
        <f ca="1">IFERROR(__xludf.DUMMYFUNCTION("""COMPUTED_VALUE""")," Ben")</f>
        <v xml:space="preserve"> Ben</v>
      </c>
      <c r="I1" s="8" t="str">
        <f ca="1">IFERROR(__xludf.DUMMYFUNCTION("""COMPUTED_VALUE"""),"Evanston Ernie")</f>
        <v>Evanston Ernie</v>
      </c>
      <c r="J1" s="8" t="str">
        <f ca="1">IFERROR(__xludf.DUMMYFUNCTION("""COMPUTED_VALUE""")," Sam")</f>
        <v xml:space="preserve"> Sam</v>
      </c>
      <c r="K1" s="8" t="str">
        <f ca="1">IFERROR(__xludf.DUMMYFUNCTION("""COMPUTED_VALUE""")," Jaysun")</f>
        <v xml:space="preserve"> Jaysun</v>
      </c>
    </row>
    <row r="2" spans="1:11" x14ac:dyDescent="0.2">
      <c r="A2" s="8" t="str">
        <f ca="1">IFERROR(__xludf.DUMMYFUNCTION("""COMPUTED_VALUE"""),"Wk 1")</f>
        <v>Wk 1</v>
      </c>
      <c r="B2" s="8" t="str">
        <f ca="1">IFERROR(__xludf.DUMMYFUNCTION("""COMPUTED_VALUE"""),"GP$/HR")</f>
        <v>GP$/HR</v>
      </c>
      <c r="C2" s="4">
        <f ca="1">IFERROR(__xludf.DUMMYFUNCTION("""COMPUTED_VALUE"""),213.43)</f>
        <v>213.43</v>
      </c>
      <c r="D2" s="4">
        <f ca="1">IFERROR(__xludf.DUMMYFUNCTION("""COMPUTED_VALUE"""),185.94)</f>
        <v>185.94</v>
      </c>
      <c r="E2" s="4"/>
      <c r="F2" s="4">
        <f ca="1">IFERROR(__xludf.DUMMYFUNCTION("""COMPUTED_VALUE"""),231.65)</f>
        <v>231.65</v>
      </c>
      <c r="G2" s="4">
        <f ca="1">IFERROR(__xludf.DUMMYFUNCTION("""COMPUTED_VALUE"""),176.46)</f>
        <v>176.46</v>
      </c>
      <c r="H2" s="4">
        <f ca="1">IFERROR(__xludf.DUMMYFUNCTION("""COMPUTED_VALUE"""),151.07)</f>
        <v>151.07</v>
      </c>
      <c r="I2" s="4">
        <f ca="1">IFERROR(__xludf.DUMMYFUNCTION("""COMPUTED_VALUE"""),195.77)</f>
        <v>195.77</v>
      </c>
      <c r="J2" s="4">
        <f ca="1">IFERROR(__xludf.DUMMYFUNCTION("""COMPUTED_VALUE"""),201.04)</f>
        <v>201.04</v>
      </c>
      <c r="K2" s="4"/>
    </row>
    <row r="3" spans="1:11" x14ac:dyDescent="0.2">
      <c r="A3" s="8" t="str">
        <f ca="1">IFERROR(__xludf.DUMMYFUNCTION("""COMPUTED_VALUE"""),"Wk 2")</f>
        <v>Wk 2</v>
      </c>
      <c r="B3" s="8" t="str">
        <f ca="1">IFERROR(__xludf.DUMMYFUNCTION("""COMPUTED_VALUE"""),"GP$/HR")</f>
        <v>GP$/HR</v>
      </c>
      <c r="C3" s="4">
        <f ca="1">IFERROR(__xludf.DUMMYFUNCTION("""COMPUTED_VALUE"""),188.45)</f>
        <v>188.45</v>
      </c>
      <c r="D3" s="4">
        <f ca="1">IFERROR(__xludf.DUMMYFUNCTION("""COMPUTED_VALUE"""),214.79)</f>
        <v>214.79</v>
      </c>
      <c r="E3" s="4"/>
      <c r="F3" s="4">
        <f ca="1">IFERROR(__xludf.DUMMYFUNCTION("""COMPUTED_VALUE"""),228.05)</f>
        <v>228.05</v>
      </c>
      <c r="G3" s="4">
        <f ca="1">IFERROR(__xludf.DUMMYFUNCTION("""COMPUTED_VALUE"""),179.65)</f>
        <v>179.65</v>
      </c>
      <c r="H3" s="4">
        <f ca="1">IFERROR(__xludf.DUMMYFUNCTION("""COMPUTED_VALUE"""),193.16)</f>
        <v>193.16</v>
      </c>
      <c r="I3" s="4">
        <f ca="1">IFERROR(__xludf.DUMMYFUNCTION("""COMPUTED_VALUE"""),193.97)</f>
        <v>193.97</v>
      </c>
      <c r="J3" s="4">
        <f ca="1">IFERROR(__xludf.DUMMYFUNCTION("""COMPUTED_VALUE"""),192.42)</f>
        <v>192.42</v>
      </c>
      <c r="K3" s="4">
        <f ca="1">IFERROR(__xludf.DUMMYFUNCTION("""COMPUTED_VALUE"""),8)</f>
        <v>8</v>
      </c>
    </row>
    <row r="4" spans="1:11" x14ac:dyDescent="0.2">
      <c r="A4" s="8" t="str">
        <f ca="1">IFERROR(__xludf.DUMMYFUNCTION("""COMPUTED_VALUE"""),"Wk 3")</f>
        <v>Wk 3</v>
      </c>
      <c r="B4" s="8" t="str">
        <f ca="1">IFERROR(__xludf.DUMMYFUNCTION("""COMPUTED_VALUE"""),"GP$/HR")</f>
        <v>GP$/HR</v>
      </c>
      <c r="C4" s="4">
        <f ca="1">IFERROR(__xludf.DUMMYFUNCTION("""COMPUTED_VALUE"""),157.09)</f>
        <v>157.09</v>
      </c>
      <c r="D4" s="4">
        <f ca="1">IFERROR(__xludf.DUMMYFUNCTION("""COMPUTED_VALUE"""),187.77)</f>
        <v>187.77</v>
      </c>
      <c r="E4" s="4"/>
      <c r="F4" s="4">
        <f ca="1">IFERROR(__xludf.DUMMYFUNCTION("""COMPUTED_VALUE"""),232.33)</f>
        <v>232.33</v>
      </c>
      <c r="G4" s="4">
        <f ca="1">IFERROR(__xludf.DUMMYFUNCTION("""COMPUTED_VALUE"""),205.97)</f>
        <v>205.97</v>
      </c>
      <c r="H4" s="4">
        <f ca="1">IFERROR(__xludf.DUMMYFUNCTION("""COMPUTED_VALUE"""),223.07)</f>
        <v>223.07</v>
      </c>
      <c r="I4" s="4">
        <f ca="1">IFERROR(__xludf.DUMMYFUNCTION("""COMPUTED_VALUE"""),178.66)</f>
        <v>178.66</v>
      </c>
      <c r="J4" s="4">
        <f ca="1">IFERROR(__xludf.DUMMYFUNCTION("""COMPUTED_VALUE"""),210.76)</f>
        <v>210.76</v>
      </c>
      <c r="K4" s="4"/>
    </row>
    <row r="5" spans="1:11" x14ac:dyDescent="0.2">
      <c r="A5" s="8" t="str">
        <f ca="1">IFERROR(__xludf.DUMMYFUNCTION("""COMPUTED_VALUE"""),"Wk 4")</f>
        <v>Wk 4</v>
      </c>
      <c r="B5" s="8" t="str">
        <f ca="1">IFERROR(__xludf.DUMMYFUNCTION("""COMPUTED_VALUE"""),"GP$/HR")</f>
        <v>GP$/HR</v>
      </c>
      <c r="C5" s="4">
        <f ca="1">IFERROR(__xludf.DUMMYFUNCTION("""COMPUTED_VALUE"""),179.15)</f>
        <v>179.15</v>
      </c>
      <c r="D5" s="4">
        <f ca="1">IFERROR(__xludf.DUMMYFUNCTION("""COMPUTED_VALUE"""),201.17)</f>
        <v>201.17</v>
      </c>
      <c r="E5" s="4"/>
      <c r="F5" s="4">
        <f ca="1">IFERROR(__xludf.DUMMYFUNCTION("""COMPUTED_VALUE"""),226.45)</f>
        <v>226.45</v>
      </c>
      <c r="G5" s="4">
        <f ca="1">IFERROR(__xludf.DUMMYFUNCTION("""COMPUTED_VALUE"""),222.37)</f>
        <v>222.37</v>
      </c>
      <c r="H5" s="4">
        <f ca="1">IFERROR(__xludf.DUMMYFUNCTION("""COMPUTED_VALUE"""),195.57)</f>
        <v>195.57</v>
      </c>
      <c r="I5" s="4">
        <f ca="1">IFERROR(__xludf.DUMMYFUNCTION("""COMPUTED_VALUE"""),175.66)</f>
        <v>175.66</v>
      </c>
      <c r="J5" s="4">
        <f ca="1">IFERROR(__xludf.DUMMYFUNCTION("""COMPUTED_VALUE"""),178.95)</f>
        <v>178.95</v>
      </c>
      <c r="K5" s="4">
        <f ca="1">IFERROR(__xludf.DUMMYFUNCTION("""COMPUTED_VALUE"""),193.48)</f>
        <v>193.48</v>
      </c>
    </row>
    <row r="6" spans="1:11" x14ac:dyDescent="0.2">
      <c r="A6" s="8" t="str">
        <f ca="1">IFERROR(__xludf.DUMMYFUNCTION("""COMPUTED_VALUE"""),"Wk 5")</f>
        <v>Wk 5</v>
      </c>
      <c r="B6" s="8" t="str">
        <f ca="1">IFERROR(__xludf.DUMMYFUNCTION("""COMPUTED_VALUE"""),"GP$/HR")</f>
        <v>GP$/HR</v>
      </c>
      <c r="C6" s="4">
        <f ca="1">IFERROR(__xludf.DUMMYFUNCTION("""COMPUTED_VALUE"""),191.81)</f>
        <v>191.81</v>
      </c>
      <c r="D6" s="4">
        <f ca="1">IFERROR(__xludf.DUMMYFUNCTION("""COMPUTED_VALUE"""),209.89)</f>
        <v>209.89</v>
      </c>
      <c r="E6" s="4"/>
      <c r="F6" s="4">
        <f ca="1">IFERROR(__xludf.DUMMYFUNCTION("""COMPUTED_VALUE"""),228.84)</f>
        <v>228.84</v>
      </c>
      <c r="G6" s="4">
        <f ca="1">IFERROR(__xludf.DUMMYFUNCTION("""COMPUTED_VALUE"""),252.79)</f>
        <v>252.79</v>
      </c>
      <c r="H6" s="4">
        <f ca="1">IFERROR(__xludf.DUMMYFUNCTION("""COMPUTED_VALUE"""),192.07)</f>
        <v>192.07</v>
      </c>
      <c r="I6" s="4">
        <f ca="1">IFERROR(__xludf.DUMMYFUNCTION("""COMPUTED_VALUE"""),203.5)</f>
        <v>203.5</v>
      </c>
      <c r="J6" s="4">
        <f ca="1">IFERROR(__xludf.DUMMYFUNCTION("""COMPUTED_VALUE"""),187.94)</f>
        <v>187.94</v>
      </c>
      <c r="K6" s="4">
        <f ca="1">IFERROR(__xludf.DUMMYFUNCTION("""COMPUTED_VALUE"""),247.45)</f>
        <v>247.45</v>
      </c>
    </row>
    <row r="7" spans="1:11" x14ac:dyDescent="0.2">
      <c r="A7" s="8" t="str">
        <f ca="1">IFERROR(__xludf.DUMMYFUNCTION("""COMPUTED_VALUE"""),"Wk 6")</f>
        <v>Wk 6</v>
      </c>
      <c r="B7" s="8" t="str">
        <f ca="1">IFERROR(__xludf.DUMMYFUNCTION("""COMPUTED_VALUE"""),"GP$/HR")</f>
        <v>GP$/HR</v>
      </c>
      <c r="C7" s="4">
        <f ca="1">IFERROR(__xludf.DUMMYFUNCTION("""COMPUTED_VALUE"""),197.85)</f>
        <v>197.85</v>
      </c>
      <c r="D7" s="4">
        <f ca="1">IFERROR(__xludf.DUMMYFUNCTION("""COMPUTED_VALUE"""),236.38)</f>
        <v>236.38</v>
      </c>
      <c r="E7" s="4"/>
      <c r="F7" s="4">
        <f ca="1">IFERROR(__xludf.DUMMYFUNCTION("""COMPUTED_VALUE"""),245.17)</f>
        <v>245.17</v>
      </c>
      <c r="G7" s="4">
        <f ca="1">IFERROR(__xludf.DUMMYFUNCTION("""COMPUTED_VALUE"""),206.25)</f>
        <v>206.25</v>
      </c>
      <c r="H7" s="4">
        <f ca="1">IFERROR(__xludf.DUMMYFUNCTION("""COMPUTED_VALUE"""),190.09)</f>
        <v>190.09</v>
      </c>
      <c r="I7" s="4">
        <f ca="1">IFERROR(__xludf.DUMMYFUNCTION("""COMPUTED_VALUE"""),184.47)</f>
        <v>184.47</v>
      </c>
      <c r="J7" s="4">
        <f ca="1">IFERROR(__xludf.DUMMYFUNCTION("""COMPUTED_VALUE"""),181.93)</f>
        <v>181.93</v>
      </c>
      <c r="K7" s="4"/>
    </row>
    <row r="8" spans="1:11" x14ac:dyDescent="0.2">
      <c r="A8" s="8" t="str">
        <f ca="1">IFERROR(__xludf.DUMMYFUNCTION("""COMPUTED_VALUE"""),"Wk 7")</f>
        <v>Wk 7</v>
      </c>
      <c r="B8" s="8" t="str">
        <f ca="1">IFERROR(__xludf.DUMMYFUNCTION("""COMPUTED_VALUE"""),"GP$/HR")</f>
        <v>GP$/HR</v>
      </c>
      <c r="C8" s="4">
        <f ca="1">IFERROR(__xludf.DUMMYFUNCTION("""COMPUTED_VALUE"""),172.41)</f>
        <v>172.41</v>
      </c>
      <c r="D8" s="4">
        <f ca="1">IFERROR(__xludf.DUMMYFUNCTION("""COMPUTED_VALUE"""),206.93)</f>
        <v>206.93</v>
      </c>
      <c r="E8" s="4"/>
      <c r="F8" s="4">
        <f ca="1">IFERROR(__xludf.DUMMYFUNCTION("""COMPUTED_VALUE"""),226.23)</f>
        <v>226.23</v>
      </c>
      <c r="G8" s="4">
        <f ca="1">IFERROR(__xludf.DUMMYFUNCTION("""COMPUTED_VALUE"""),217.22)</f>
        <v>217.22</v>
      </c>
      <c r="H8" s="4">
        <f ca="1">IFERROR(__xludf.DUMMYFUNCTION("""COMPUTED_VALUE"""),216.18)</f>
        <v>216.18</v>
      </c>
      <c r="I8" s="4">
        <f ca="1">IFERROR(__xludf.DUMMYFUNCTION("""COMPUTED_VALUE"""),166.25)</f>
        <v>166.25</v>
      </c>
      <c r="J8" s="4">
        <f ca="1">IFERROR(__xludf.DUMMYFUNCTION("""COMPUTED_VALUE"""),211.54)</f>
        <v>211.54</v>
      </c>
      <c r="K8" s="4">
        <f ca="1">IFERROR(__xludf.DUMMYFUNCTION("""COMPUTED_VALUE"""),192.5)</f>
        <v>192.5</v>
      </c>
    </row>
    <row r="9" spans="1:11" x14ac:dyDescent="0.2">
      <c r="A9" s="8" t="str">
        <f ca="1">IFERROR(__xludf.DUMMYFUNCTION("""COMPUTED_VALUE"""),"Wk 8")</f>
        <v>Wk 8</v>
      </c>
      <c r="B9" s="8" t="str">
        <f ca="1">IFERROR(__xludf.DUMMYFUNCTION("""COMPUTED_VALUE"""),"GP$/HR")</f>
        <v>GP$/HR</v>
      </c>
      <c r="C9" s="4">
        <f ca="1">IFERROR(__xludf.DUMMYFUNCTION("""COMPUTED_VALUE"""),189.18)</f>
        <v>189.18</v>
      </c>
      <c r="D9" s="4">
        <f ca="1">IFERROR(__xludf.DUMMYFUNCTION("""COMPUTED_VALUE"""),213.22)</f>
        <v>213.22</v>
      </c>
      <c r="E9" s="4">
        <f ca="1">IFERROR(__xludf.DUMMYFUNCTION("""COMPUTED_VALUE"""),133.11)</f>
        <v>133.11000000000001</v>
      </c>
      <c r="F9" s="4">
        <f ca="1">IFERROR(__xludf.DUMMYFUNCTION("""COMPUTED_VALUE"""),233.98)</f>
        <v>233.98</v>
      </c>
      <c r="G9" s="4">
        <f ca="1">IFERROR(__xludf.DUMMYFUNCTION("""COMPUTED_VALUE"""),237.49)</f>
        <v>237.49</v>
      </c>
      <c r="H9" s="4">
        <f ca="1">IFERROR(__xludf.DUMMYFUNCTION("""COMPUTED_VALUE"""),171.83)</f>
        <v>171.83</v>
      </c>
      <c r="I9" s="4">
        <f ca="1">IFERROR(__xludf.DUMMYFUNCTION("""COMPUTED_VALUE"""),192.23)</f>
        <v>192.23</v>
      </c>
      <c r="J9" s="4">
        <f ca="1">IFERROR(__xludf.DUMMYFUNCTION("""COMPUTED_VALUE"""),190.69)</f>
        <v>190.69</v>
      </c>
      <c r="K9" s="4">
        <f ca="1">IFERROR(__xludf.DUMMYFUNCTION("""COMPUTED_VALUE"""),175.95)</f>
        <v>175.95</v>
      </c>
    </row>
    <row r="10" spans="1:11" x14ac:dyDescent="0.2">
      <c r="A10" s="8" t="str">
        <f ca="1">IFERROR(__xludf.DUMMYFUNCTION("""COMPUTED_VALUE"""),"Wk 9")</f>
        <v>Wk 9</v>
      </c>
      <c r="B10" s="8" t="str">
        <f ca="1">IFERROR(__xludf.DUMMYFUNCTION("""COMPUTED_VALUE"""),"GP$/HR")</f>
        <v>GP$/HR</v>
      </c>
      <c r="C10" s="4">
        <f ca="1">IFERROR(__xludf.DUMMYFUNCTION("""COMPUTED_VALUE"""),194.65)</f>
        <v>194.65</v>
      </c>
      <c r="D10" s="4">
        <f ca="1">IFERROR(__xludf.DUMMYFUNCTION("""COMPUTED_VALUE"""),193.02)</f>
        <v>193.02</v>
      </c>
      <c r="E10" s="4"/>
      <c r="F10" s="4">
        <f ca="1">IFERROR(__xludf.DUMMYFUNCTION("""COMPUTED_VALUE"""),239.19)</f>
        <v>239.19</v>
      </c>
      <c r="G10" s="4">
        <f ca="1">IFERROR(__xludf.DUMMYFUNCTION("""COMPUTED_VALUE"""),209.7)</f>
        <v>209.7</v>
      </c>
      <c r="H10" s="4">
        <f ca="1">IFERROR(__xludf.DUMMYFUNCTION("""COMPUTED_VALUE"""),166.47)</f>
        <v>166.47</v>
      </c>
      <c r="I10" s="4">
        <f ca="1">IFERROR(__xludf.DUMMYFUNCTION("""COMPUTED_VALUE"""),175.63)</f>
        <v>175.63</v>
      </c>
      <c r="J10" s="4">
        <f ca="1">IFERROR(__xludf.DUMMYFUNCTION("""COMPUTED_VALUE"""),216.65)</f>
        <v>216.65</v>
      </c>
      <c r="K10" s="4">
        <f ca="1">IFERROR(__xludf.DUMMYFUNCTION("""COMPUTED_VALUE"""),248.13)</f>
        <v>248.13</v>
      </c>
    </row>
    <row r="11" spans="1:11" x14ac:dyDescent="0.2">
      <c r="A11" s="8" t="str">
        <f ca="1">IFERROR(__xludf.DUMMYFUNCTION("""COMPUTED_VALUE"""),"Wk 10")</f>
        <v>Wk 10</v>
      </c>
      <c r="B11" s="8" t="str">
        <f ca="1">IFERROR(__xludf.DUMMYFUNCTION("""COMPUTED_VALUE"""),"GP$/HR")</f>
        <v>GP$/HR</v>
      </c>
      <c r="C11" s="4">
        <f ca="1">IFERROR(__xludf.DUMMYFUNCTION("""COMPUTED_VALUE"""),190.84)</f>
        <v>190.84</v>
      </c>
      <c r="D11" s="4">
        <f ca="1">IFERROR(__xludf.DUMMYFUNCTION("""COMPUTED_VALUE"""),595.27)</f>
        <v>595.27</v>
      </c>
      <c r="E11" s="4"/>
      <c r="F11" s="4">
        <f ca="1">IFERROR(__xludf.DUMMYFUNCTION("""COMPUTED_VALUE"""),205.59)</f>
        <v>205.59</v>
      </c>
      <c r="G11" s="4">
        <f ca="1">IFERROR(__xludf.DUMMYFUNCTION("""COMPUTED_VALUE"""),215.94)</f>
        <v>215.94</v>
      </c>
      <c r="H11" s="4">
        <f ca="1">IFERROR(__xludf.DUMMYFUNCTION("""COMPUTED_VALUE"""),222.51)</f>
        <v>222.51</v>
      </c>
      <c r="I11" s="4">
        <f ca="1">IFERROR(__xludf.DUMMYFUNCTION("""COMPUTED_VALUE"""),183.82)</f>
        <v>183.82</v>
      </c>
      <c r="J11" s="4">
        <f ca="1">IFERROR(__xludf.DUMMYFUNCTION("""COMPUTED_VALUE"""),205.83)</f>
        <v>205.83</v>
      </c>
      <c r="K11" s="4">
        <f ca="1">IFERROR(__xludf.DUMMYFUNCTION("""COMPUTED_VALUE"""),219.84)</f>
        <v>219.84</v>
      </c>
    </row>
    <row r="12" spans="1:11" x14ac:dyDescent="0.2">
      <c r="A12" s="8" t="str">
        <f ca="1">IFERROR(__xludf.DUMMYFUNCTION("""COMPUTED_VALUE"""),"Wk 11")</f>
        <v>Wk 11</v>
      </c>
      <c r="B12" s="8" t="str">
        <f ca="1">IFERROR(__xludf.DUMMYFUNCTION("""COMPUTED_VALUE"""),"GP$/HR")</f>
        <v>GP$/HR</v>
      </c>
      <c r="C12" s="4">
        <f ca="1">IFERROR(__xludf.DUMMYFUNCTION("""COMPUTED_VALUE"""),210.93)</f>
        <v>210.93</v>
      </c>
      <c r="D12" s="4">
        <f ca="1">IFERROR(__xludf.DUMMYFUNCTION("""COMPUTED_VALUE"""),205.18)</f>
        <v>205.18</v>
      </c>
      <c r="E12" s="4">
        <f ca="1">IFERROR(__xludf.DUMMYFUNCTION("""COMPUTED_VALUE"""),326.72)</f>
        <v>326.72000000000003</v>
      </c>
      <c r="F12" s="4">
        <f ca="1">IFERROR(__xludf.DUMMYFUNCTION("""COMPUTED_VALUE"""),236.7)</f>
        <v>236.7</v>
      </c>
      <c r="G12" s="4">
        <f ca="1">IFERROR(__xludf.DUMMYFUNCTION("""COMPUTED_VALUE"""),223.27)</f>
        <v>223.27</v>
      </c>
      <c r="H12" s="4">
        <f ca="1">IFERROR(__xludf.DUMMYFUNCTION("""COMPUTED_VALUE"""),199.76)</f>
        <v>199.76</v>
      </c>
      <c r="I12" s="4">
        <f ca="1">IFERROR(__xludf.DUMMYFUNCTION("""COMPUTED_VALUE"""),218.73)</f>
        <v>218.73</v>
      </c>
      <c r="J12" s="4">
        <f ca="1">IFERROR(__xludf.DUMMYFUNCTION("""COMPUTED_VALUE"""),211.09)</f>
        <v>211.09</v>
      </c>
      <c r="K12" s="4">
        <f ca="1">IFERROR(__xludf.DUMMYFUNCTION("""COMPUTED_VALUE"""),1005.33)</f>
        <v>1005.33</v>
      </c>
    </row>
    <row r="13" spans="1:11" x14ac:dyDescent="0.2">
      <c r="A13" s="8" t="str">
        <f ca="1">IFERROR(__xludf.DUMMYFUNCTION("""COMPUTED_VALUE"""),"Wk 12")</f>
        <v>Wk 12</v>
      </c>
      <c r="B13" s="8" t="str">
        <f ca="1">IFERROR(__xludf.DUMMYFUNCTION("""COMPUTED_VALUE"""),"GP$/HR")</f>
        <v>GP$/HR</v>
      </c>
      <c r="C13" s="4">
        <f ca="1">IFERROR(__xludf.DUMMYFUNCTION("""COMPUTED_VALUE"""),214.95)</f>
        <v>214.95</v>
      </c>
      <c r="D13" s="4">
        <f ca="1">IFERROR(__xludf.DUMMYFUNCTION("""COMPUTED_VALUE"""),231.74)</f>
        <v>231.74</v>
      </c>
      <c r="E13" s="4"/>
      <c r="F13" s="4">
        <f ca="1">IFERROR(__xludf.DUMMYFUNCTION("""COMPUTED_VALUE"""),212.89)</f>
        <v>212.89</v>
      </c>
      <c r="G13" s="4">
        <f ca="1">IFERROR(__xludf.DUMMYFUNCTION("""COMPUTED_VALUE"""),220.73)</f>
        <v>220.73</v>
      </c>
      <c r="H13" s="4">
        <f ca="1">IFERROR(__xludf.DUMMYFUNCTION("""COMPUTED_VALUE"""),214.92)</f>
        <v>214.92</v>
      </c>
      <c r="I13" s="4">
        <f ca="1">IFERROR(__xludf.DUMMYFUNCTION("""COMPUTED_VALUE"""),194.16)</f>
        <v>194.16</v>
      </c>
      <c r="J13" s="4">
        <f ca="1">IFERROR(__xludf.DUMMYFUNCTION("""COMPUTED_VALUE"""),196.25)</f>
        <v>196.25</v>
      </c>
      <c r="K13" s="4">
        <f ca="1">IFERROR(__xludf.DUMMYFUNCTION("""COMPUTED_VALUE"""),195.93)</f>
        <v>195.93</v>
      </c>
    </row>
    <row r="14" spans="1:11" x14ac:dyDescent="0.2">
      <c r="A14" s="8" t="str">
        <f ca="1">IFERROR(__xludf.DUMMYFUNCTION("""COMPUTED_VALUE"""),"Wk 13")</f>
        <v>Wk 13</v>
      </c>
      <c r="B14" s="8" t="str">
        <f ca="1">IFERROR(__xludf.DUMMYFUNCTION("""COMPUTED_VALUE"""),"GP$/HR")</f>
        <v>GP$/HR</v>
      </c>
      <c r="C14" s="4">
        <f ca="1">IFERROR(__xludf.DUMMYFUNCTION("""COMPUTED_VALUE"""),201.98)</f>
        <v>201.98</v>
      </c>
      <c r="D14" s="4">
        <f ca="1">IFERROR(__xludf.DUMMYFUNCTION("""COMPUTED_VALUE"""),200.07)</f>
        <v>200.07</v>
      </c>
      <c r="E14" s="4"/>
      <c r="F14" s="4">
        <f ca="1">IFERROR(__xludf.DUMMYFUNCTION("""COMPUTED_VALUE"""),227.9)</f>
        <v>227.9</v>
      </c>
      <c r="G14" s="4">
        <f ca="1">IFERROR(__xludf.DUMMYFUNCTION("""COMPUTED_VALUE"""),210.78)</f>
        <v>210.78</v>
      </c>
      <c r="H14" s="4">
        <f ca="1">IFERROR(__xludf.DUMMYFUNCTION("""COMPUTED_VALUE"""),227.82)</f>
        <v>227.82</v>
      </c>
      <c r="I14" s="4">
        <f ca="1">IFERROR(__xludf.DUMMYFUNCTION("""COMPUTED_VALUE"""),198.4)</f>
        <v>198.4</v>
      </c>
      <c r="J14" s="4">
        <f ca="1">IFERROR(__xludf.DUMMYFUNCTION("""COMPUTED_VALUE"""),223.56)</f>
        <v>223.56</v>
      </c>
      <c r="K14" s="4"/>
    </row>
    <row r="15" spans="1:11" x14ac:dyDescent="0.2">
      <c r="A15" s="8" t="str">
        <f ca="1">IFERROR(__xludf.DUMMYFUNCTION("""COMPUTED_VALUE"""),"Wk 14")</f>
        <v>Wk 14</v>
      </c>
      <c r="B15" s="8" t="str">
        <f ca="1">IFERROR(__xludf.DUMMYFUNCTION("""COMPUTED_VALUE"""),"GP$/HR")</f>
        <v>GP$/HR</v>
      </c>
      <c r="C15" s="4">
        <f ca="1">IFERROR(__xludf.DUMMYFUNCTION("""COMPUTED_VALUE"""),205.01)</f>
        <v>205.01</v>
      </c>
      <c r="D15" s="4">
        <f ca="1">IFERROR(__xludf.DUMMYFUNCTION("""COMPUTED_VALUE"""),204.49)</f>
        <v>204.49</v>
      </c>
      <c r="E15" s="4"/>
      <c r="F15" s="4"/>
      <c r="G15" s="4">
        <f ca="1">IFERROR(__xludf.DUMMYFUNCTION("""COMPUTED_VALUE"""),223.96)</f>
        <v>223.96</v>
      </c>
      <c r="H15" s="4">
        <f ca="1">IFERROR(__xludf.DUMMYFUNCTION("""COMPUTED_VALUE"""),204.66)</f>
        <v>204.66</v>
      </c>
      <c r="I15" s="4">
        <f ca="1">IFERROR(__xludf.DUMMYFUNCTION("""COMPUTED_VALUE"""),191.39)</f>
        <v>191.39</v>
      </c>
      <c r="J15" s="4">
        <f ca="1">IFERROR(__xludf.DUMMYFUNCTION("""COMPUTED_VALUE"""),220.74)</f>
        <v>220.74</v>
      </c>
      <c r="K15" s="4"/>
    </row>
    <row r="16" spans="1:11" x14ac:dyDescent="0.2">
      <c r="A16" s="8" t="str">
        <f ca="1">IFERROR(__xludf.DUMMYFUNCTION("""COMPUTED_VALUE"""),"Wk 15")</f>
        <v>Wk 15</v>
      </c>
      <c r="B16" s="8" t="str">
        <f ca="1">IFERROR(__xludf.DUMMYFUNCTION("""COMPUTED_VALUE"""),"GP$/HR")</f>
        <v>GP$/HR</v>
      </c>
      <c r="C16" s="4">
        <f ca="1">IFERROR(__xludf.DUMMYFUNCTION("""COMPUTED_VALUE"""),203.26)</f>
        <v>203.26</v>
      </c>
      <c r="D16" s="4">
        <f ca="1">IFERROR(__xludf.DUMMYFUNCTION("""COMPUTED_VALUE"""),216.88)</f>
        <v>216.88</v>
      </c>
      <c r="E16" s="4"/>
      <c r="F16" s="4">
        <f ca="1">IFERROR(__xludf.DUMMYFUNCTION("""COMPUTED_VALUE"""),257.48)</f>
        <v>257.48</v>
      </c>
      <c r="G16" s="4">
        <f ca="1">IFERROR(__xludf.DUMMYFUNCTION("""COMPUTED_VALUE"""),194.71)</f>
        <v>194.71</v>
      </c>
      <c r="H16" s="4">
        <f ca="1">IFERROR(__xludf.DUMMYFUNCTION("""COMPUTED_VALUE"""),225.5)</f>
        <v>225.5</v>
      </c>
      <c r="I16" s="4">
        <f ca="1">IFERROR(__xludf.DUMMYFUNCTION("""COMPUTED_VALUE"""),204.73)</f>
        <v>204.73</v>
      </c>
      <c r="J16" s="4">
        <f ca="1">IFERROR(__xludf.DUMMYFUNCTION("""COMPUTED_VALUE"""),224.07)</f>
        <v>224.07</v>
      </c>
      <c r="K16" s="4">
        <f ca="1">IFERROR(__xludf.DUMMYFUNCTION("""COMPUTED_VALUE"""),36.2)</f>
        <v>36.200000000000003</v>
      </c>
    </row>
    <row r="17" spans="1:11" x14ac:dyDescent="0.2">
      <c r="A17" s="8" t="str">
        <f ca="1">IFERROR(__xludf.DUMMYFUNCTION("""COMPUTED_VALUE"""),"Wk 16")</f>
        <v>Wk 16</v>
      </c>
      <c r="B17" s="8" t="str">
        <f ca="1">IFERROR(__xludf.DUMMYFUNCTION("""COMPUTED_VALUE"""),"GP$/HR")</f>
        <v>GP$/HR</v>
      </c>
      <c r="C17" s="4">
        <f ca="1">IFERROR(__xludf.DUMMYFUNCTION("""COMPUTED_VALUE"""),220.7)</f>
        <v>220.7</v>
      </c>
      <c r="D17" s="4">
        <f ca="1">IFERROR(__xludf.DUMMYFUNCTION("""COMPUTED_VALUE"""),195.73)</f>
        <v>195.73</v>
      </c>
      <c r="E17" s="4"/>
      <c r="F17" s="4">
        <f ca="1">IFERROR(__xludf.DUMMYFUNCTION("""COMPUTED_VALUE"""),226.5)</f>
        <v>226.5</v>
      </c>
      <c r="G17" s="4">
        <f ca="1">IFERROR(__xludf.DUMMYFUNCTION("""COMPUTED_VALUE"""),231.22)</f>
        <v>231.22</v>
      </c>
      <c r="H17" s="4">
        <f ca="1">IFERROR(__xludf.DUMMYFUNCTION("""COMPUTED_VALUE"""),209.12)</f>
        <v>209.12</v>
      </c>
      <c r="I17" s="4">
        <f ca="1">IFERROR(__xludf.DUMMYFUNCTION("""COMPUTED_VALUE"""),193.12)</f>
        <v>193.12</v>
      </c>
      <c r="J17" s="4">
        <f ca="1">IFERROR(__xludf.DUMMYFUNCTION("""COMPUTED_VALUE"""),210.04)</f>
        <v>210.04</v>
      </c>
      <c r="K17" s="4">
        <f ca="1">IFERROR(__xludf.DUMMYFUNCTION("""COMPUTED_VALUE"""),171.3)</f>
        <v>171.3</v>
      </c>
    </row>
    <row r="18" spans="1:11" x14ac:dyDescent="0.2">
      <c r="A18" s="8" t="str">
        <f ca="1">IFERROR(__xludf.DUMMYFUNCTION("""COMPUTED_VALUE"""),"Wk 17")</f>
        <v>Wk 17</v>
      </c>
      <c r="B18" s="8" t="str">
        <f ca="1">IFERROR(__xludf.DUMMYFUNCTION("""COMPUTED_VALUE"""),"GP$/HR")</f>
        <v>GP$/HR</v>
      </c>
      <c r="C18" s="4">
        <f ca="1">IFERROR(__xludf.DUMMYFUNCTION("""COMPUTED_VALUE"""),222.16)</f>
        <v>222.16</v>
      </c>
      <c r="D18" s="4">
        <f ca="1">IFERROR(__xludf.DUMMYFUNCTION("""COMPUTED_VALUE"""),235.95)</f>
        <v>235.95</v>
      </c>
      <c r="E18" s="4">
        <f ca="1">IFERROR(__xludf.DUMMYFUNCTION("""COMPUTED_VALUE"""),105.25)</f>
        <v>105.25</v>
      </c>
      <c r="F18" s="4">
        <f ca="1">IFERROR(__xludf.DUMMYFUNCTION("""COMPUTED_VALUE"""),249.59)</f>
        <v>249.59</v>
      </c>
      <c r="G18" s="4">
        <f ca="1">IFERROR(__xludf.DUMMYFUNCTION("""COMPUTED_VALUE"""),229.9)</f>
        <v>229.9</v>
      </c>
      <c r="H18" s="4">
        <f ca="1">IFERROR(__xludf.DUMMYFUNCTION("""COMPUTED_VALUE"""),185.78)</f>
        <v>185.78</v>
      </c>
      <c r="I18" s="4">
        <f ca="1">IFERROR(__xludf.DUMMYFUNCTION("""COMPUTED_VALUE"""),200.92)</f>
        <v>200.92</v>
      </c>
      <c r="J18" s="4">
        <f ca="1">IFERROR(__xludf.DUMMYFUNCTION("""COMPUTED_VALUE"""),173.55)</f>
        <v>173.55</v>
      </c>
      <c r="K18" s="4">
        <f ca="1">IFERROR(__xludf.DUMMYFUNCTION("""COMPUTED_VALUE"""),288.63)</f>
        <v>288.63</v>
      </c>
    </row>
    <row r="19" spans="1:11" x14ac:dyDescent="0.2">
      <c r="A19" s="8" t="str">
        <f ca="1">IFERROR(__xludf.DUMMYFUNCTION("""COMPUTED_VALUE"""),"Wk 18")</f>
        <v>Wk 18</v>
      </c>
      <c r="B19" s="8" t="str">
        <f ca="1">IFERROR(__xludf.DUMMYFUNCTION("""COMPUTED_VALUE"""),"GP$/HR")</f>
        <v>GP$/HR</v>
      </c>
      <c r="C19" s="4">
        <f ca="1">IFERROR(__xludf.DUMMYFUNCTION("""COMPUTED_VALUE"""),198.18)</f>
        <v>198.18</v>
      </c>
      <c r="D19" s="4">
        <f ca="1">IFERROR(__xludf.DUMMYFUNCTION("""COMPUTED_VALUE"""),200.6)</f>
        <v>200.6</v>
      </c>
      <c r="E19" s="4">
        <f ca="1">IFERROR(__xludf.DUMMYFUNCTION("""COMPUTED_VALUE"""),189.58)</f>
        <v>189.58</v>
      </c>
      <c r="F19" s="4">
        <f ca="1">IFERROR(__xludf.DUMMYFUNCTION("""COMPUTED_VALUE"""),211.01)</f>
        <v>211.01</v>
      </c>
      <c r="G19" s="4">
        <f ca="1">IFERROR(__xludf.DUMMYFUNCTION("""COMPUTED_VALUE"""),237.46)</f>
        <v>237.46</v>
      </c>
      <c r="H19" s="4">
        <f ca="1">IFERROR(__xludf.DUMMYFUNCTION("""COMPUTED_VALUE"""),211.99)</f>
        <v>211.99</v>
      </c>
      <c r="I19" s="4">
        <f ca="1">IFERROR(__xludf.DUMMYFUNCTION("""COMPUTED_VALUE"""),212.73)</f>
        <v>212.73</v>
      </c>
      <c r="J19" s="4">
        <f ca="1">IFERROR(__xludf.DUMMYFUNCTION("""COMPUTED_VALUE"""),230.64)</f>
        <v>230.64</v>
      </c>
      <c r="K19" s="4"/>
    </row>
    <row r="20" spans="1:11" x14ac:dyDescent="0.2">
      <c r="A20" s="8" t="str">
        <f ca="1">IFERROR(__xludf.DUMMYFUNCTION("""COMPUTED_VALUE"""),"Wk 19")</f>
        <v>Wk 19</v>
      </c>
      <c r="B20" s="8" t="str">
        <f ca="1">IFERROR(__xludf.DUMMYFUNCTION("""COMPUTED_VALUE"""),"GP$/HR")</f>
        <v>GP$/HR</v>
      </c>
      <c r="C20" s="4">
        <f ca="1">IFERROR(__xludf.DUMMYFUNCTION("""COMPUTED_VALUE"""),200.7)</f>
        <v>200.7</v>
      </c>
      <c r="D20" s="4">
        <f ca="1">IFERROR(__xludf.DUMMYFUNCTION("""COMPUTED_VALUE"""),193.47)</f>
        <v>193.47</v>
      </c>
      <c r="E20" s="4">
        <f ca="1">IFERROR(__xludf.DUMMYFUNCTION("""COMPUTED_VALUE"""),152.12)</f>
        <v>152.12</v>
      </c>
      <c r="F20" s="4">
        <f ca="1">IFERROR(__xludf.DUMMYFUNCTION("""COMPUTED_VALUE"""),258.47)</f>
        <v>258.47000000000003</v>
      </c>
      <c r="G20" s="4">
        <f ca="1">IFERROR(__xludf.DUMMYFUNCTION("""COMPUTED_VALUE"""),215.55)</f>
        <v>215.55</v>
      </c>
      <c r="H20" s="4">
        <f ca="1">IFERROR(__xludf.DUMMYFUNCTION("""COMPUTED_VALUE"""),205.42)</f>
        <v>205.42</v>
      </c>
      <c r="I20" s="4">
        <f ca="1">IFERROR(__xludf.DUMMYFUNCTION("""COMPUTED_VALUE"""),198.51)</f>
        <v>198.51</v>
      </c>
      <c r="J20" s="4">
        <f ca="1">IFERROR(__xludf.DUMMYFUNCTION("""COMPUTED_VALUE"""),221.49)</f>
        <v>221.49</v>
      </c>
      <c r="K20" s="4">
        <f ca="1">IFERROR(__xludf.DUMMYFUNCTION("""COMPUTED_VALUE"""),215.68)</f>
        <v>215.68</v>
      </c>
    </row>
    <row r="21" spans="1:11" x14ac:dyDescent="0.2">
      <c r="A21" s="8" t="str">
        <f ca="1">IFERROR(__xludf.DUMMYFUNCTION("""COMPUTED_VALUE"""),"Wk 20")</f>
        <v>Wk 20</v>
      </c>
      <c r="B21" s="8" t="str">
        <f ca="1">IFERROR(__xludf.DUMMYFUNCTION("""COMPUTED_VALUE"""),"GP$/HR")</f>
        <v>GP$/HR</v>
      </c>
      <c r="C21" s="4">
        <f ca="1">IFERROR(__xludf.DUMMYFUNCTION("""COMPUTED_VALUE"""),219.33)</f>
        <v>219.33</v>
      </c>
      <c r="D21" s="4">
        <f ca="1">IFERROR(__xludf.DUMMYFUNCTION("""COMPUTED_VALUE"""),217.76)</f>
        <v>217.76</v>
      </c>
      <c r="E21" s="4">
        <f ca="1">IFERROR(__xludf.DUMMYFUNCTION("""COMPUTED_VALUE"""),351.79)</f>
        <v>351.79</v>
      </c>
      <c r="F21" s="4">
        <f ca="1">IFERROR(__xludf.DUMMYFUNCTION("""COMPUTED_VALUE"""),196.78)</f>
        <v>196.78</v>
      </c>
      <c r="G21" s="4">
        <f ca="1">IFERROR(__xludf.DUMMYFUNCTION("""COMPUTED_VALUE"""),243.53)</f>
        <v>243.53</v>
      </c>
      <c r="H21" s="4">
        <f ca="1">IFERROR(__xludf.DUMMYFUNCTION("""COMPUTED_VALUE"""),212.58)</f>
        <v>212.58</v>
      </c>
      <c r="I21" s="4">
        <f ca="1">IFERROR(__xludf.DUMMYFUNCTION("""COMPUTED_VALUE"""),206.32)</f>
        <v>206.32</v>
      </c>
      <c r="J21" s="4">
        <f ca="1">IFERROR(__xludf.DUMMYFUNCTION("""COMPUTED_VALUE"""),214.17)</f>
        <v>214.17</v>
      </c>
      <c r="K21" s="4">
        <f ca="1">IFERROR(__xludf.DUMMYFUNCTION("""COMPUTED_VALUE"""),173.25)</f>
        <v>173.25</v>
      </c>
    </row>
    <row r="22" spans="1:11" x14ac:dyDescent="0.2">
      <c r="A22" s="8" t="str">
        <f ca="1">IFERROR(__xludf.DUMMYFUNCTION("""COMPUTED_VALUE"""),"Wk 21")</f>
        <v>Wk 21</v>
      </c>
      <c r="B22" s="8" t="str">
        <f ca="1">IFERROR(__xludf.DUMMYFUNCTION("""COMPUTED_VALUE"""),"GP$/HR")</f>
        <v>GP$/HR</v>
      </c>
      <c r="C22" s="4">
        <f ca="1">IFERROR(__xludf.DUMMYFUNCTION("""COMPUTED_VALUE"""),214.11)</f>
        <v>214.11</v>
      </c>
      <c r="D22" s="4">
        <f ca="1">IFERROR(__xludf.DUMMYFUNCTION("""COMPUTED_VALUE"""),199.19)</f>
        <v>199.19</v>
      </c>
      <c r="E22" s="4">
        <f ca="1">IFERROR(__xludf.DUMMYFUNCTION("""COMPUTED_VALUE"""),190.62)</f>
        <v>190.62</v>
      </c>
      <c r="F22" s="4">
        <f ca="1">IFERROR(__xludf.DUMMYFUNCTION("""COMPUTED_VALUE"""),244.28)</f>
        <v>244.28</v>
      </c>
      <c r="G22" s="4">
        <f ca="1">IFERROR(__xludf.DUMMYFUNCTION("""COMPUTED_VALUE"""),228.03)</f>
        <v>228.03</v>
      </c>
      <c r="H22" s="4">
        <f ca="1">IFERROR(__xludf.DUMMYFUNCTION("""COMPUTED_VALUE"""),215.86)</f>
        <v>215.86</v>
      </c>
      <c r="I22" s="4">
        <f ca="1">IFERROR(__xludf.DUMMYFUNCTION("""COMPUTED_VALUE"""),197.88)</f>
        <v>197.88</v>
      </c>
      <c r="J22" s="4">
        <f ca="1">IFERROR(__xludf.DUMMYFUNCTION("""COMPUTED_VALUE"""),217.52)</f>
        <v>217.52</v>
      </c>
      <c r="K22" s="4">
        <f ca="1">IFERROR(__xludf.DUMMYFUNCTION("""COMPUTED_VALUE"""),256.01)</f>
        <v>256.01</v>
      </c>
    </row>
    <row r="23" spans="1:11" x14ac:dyDescent="0.2">
      <c r="A23" s="8" t="str">
        <f ca="1">IFERROR(__xludf.DUMMYFUNCTION("""COMPUTED_VALUE"""),"Wk 22")</f>
        <v>Wk 22</v>
      </c>
      <c r="B23" s="8" t="str">
        <f ca="1">IFERROR(__xludf.DUMMYFUNCTION("""COMPUTED_VALUE"""),"GP$/HR")</f>
        <v>GP$/HR</v>
      </c>
      <c r="C23" s="4">
        <f ca="1">IFERROR(__xludf.DUMMYFUNCTION("""COMPUTED_VALUE"""),200.96)</f>
        <v>200.96</v>
      </c>
      <c r="D23" s="4">
        <f ca="1">IFERROR(__xludf.DUMMYFUNCTION("""COMPUTED_VALUE"""),210.6)</f>
        <v>210.6</v>
      </c>
      <c r="E23" s="4">
        <f ca="1">IFERROR(__xludf.DUMMYFUNCTION("""COMPUTED_VALUE"""),193.22)</f>
        <v>193.22</v>
      </c>
      <c r="F23" s="4">
        <f ca="1">IFERROR(__xludf.DUMMYFUNCTION("""COMPUTED_VALUE"""),249.44)</f>
        <v>249.44</v>
      </c>
      <c r="G23" s="4">
        <f ca="1">IFERROR(__xludf.DUMMYFUNCTION("""COMPUTED_VALUE"""),242.03)</f>
        <v>242.03</v>
      </c>
      <c r="H23" s="4">
        <f ca="1">IFERROR(__xludf.DUMMYFUNCTION("""COMPUTED_VALUE"""),213)</f>
        <v>213</v>
      </c>
      <c r="I23" s="4">
        <f ca="1">IFERROR(__xludf.DUMMYFUNCTION("""COMPUTED_VALUE"""),207.23)</f>
        <v>207.23</v>
      </c>
      <c r="J23" s="4">
        <f ca="1">IFERROR(__xludf.DUMMYFUNCTION("""COMPUTED_VALUE"""),212.6)</f>
        <v>212.6</v>
      </c>
      <c r="K23" s="4">
        <f ca="1">IFERROR(__xludf.DUMMYFUNCTION("""COMPUTED_VALUE"""),272.36)</f>
        <v>272.36</v>
      </c>
    </row>
    <row r="24" spans="1:11" x14ac:dyDescent="0.2">
      <c r="A24" s="8" t="str">
        <f ca="1">IFERROR(__xludf.DUMMYFUNCTION("""COMPUTED_VALUE"""),"Wk 23")</f>
        <v>Wk 23</v>
      </c>
      <c r="B24" s="8" t="str">
        <f ca="1">IFERROR(__xludf.DUMMYFUNCTION("""COMPUTED_VALUE"""),"GP$/HR")</f>
        <v>GP$/HR</v>
      </c>
      <c r="C24" s="4">
        <f ca="1">IFERROR(__xludf.DUMMYFUNCTION("""COMPUTED_VALUE"""),213.59)</f>
        <v>213.59</v>
      </c>
      <c r="D24" s="4">
        <f ca="1">IFERROR(__xludf.DUMMYFUNCTION("""COMPUTED_VALUE"""),197.89)</f>
        <v>197.89</v>
      </c>
      <c r="E24" s="4">
        <f ca="1">IFERROR(__xludf.DUMMYFUNCTION("""COMPUTED_VALUE"""),251.84)</f>
        <v>251.84</v>
      </c>
      <c r="F24" s="4">
        <f ca="1">IFERROR(__xludf.DUMMYFUNCTION("""COMPUTED_VALUE"""),256.64)</f>
        <v>256.64</v>
      </c>
      <c r="G24" s="4">
        <f ca="1">IFERROR(__xludf.DUMMYFUNCTION("""COMPUTED_VALUE"""),220.35)</f>
        <v>220.35</v>
      </c>
      <c r="H24" s="4">
        <f ca="1">IFERROR(__xludf.DUMMYFUNCTION("""COMPUTED_VALUE"""),216.29)</f>
        <v>216.29</v>
      </c>
      <c r="I24" s="4">
        <f ca="1">IFERROR(__xludf.DUMMYFUNCTION("""COMPUTED_VALUE"""),195.5)</f>
        <v>195.5</v>
      </c>
      <c r="J24" s="4">
        <f ca="1">IFERROR(__xludf.DUMMYFUNCTION("""COMPUTED_VALUE"""),194.33)</f>
        <v>194.33</v>
      </c>
      <c r="K24" s="4">
        <f ca="1">IFERROR(__xludf.DUMMYFUNCTION("""COMPUTED_VALUE"""),174.81)</f>
        <v>174.81</v>
      </c>
    </row>
    <row r="25" spans="1:11" x14ac:dyDescent="0.2">
      <c r="A25" s="8" t="str">
        <f ca="1">IFERROR(__xludf.DUMMYFUNCTION("""COMPUTED_VALUE"""),"Wk 24")</f>
        <v>Wk 24</v>
      </c>
      <c r="B25" s="8" t="str">
        <f ca="1">IFERROR(__xludf.DUMMYFUNCTION("""COMPUTED_VALUE"""),"GP$/HR")</f>
        <v>GP$/HR</v>
      </c>
      <c r="C25" s="4">
        <f ca="1">IFERROR(__xludf.DUMMYFUNCTION("""COMPUTED_VALUE"""),219.59)</f>
        <v>219.59</v>
      </c>
      <c r="D25" s="4">
        <f ca="1">IFERROR(__xludf.DUMMYFUNCTION("""COMPUTED_VALUE"""),216.46)</f>
        <v>216.46</v>
      </c>
      <c r="E25" s="4">
        <f ca="1">IFERROR(__xludf.DUMMYFUNCTION("""COMPUTED_VALUE"""),515.33)</f>
        <v>515.33000000000004</v>
      </c>
      <c r="F25" s="4"/>
      <c r="G25" s="4">
        <f ca="1">IFERROR(__xludf.DUMMYFUNCTION("""COMPUTED_VALUE"""),218.27)</f>
        <v>218.27</v>
      </c>
      <c r="H25" s="4">
        <f ca="1">IFERROR(__xludf.DUMMYFUNCTION("""COMPUTED_VALUE"""),206.77)</f>
        <v>206.77</v>
      </c>
      <c r="I25" s="4">
        <f ca="1">IFERROR(__xludf.DUMMYFUNCTION("""COMPUTED_VALUE"""),208.48)</f>
        <v>208.48</v>
      </c>
      <c r="J25" s="4">
        <f ca="1">IFERROR(__xludf.DUMMYFUNCTION("""COMPUTED_VALUE"""),225.92)</f>
        <v>225.92</v>
      </c>
      <c r="K25" s="4">
        <f ca="1">IFERROR(__xludf.DUMMYFUNCTION("""COMPUTED_VALUE"""),202.93)</f>
        <v>202.93</v>
      </c>
    </row>
    <row r="26" spans="1:11" x14ac:dyDescent="0.2">
      <c r="A26" s="8" t="str">
        <f ca="1">IFERROR(__xludf.DUMMYFUNCTION("""COMPUTED_VALUE"""),"Wk 25")</f>
        <v>Wk 25</v>
      </c>
      <c r="B26" s="8" t="str">
        <f ca="1">IFERROR(__xludf.DUMMYFUNCTION("""COMPUTED_VALUE"""),"GP$/HR")</f>
        <v>GP$/HR</v>
      </c>
      <c r="C26" s="4">
        <f ca="1">IFERROR(__xludf.DUMMYFUNCTION("""COMPUTED_VALUE"""),222.9)</f>
        <v>222.9</v>
      </c>
      <c r="D26" s="4">
        <f ca="1">IFERROR(__xludf.DUMMYFUNCTION("""COMPUTED_VALUE"""),195.04)</f>
        <v>195.04</v>
      </c>
      <c r="E26" s="4"/>
      <c r="F26" s="4"/>
      <c r="G26" s="4">
        <f ca="1">IFERROR(__xludf.DUMMYFUNCTION("""COMPUTED_VALUE"""),250.57)</f>
        <v>250.57</v>
      </c>
      <c r="H26" s="4">
        <f ca="1">IFERROR(__xludf.DUMMYFUNCTION("""COMPUTED_VALUE"""),217.59)</f>
        <v>217.59</v>
      </c>
      <c r="I26" s="4">
        <f ca="1">IFERROR(__xludf.DUMMYFUNCTION("""COMPUTED_VALUE"""),198.13)</f>
        <v>198.13</v>
      </c>
      <c r="J26" s="4">
        <f ca="1">IFERROR(__xludf.DUMMYFUNCTION("""COMPUTED_VALUE"""),216.32)</f>
        <v>216.32</v>
      </c>
      <c r="K26" s="4">
        <f ca="1">IFERROR(__xludf.DUMMYFUNCTION("""COMPUTED_VALUE"""),220.1)</f>
        <v>220.1</v>
      </c>
    </row>
    <row r="27" spans="1:11" x14ac:dyDescent="0.2">
      <c r="A27" s="8" t="str">
        <f ca="1">IFERROR(__xludf.DUMMYFUNCTION("""COMPUTED_VALUE"""),"Wk 26")</f>
        <v>Wk 26</v>
      </c>
      <c r="B27" s="8" t="str">
        <f ca="1">IFERROR(__xludf.DUMMYFUNCTION("""COMPUTED_VALUE"""),"GP$/HR")</f>
        <v>GP$/HR</v>
      </c>
      <c r="C27" s="4">
        <f ca="1">IFERROR(__xludf.DUMMYFUNCTION("""COMPUTED_VALUE"""),213.07)</f>
        <v>213.07</v>
      </c>
      <c r="D27" s="4">
        <f ca="1">IFERROR(__xludf.DUMMYFUNCTION("""COMPUTED_VALUE"""),205.7)</f>
        <v>205.7</v>
      </c>
      <c r="E27" s="4"/>
      <c r="F27" s="4"/>
      <c r="G27" s="4">
        <f ca="1">IFERROR(__xludf.DUMMYFUNCTION("""COMPUTED_VALUE"""),228.17)</f>
        <v>228.17</v>
      </c>
      <c r="H27" s="4">
        <f ca="1">IFERROR(__xludf.DUMMYFUNCTION("""COMPUTED_VALUE"""),234.02)</f>
        <v>234.02</v>
      </c>
      <c r="I27" s="4">
        <f ca="1">IFERROR(__xludf.DUMMYFUNCTION("""COMPUTED_VALUE"""),191.57)</f>
        <v>191.57</v>
      </c>
      <c r="J27" s="4">
        <f ca="1">IFERROR(__xludf.DUMMYFUNCTION("""COMPUTED_VALUE"""),206.81)</f>
        <v>206.81</v>
      </c>
      <c r="K27" s="4">
        <f ca="1">IFERROR(__xludf.DUMMYFUNCTION("""COMPUTED_VALUE"""),202.4)</f>
        <v>202.4</v>
      </c>
    </row>
    <row r="28" spans="1:11" x14ac:dyDescent="0.2">
      <c r="A28" s="8" t="str">
        <f ca="1">IFERROR(__xludf.DUMMYFUNCTION("""COMPUTED_VALUE"""),"Wk 27")</f>
        <v>Wk 27</v>
      </c>
      <c r="B28" s="8" t="str">
        <f ca="1">IFERROR(__xludf.DUMMYFUNCTION("""COMPUTED_VALUE"""),"GP$/HR")</f>
        <v>GP$/HR</v>
      </c>
      <c r="C28" s="4">
        <f ca="1">IFERROR(__xludf.DUMMYFUNCTION("""COMPUTED_VALUE"""),210.51)</f>
        <v>210.51</v>
      </c>
      <c r="D28" s="4">
        <f ca="1">IFERROR(__xludf.DUMMYFUNCTION("""COMPUTED_VALUE"""),229.65)</f>
        <v>229.65</v>
      </c>
      <c r="E28" s="4">
        <f ca="1">IFERROR(__xludf.DUMMYFUNCTION("""COMPUTED_VALUE"""),161.35)</f>
        <v>161.35</v>
      </c>
      <c r="F28" s="4">
        <f ca="1">IFERROR(__xludf.DUMMYFUNCTION("""COMPUTED_VALUE"""),240.69)</f>
        <v>240.69</v>
      </c>
      <c r="G28" s="4">
        <f ca="1">IFERROR(__xludf.DUMMYFUNCTION("""COMPUTED_VALUE"""),224.06)</f>
        <v>224.06</v>
      </c>
      <c r="H28" s="4"/>
      <c r="I28" s="4">
        <f ca="1">IFERROR(__xludf.DUMMYFUNCTION("""COMPUTED_VALUE"""),231)</f>
        <v>231</v>
      </c>
      <c r="J28" s="4">
        <f ca="1">IFERROR(__xludf.DUMMYFUNCTION("""COMPUTED_VALUE"""),208.48)</f>
        <v>208.48</v>
      </c>
      <c r="K28" s="4">
        <f ca="1">IFERROR(__xludf.DUMMYFUNCTION("""COMPUTED_VALUE"""),182.03)</f>
        <v>182.03</v>
      </c>
    </row>
    <row r="29" spans="1:11" x14ac:dyDescent="0.2">
      <c r="A29" s="8" t="str">
        <f ca="1">IFERROR(__xludf.DUMMYFUNCTION("""COMPUTED_VALUE"""),"Wk 28")</f>
        <v>Wk 28</v>
      </c>
      <c r="B29" s="8" t="str">
        <f ca="1">IFERROR(__xludf.DUMMYFUNCTION("""COMPUTED_VALUE"""),"GP$/HR")</f>
        <v>GP$/HR</v>
      </c>
      <c r="C29" s="4">
        <f ca="1">IFERROR(__xludf.DUMMYFUNCTION("""COMPUTED_VALUE"""),190.94)</f>
        <v>190.94</v>
      </c>
      <c r="D29" s="4">
        <f ca="1">IFERROR(__xludf.DUMMYFUNCTION("""COMPUTED_VALUE"""),218)</f>
        <v>218</v>
      </c>
      <c r="E29" s="4">
        <f ca="1">IFERROR(__xludf.DUMMYFUNCTION("""COMPUTED_VALUE"""),49.31)</f>
        <v>49.31</v>
      </c>
      <c r="F29" s="4"/>
      <c r="G29" s="4">
        <f ca="1">IFERROR(__xludf.DUMMYFUNCTION("""COMPUTED_VALUE"""),246.36)</f>
        <v>246.36</v>
      </c>
      <c r="H29" s="4">
        <f ca="1">IFERROR(__xludf.DUMMYFUNCTION("""COMPUTED_VALUE"""),236.65)</f>
        <v>236.65</v>
      </c>
      <c r="I29" s="4"/>
      <c r="J29" s="4">
        <f ca="1">IFERROR(__xludf.DUMMYFUNCTION("""COMPUTED_VALUE"""),224.83)</f>
        <v>224.83</v>
      </c>
      <c r="K29" s="4">
        <f ca="1">IFERROR(__xludf.DUMMYFUNCTION("""COMPUTED_VALUE"""),248.51)</f>
        <v>248.51</v>
      </c>
    </row>
    <row r="30" spans="1:11" x14ac:dyDescent="0.2">
      <c r="A30" s="8" t="str">
        <f ca="1">IFERROR(__xludf.DUMMYFUNCTION("""COMPUTED_VALUE"""),"Wk 29")</f>
        <v>Wk 29</v>
      </c>
      <c r="B30" s="8" t="str">
        <f ca="1">IFERROR(__xludf.DUMMYFUNCTION("""COMPUTED_VALUE"""),"GP$/HR")</f>
        <v>GP$/HR</v>
      </c>
      <c r="C30" s="4">
        <f ca="1">IFERROR(__xludf.DUMMYFUNCTION("""COMPUTED_VALUE"""),225.79)</f>
        <v>225.79</v>
      </c>
      <c r="D30" s="4">
        <f ca="1">IFERROR(__xludf.DUMMYFUNCTION("""COMPUTED_VALUE"""),217.98)</f>
        <v>217.98</v>
      </c>
      <c r="E30" s="4">
        <f ca="1">IFERROR(__xludf.DUMMYFUNCTION("""COMPUTED_VALUE"""),253.8)</f>
        <v>253.8</v>
      </c>
      <c r="F30" s="4">
        <f ca="1">IFERROR(__xludf.DUMMYFUNCTION("""COMPUTED_VALUE"""),228.97)</f>
        <v>228.97</v>
      </c>
      <c r="G30" s="4"/>
      <c r="H30" s="4">
        <f ca="1">IFERROR(__xludf.DUMMYFUNCTION("""COMPUTED_VALUE"""),215.11)</f>
        <v>215.11</v>
      </c>
      <c r="I30" s="4">
        <f ca="1">IFERROR(__xludf.DUMMYFUNCTION("""COMPUTED_VALUE"""),172.59)</f>
        <v>172.59</v>
      </c>
      <c r="J30" s="4">
        <f ca="1">IFERROR(__xludf.DUMMYFUNCTION("""COMPUTED_VALUE"""),211.21)</f>
        <v>211.21</v>
      </c>
      <c r="K30" s="4">
        <f ca="1">IFERROR(__xludf.DUMMYFUNCTION("""COMPUTED_VALUE"""),177.45)</f>
        <v>177.45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0"/>
  <sheetViews>
    <sheetView workbookViewId="0"/>
  </sheetViews>
  <sheetFormatPr defaultColWidth="12.5703125" defaultRowHeight="15.75" customHeight="1" x14ac:dyDescent="0.2"/>
  <sheetData>
    <row r="1" spans="1:11" x14ac:dyDescent="0.2">
      <c r="A1" s="8" t="str">
        <f ca="1">IFERROR(__xludf.DUMMYFUNCTION("QUERY(Data!A:K, ""SELECT A, B, C, D, E, F, G, H, I, J, K WHERE B = 'ARO' LIMIT 50"", 2)
"),"  Advisor Name")</f>
        <v xml:space="preserve">  Advisor Name</v>
      </c>
      <c r="B1" s="8" t="str">
        <f ca="1">IFERROR(__xludf.DUMMYFUNCTION("""COMPUTED_VALUE""")," Metric")</f>
        <v xml:space="preserve"> Metric</v>
      </c>
      <c r="C1" s="8" t="str">
        <f ca="1">IFERROR(__xludf.DUMMYFUNCTION("""COMPUTED_VALUE"""),"Northbrook Armando")</f>
        <v>Northbrook Armando</v>
      </c>
      <c r="D1" s="8" t="str">
        <f ca="1">IFERROR(__xludf.DUMMYFUNCTION("""COMPUTED_VALUE""")," Jaime")</f>
        <v xml:space="preserve"> Jaime</v>
      </c>
      <c r="E1" s="8" t="str">
        <f ca="1">IFERROR(__xludf.DUMMYFUNCTION("""COMPUTED_VALUE""")," Craig")</f>
        <v xml:space="preserve"> Craig</v>
      </c>
      <c r="F1" s="8" t="str">
        <f ca="1">IFERROR(__xludf.DUMMYFUNCTION("""COMPUTED_VALUE"""),"Wilmette Frank")</f>
        <v>Wilmette Frank</v>
      </c>
      <c r="G1" s="8" t="str">
        <f ca="1">IFERROR(__xludf.DUMMYFUNCTION("""COMPUTED_VALUE""")," Dimitri")</f>
        <v xml:space="preserve"> Dimitri</v>
      </c>
      <c r="H1" s="8" t="str">
        <f ca="1">IFERROR(__xludf.DUMMYFUNCTION("""COMPUTED_VALUE""")," Ben")</f>
        <v xml:space="preserve"> Ben</v>
      </c>
      <c r="I1" s="8" t="str">
        <f ca="1">IFERROR(__xludf.DUMMYFUNCTION("""COMPUTED_VALUE"""),"Evanston Ernie")</f>
        <v>Evanston Ernie</v>
      </c>
      <c r="J1" s="8" t="str">
        <f ca="1">IFERROR(__xludf.DUMMYFUNCTION("""COMPUTED_VALUE""")," Sam")</f>
        <v xml:space="preserve"> Sam</v>
      </c>
      <c r="K1" s="8" t="str">
        <f ca="1">IFERROR(__xludf.DUMMYFUNCTION("""COMPUTED_VALUE""")," Jaysun")</f>
        <v xml:space="preserve"> Jaysun</v>
      </c>
    </row>
    <row r="2" spans="1:11" x14ac:dyDescent="0.2">
      <c r="A2" s="8" t="str">
        <f ca="1">IFERROR(__xludf.DUMMYFUNCTION("""COMPUTED_VALUE"""),"Wk 1")</f>
        <v>Wk 1</v>
      </c>
      <c r="B2" s="8" t="str">
        <f ca="1">IFERROR(__xludf.DUMMYFUNCTION("""COMPUTED_VALUE"""),"ARO")</f>
        <v>ARO</v>
      </c>
      <c r="C2" s="4">
        <f ca="1">IFERROR(__xludf.DUMMYFUNCTION("""COMPUTED_VALUE"""),648.31)</f>
        <v>648.30999999999995</v>
      </c>
      <c r="D2" s="4">
        <f ca="1">IFERROR(__xludf.DUMMYFUNCTION("""COMPUTED_VALUE"""),470.4)</f>
        <v>470.4</v>
      </c>
      <c r="E2" s="4"/>
      <c r="F2" s="4">
        <f ca="1">IFERROR(__xludf.DUMMYFUNCTION("""COMPUTED_VALUE"""),929.76)</f>
        <v>929.76</v>
      </c>
      <c r="G2" s="4">
        <f ca="1">IFERROR(__xludf.DUMMYFUNCTION("""COMPUTED_VALUE"""),711.76)</f>
        <v>711.76</v>
      </c>
      <c r="H2" s="4">
        <f ca="1">IFERROR(__xludf.DUMMYFUNCTION("""COMPUTED_VALUE"""),292.99)</f>
        <v>292.99</v>
      </c>
      <c r="I2" s="4">
        <f ca="1">IFERROR(__xludf.DUMMYFUNCTION("""COMPUTED_VALUE"""),753.25)</f>
        <v>753.25</v>
      </c>
      <c r="J2" s="4">
        <f ca="1">IFERROR(__xludf.DUMMYFUNCTION("""COMPUTED_VALUE"""),1130.55)</f>
        <v>1130.55</v>
      </c>
      <c r="K2" s="4"/>
    </row>
    <row r="3" spans="1:11" x14ac:dyDescent="0.2">
      <c r="A3" s="8" t="str">
        <f ca="1">IFERROR(__xludf.DUMMYFUNCTION("""COMPUTED_VALUE"""),"Wk 2")</f>
        <v>Wk 2</v>
      </c>
      <c r="B3" s="8" t="str">
        <f ca="1">IFERROR(__xludf.DUMMYFUNCTION("""COMPUTED_VALUE"""),"ARO")</f>
        <v>ARO</v>
      </c>
      <c r="C3" s="4">
        <f ca="1">IFERROR(__xludf.DUMMYFUNCTION("""COMPUTED_VALUE"""),767.38)</f>
        <v>767.38</v>
      </c>
      <c r="D3" s="4">
        <f ca="1">IFERROR(__xludf.DUMMYFUNCTION("""COMPUTED_VALUE"""),463.15)</f>
        <v>463.15</v>
      </c>
      <c r="E3" s="4"/>
      <c r="F3" s="4">
        <f ca="1">IFERROR(__xludf.DUMMYFUNCTION("""COMPUTED_VALUE"""),826.65)</f>
        <v>826.65</v>
      </c>
      <c r="G3" s="4">
        <f ca="1">IFERROR(__xludf.DUMMYFUNCTION("""COMPUTED_VALUE"""),733.01)</f>
        <v>733.01</v>
      </c>
      <c r="H3" s="4">
        <f ca="1">IFERROR(__xludf.DUMMYFUNCTION("""COMPUTED_VALUE"""),272.45)</f>
        <v>272.45</v>
      </c>
      <c r="I3" s="4">
        <f ca="1">IFERROR(__xludf.DUMMYFUNCTION("""COMPUTED_VALUE"""),691.99)</f>
        <v>691.99</v>
      </c>
      <c r="J3" s="4">
        <f ca="1">IFERROR(__xludf.DUMMYFUNCTION("""COMPUTED_VALUE"""),750.38)</f>
        <v>750.38</v>
      </c>
      <c r="K3" s="4">
        <f ca="1">IFERROR(__xludf.DUMMYFUNCTION("""COMPUTED_VALUE"""),45.61)</f>
        <v>45.61</v>
      </c>
    </row>
    <row r="4" spans="1:11" x14ac:dyDescent="0.2">
      <c r="A4" s="8" t="str">
        <f ca="1">IFERROR(__xludf.DUMMYFUNCTION("""COMPUTED_VALUE"""),"Wk 3")</f>
        <v>Wk 3</v>
      </c>
      <c r="B4" s="8" t="str">
        <f ca="1">IFERROR(__xludf.DUMMYFUNCTION("""COMPUTED_VALUE"""),"ARO")</f>
        <v>ARO</v>
      </c>
      <c r="C4" s="4">
        <f ca="1">IFERROR(__xludf.DUMMYFUNCTION("""COMPUTED_VALUE"""),419.15)</f>
        <v>419.15</v>
      </c>
      <c r="D4" s="4">
        <f ca="1">IFERROR(__xludf.DUMMYFUNCTION("""COMPUTED_VALUE"""),396.04)</f>
        <v>396.04</v>
      </c>
      <c r="E4" s="4"/>
      <c r="F4" s="4">
        <f ca="1">IFERROR(__xludf.DUMMYFUNCTION("""COMPUTED_VALUE"""),1146.19)</f>
        <v>1146.19</v>
      </c>
      <c r="G4" s="4">
        <f ca="1">IFERROR(__xludf.DUMMYFUNCTION("""COMPUTED_VALUE"""),632.03)</f>
        <v>632.03</v>
      </c>
      <c r="H4" s="4">
        <f ca="1">IFERROR(__xludf.DUMMYFUNCTION("""COMPUTED_VALUE"""),306.06)</f>
        <v>306.06</v>
      </c>
      <c r="I4" s="4">
        <f ca="1">IFERROR(__xludf.DUMMYFUNCTION("""COMPUTED_VALUE"""),862.7)</f>
        <v>862.7</v>
      </c>
      <c r="J4" s="4">
        <f ca="1">IFERROR(__xludf.DUMMYFUNCTION("""COMPUTED_VALUE"""),855.76)</f>
        <v>855.76</v>
      </c>
      <c r="K4" s="4"/>
    </row>
    <row r="5" spans="1:11" x14ac:dyDescent="0.2">
      <c r="A5" s="8" t="str">
        <f ca="1">IFERROR(__xludf.DUMMYFUNCTION("""COMPUTED_VALUE"""),"Wk 4")</f>
        <v>Wk 4</v>
      </c>
      <c r="B5" s="8" t="str">
        <f ca="1">IFERROR(__xludf.DUMMYFUNCTION("""COMPUTED_VALUE"""),"ARO")</f>
        <v>ARO</v>
      </c>
      <c r="C5" s="4">
        <f ca="1">IFERROR(__xludf.DUMMYFUNCTION("""COMPUTED_VALUE"""),592.99)</f>
        <v>592.99</v>
      </c>
      <c r="D5" s="4">
        <f ca="1">IFERROR(__xludf.DUMMYFUNCTION("""COMPUTED_VALUE"""),425.97)</f>
        <v>425.97</v>
      </c>
      <c r="E5" s="4"/>
      <c r="F5" s="4">
        <f ca="1">IFERROR(__xludf.DUMMYFUNCTION("""COMPUTED_VALUE"""),1153.8)</f>
        <v>1153.8</v>
      </c>
      <c r="G5" s="4">
        <f ca="1">IFERROR(__xludf.DUMMYFUNCTION("""COMPUTED_VALUE"""),855.06)</f>
        <v>855.06</v>
      </c>
      <c r="H5" s="4">
        <f ca="1">IFERROR(__xludf.DUMMYFUNCTION("""COMPUTED_VALUE"""),413.05)</f>
        <v>413.05</v>
      </c>
      <c r="I5" s="4">
        <f ca="1">IFERROR(__xludf.DUMMYFUNCTION("""COMPUTED_VALUE"""),604.1)</f>
        <v>604.1</v>
      </c>
      <c r="J5" s="4">
        <f ca="1">IFERROR(__xludf.DUMMYFUNCTION("""COMPUTED_VALUE"""),941.2)</f>
        <v>941.2</v>
      </c>
      <c r="K5" s="4">
        <f ca="1">IFERROR(__xludf.DUMMYFUNCTION("""COMPUTED_VALUE"""),540.5)</f>
        <v>540.5</v>
      </c>
    </row>
    <row r="6" spans="1:11" x14ac:dyDescent="0.2">
      <c r="A6" s="8" t="str">
        <f ca="1">IFERROR(__xludf.DUMMYFUNCTION("""COMPUTED_VALUE"""),"Wk 5")</f>
        <v>Wk 5</v>
      </c>
      <c r="B6" s="8" t="str">
        <f ca="1">IFERROR(__xludf.DUMMYFUNCTION("""COMPUTED_VALUE"""),"ARO")</f>
        <v>ARO</v>
      </c>
      <c r="C6" s="4">
        <f ca="1">IFERROR(__xludf.DUMMYFUNCTION("""COMPUTED_VALUE"""),514.92)</f>
        <v>514.91999999999996</v>
      </c>
      <c r="D6" s="4">
        <f ca="1">IFERROR(__xludf.DUMMYFUNCTION("""COMPUTED_VALUE"""),540.47)</f>
        <v>540.47</v>
      </c>
      <c r="E6" s="4"/>
      <c r="F6" s="4">
        <f ca="1">IFERROR(__xludf.DUMMYFUNCTION("""COMPUTED_VALUE"""),1078.99)</f>
        <v>1078.99</v>
      </c>
      <c r="G6" s="4">
        <f ca="1">IFERROR(__xludf.DUMMYFUNCTION("""COMPUTED_VALUE"""),880.7)</f>
        <v>880.7</v>
      </c>
      <c r="H6" s="4">
        <f ca="1">IFERROR(__xludf.DUMMYFUNCTION("""COMPUTED_VALUE"""),399.08)</f>
        <v>399.08</v>
      </c>
      <c r="I6" s="4">
        <f ca="1">IFERROR(__xludf.DUMMYFUNCTION("""COMPUTED_VALUE"""),965.5)</f>
        <v>965.5</v>
      </c>
      <c r="J6" s="4">
        <f ca="1">IFERROR(__xludf.DUMMYFUNCTION("""COMPUTED_VALUE"""),718.6)</f>
        <v>718.6</v>
      </c>
      <c r="K6" s="4">
        <f ca="1">IFERROR(__xludf.DUMMYFUNCTION("""COMPUTED_VALUE"""),1465.19)</f>
        <v>1465.19</v>
      </c>
    </row>
    <row r="7" spans="1:11" x14ac:dyDescent="0.2">
      <c r="A7" s="8" t="str">
        <f ca="1">IFERROR(__xludf.DUMMYFUNCTION("""COMPUTED_VALUE"""),"Wk 6")</f>
        <v>Wk 6</v>
      </c>
      <c r="B7" s="8" t="str">
        <f ca="1">IFERROR(__xludf.DUMMYFUNCTION("""COMPUTED_VALUE"""),"ARO")</f>
        <v>ARO</v>
      </c>
      <c r="C7" s="4">
        <f ca="1">IFERROR(__xludf.DUMMYFUNCTION("""COMPUTED_VALUE"""),517.22)</f>
        <v>517.22</v>
      </c>
      <c r="D7" s="4">
        <f ca="1">IFERROR(__xludf.DUMMYFUNCTION("""COMPUTED_VALUE"""),353.76)</f>
        <v>353.76</v>
      </c>
      <c r="E7" s="4"/>
      <c r="F7" s="4">
        <f ca="1">IFERROR(__xludf.DUMMYFUNCTION("""COMPUTED_VALUE"""),1210.22)</f>
        <v>1210.22</v>
      </c>
      <c r="G7" s="4">
        <f ca="1">IFERROR(__xludf.DUMMYFUNCTION("""COMPUTED_VALUE"""),956.56)</f>
        <v>956.56</v>
      </c>
      <c r="H7" s="4">
        <f ca="1">IFERROR(__xludf.DUMMYFUNCTION("""COMPUTED_VALUE"""),250.88)</f>
        <v>250.88</v>
      </c>
      <c r="I7" s="4">
        <f ca="1">IFERROR(__xludf.DUMMYFUNCTION("""COMPUTED_VALUE"""),723.62)</f>
        <v>723.62</v>
      </c>
      <c r="J7" s="4">
        <f ca="1">IFERROR(__xludf.DUMMYFUNCTION("""COMPUTED_VALUE"""),645.52)</f>
        <v>645.52</v>
      </c>
      <c r="K7" s="4"/>
    </row>
    <row r="8" spans="1:11" x14ac:dyDescent="0.2">
      <c r="A8" s="8" t="str">
        <f ca="1">IFERROR(__xludf.DUMMYFUNCTION("""COMPUTED_VALUE"""),"Wk 7")</f>
        <v>Wk 7</v>
      </c>
      <c r="B8" s="8" t="str">
        <f ca="1">IFERROR(__xludf.DUMMYFUNCTION("""COMPUTED_VALUE"""),"ARO")</f>
        <v>ARO</v>
      </c>
      <c r="C8" s="4">
        <f ca="1">IFERROR(__xludf.DUMMYFUNCTION("""COMPUTED_VALUE"""),542.31)</f>
        <v>542.30999999999995</v>
      </c>
      <c r="D8" s="4">
        <f ca="1">IFERROR(__xludf.DUMMYFUNCTION("""COMPUTED_VALUE"""),317.35)</f>
        <v>317.35000000000002</v>
      </c>
      <c r="E8" s="4"/>
      <c r="F8" s="4">
        <f ca="1">IFERROR(__xludf.DUMMYFUNCTION("""COMPUTED_VALUE"""),1400.67)</f>
        <v>1400.67</v>
      </c>
      <c r="G8" s="4">
        <f ca="1">IFERROR(__xludf.DUMMYFUNCTION("""COMPUTED_VALUE"""),637.09)</f>
        <v>637.09</v>
      </c>
      <c r="H8" s="4">
        <f ca="1">IFERROR(__xludf.DUMMYFUNCTION("""COMPUTED_VALUE"""),553.47)</f>
        <v>553.47</v>
      </c>
      <c r="I8" s="4">
        <f ca="1">IFERROR(__xludf.DUMMYFUNCTION("""COMPUTED_VALUE"""),841.53)</f>
        <v>841.53</v>
      </c>
      <c r="J8" s="4">
        <f ca="1">IFERROR(__xludf.DUMMYFUNCTION("""COMPUTED_VALUE"""),982.38)</f>
        <v>982.38</v>
      </c>
      <c r="K8" s="4">
        <f ca="1">IFERROR(__xludf.DUMMYFUNCTION("""COMPUTED_VALUE"""),69.8)</f>
        <v>69.8</v>
      </c>
    </row>
    <row r="9" spans="1:11" x14ac:dyDescent="0.2">
      <c r="A9" s="8" t="str">
        <f ca="1">IFERROR(__xludf.DUMMYFUNCTION("""COMPUTED_VALUE"""),"Wk 8")</f>
        <v>Wk 8</v>
      </c>
      <c r="B9" s="8" t="str">
        <f ca="1">IFERROR(__xludf.DUMMYFUNCTION("""COMPUTED_VALUE"""),"ARO")</f>
        <v>ARO</v>
      </c>
      <c r="C9" s="4">
        <f ca="1">IFERROR(__xludf.DUMMYFUNCTION("""COMPUTED_VALUE"""),475.52)</f>
        <v>475.52</v>
      </c>
      <c r="D9" s="4">
        <f ca="1">IFERROR(__xludf.DUMMYFUNCTION("""COMPUTED_VALUE"""),557.46)</f>
        <v>557.46</v>
      </c>
      <c r="E9" s="4">
        <f ca="1">IFERROR(__xludf.DUMMYFUNCTION("""COMPUTED_VALUE"""),299.59)</f>
        <v>299.58999999999997</v>
      </c>
      <c r="F9" s="4">
        <f ca="1">IFERROR(__xludf.DUMMYFUNCTION("""COMPUTED_VALUE"""),1002.55)</f>
        <v>1002.55</v>
      </c>
      <c r="G9" s="4">
        <f ca="1">IFERROR(__xludf.DUMMYFUNCTION("""COMPUTED_VALUE"""),1080.14)</f>
        <v>1080.1400000000001</v>
      </c>
      <c r="H9" s="4">
        <f ca="1">IFERROR(__xludf.DUMMYFUNCTION("""COMPUTED_VALUE"""),223.17)</f>
        <v>223.17</v>
      </c>
      <c r="I9" s="4">
        <f ca="1">IFERROR(__xludf.DUMMYFUNCTION("""COMPUTED_VALUE"""),885.31)</f>
        <v>885.31</v>
      </c>
      <c r="J9" s="4">
        <f ca="1">IFERROR(__xludf.DUMMYFUNCTION("""COMPUTED_VALUE"""),1121.6)</f>
        <v>1121.5999999999999</v>
      </c>
      <c r="K9" s="4">
        <f ca="1">IFERROR(__xludf.DUMMYFUNCTION("""COMPUTED_VALUE"""),64.99)</f>
        <v>64.989999999999995</v>
      </c>
    </row>
    <row r="10" spans="1:11" x14ac:dyDescent="0.2">
      <c r="A10" s="8" t="str">
        <f ca="1">IFERROR(__xludf.DUMMYFUNCTION("""COMPUTED_VALUE"""),"Wk 9")</f>
        <v>Wk 9</v>
      </c>
      <c r="B10" s="8" t="str">
        <f ca="1">IFERROR(__xludf.DUMMYFUNCTION("""COMPUTED_VALUE"""),"ARO")</f>
        <v>ARO</v>
      </c>
      <c r="C10" s="4">
        <f ca="1">IFERROR(__xludf.DUMMYFUNCTION("""COMPUTED_VALUE"""),638.56)</f>
        <v>638.55999999999995</v>
      </c>
      <c r="D10" s="4">
        <f ca="1">IFERROR(__xludf.DUMMYFUNCTION("""COMPUTED_VALUE"""),492.05)</f>
        <v>492.05</v>
      </c>
      <c r="E10" s="4"/>
      <c r="F10" s="4">
        <f ca="1">IFERROR(__xludf.DUMMYFUNCTION("""COMPUTED_VALUE"""),1087.89)</f>
        <v>1087.8900000000001</v>
      </c>
      <c r="G10" s="4">
        <f ca="1">IFERROR(__xludf.DUMMYFUNCTION("""COMPUTED_VALUE"""),752.76)</f>
        <v>752.76</v>
      </c>
      <c r="H10" s="4">
        <f ca="1">IFERROR(__xludf.DUMMYFUNCTION("""COMPUTED_VALUE"""),285.51)</f>
        <v>285.51</v>
      </c>
      <c r="I10" s="4">
        <f ca="1">IFERROR(__xludf.DUMMYFUNCTION("""COMPUTED_VALUE"""),794.15)</f>
        <v>794.15</v>
      </c>
      <c r="J10" s="4">
        <f ca="1">IFERROR(__xludf.DUMMYFUNCTION("""COMPUTED_VALUE"""),692.5)</f>
        <v>692.5</v>
      </c>
      <c r="K10" s="4">
        <f ca="1">IFERROR(__xludf.DUMMYFUNCTION("""COMPUTED_VALUE"""),1316.12)</f>
        <v>1316.12</v>
      </c>
    </row>
    <row r="11" spans="1:11" x14ac:dyDescent="0.2">
      <c r="A11" s="8" t="str">
        <f ca="1">IFERROR(__xludf.DUMMYFUNCTION("""COMPUTED_VALUE"""),"Wk 10")</f>
        <v>Wk 10</v>
      </c>
      <c r="B11" s="8" t="str">
        <f ca="1">IFERROR(__xludf.DUMMYFUNCTION("""COMPUTED_VALUE"""),"ARO")</f>
        <v>ARO</v>
      </c>
      <c r="C11" s="4">
        <f ca="1">IFERROR(__xludf.DUMMYFUNCTION("""COMPUTED_VALUE"""),538.17)</f>
        <v>538.16999999999996</v>
      </c>
      <c r="D11" s="4">
        <f ca="1">IFERROR(__xludf.DUMMYFUNCTION("""COMPUTED_VALUE"""),595.27)</f>
        <v>595.27</v>
      </c>
      <c r="E11" s="4"/>
      <c r="F11" s="4">
        <f ca="1">IFERROR(__xludf.DUMMYFUNCTION("""COMPUTED_VALUE"""),745.77)</f>
        <v>745.77</v>
      </c>
      <c r="G11" s="4">
        <f ca="1">IFERROR(__xludf.DUMMYFUNCTION("""COMPUTED_VALUE"""),697.21)</f>
        <v>697.21</v>
      </c>
      <c r="H11" s="4">
        <f ca="1">IFERROR(__xludf.DUMMYFUNCTION("""COMPUTED_VALUE"""),392.52)</f>
        <v>392.52</v>
      </c>
      <c r="I11" s="4">
        <f ca="1">IFERROR(__xludf.DUMMYFUNCTION("""COMPUTED_VALUE"""),860.5)</f>
        <v>860.5</v>
      </c>
      <c r="J11" s="4">
        <f ca="1">IFERROR(__xludf.DUMMYFUNCTION("""COMPUTED_VALUE"""),927.11)</f>
        <v>927.11</v>
      </c>
      <c r="K11" s="4">
        <f ca="1">IFERROR(__xludf.DUMMYFUNCTION("""COMPUTED_VALUE"""),699.96)</f>
        <v>699.96</v>
      </c>
    </row>
    <row r="12" spans="1:11" x14ac:dyDescent="0.2">
      <c r="A12" s="8" t="str">
        <f ca="1">IFERROR(__xludf.DUMMYFUNCTION("""COMPUTED_VALUE"""),"Wk 11")</f>
        <v>Wk 11</v>
      </c>
      <c r="B12" s="8" t="str">
        <f ca="1">IFERROR(__xludf.DUMMYFUNCTION("""COMPUTED_VALUE"""),"ARO")</f>
        <v>ARO</v>
      </c>
      <c r="C12" s="4">
        <f ca="1">IFERROR(__xludf.DUMMYFUNCTION("""COMPUTED_VALUE"""),670.73)</f>
        <v>670.73</v>
      </c>
      <c r="D12" s="4">
        <f ca="1">IFERROR(__xludf.DUMMYFUNCTION("""COMPUTED_VALUE"""),555.33)</f>
        <v>555.33000000000004</v>
      </c>
      <c r="E12" s="4">
        <f ca="1">IFERROR(__xludf.DUMMYFUNCTION("""COMPUTED_VALUE"""),678.92)</f>
        <v>678.92</v>
      </c>
      <c r="F12" s="4">
        <f ca="1">IFERROR(__xludf.DUMMYFUNCTION("""COMPUTED_VALUE"""),1105.59)</f>
        <v>1105.5899999999999</v>
      </c>
      <c r="G12" s="4">
        <f ca="1">IFERROR(__xludf.DUMMYFUNCTION("""COMPUTED_VALUE"""),1175.13)</f>
        <v>1175.1300000000001</v>
      </c>
      <c r="H12" s="4">
        <f ca="1">IFERROR(__xludf.DUMMYFUNCTION("""COMPUTED_VALUE"""),673.53)</f>
        <v>673.53</v>
      </c>
      <c r="I12" s="4">
        <f ca="1">IFERROR(__xludf.DUMMYFUNCTION("""COMPUTED_VALUE"""),696.84)</f>
        <v>696.84</v>
      </c>
      <c r="J12" s="4">
        <f ca="1">IFERROR(__xludf.DUMMYFUNCTION("""COMPUTED_VALUE"""),911.95)</f>
        <v>911.95</v>
      </c>
      <c r="K12" s="4">
        <f ca="1">IFERROR(__xludf.DUMMYFUNCTION("""COMPUTED_VALUE"""),404.89)</f>
        <v>404.89</v>
      </c>
    </row>
    <row r="13" spans="1:11" x14ac:dyDescent="0.2">
      <c r="A13" s="8" t="str">
        <f ca="1">IFERROR(__xludf.DUMMYFUNCTION("""COMPUTED_VALUE"""),"Wk 12")</f>
        <v>Wk 12</v>
      </c>
      <c r="B13" s="8" t="str">
        <f ca="1">IFERROR(__xludf.DUMMYFUNCTION("""COMPUTED_VALUE"""),"ARO")</f>
        <v>ARO</v>
      </c>
      <c r="C13" s="4">
        <f ca="1">IFERROR(__xludf.DUMMYFUNCTION("""COMPUTED_VALUE"""),556.89)</f>
        <v>556.89</v>
      </c>
      <c r="D13" s="4">
        <f ca="1">IFERROR(__xludf.DUMMYFUNCTION("""COMPUTED_VALUE"""),392.49)</f>
        <v>392.49</v>
      </c>
      <c r="E13" s="4"/>
      <c r="F13" s="4">
        <f ca="1">IFERROR(__xludf.DUMMYFUNCTION("""COMPUTED_VALUE"""),666.2)</f>
        <v>666.2</v>
      </c>
      <c r="G13" s="4">
        <f ca="1">IFERROR(__xludf.DUMMYFUNCTION("""COMPUTED_VALUE"""),937.05)</f>
        <v>937.05</v>
      </c>
      <c r="H13" s="4">
        <f ca="1">IFERROR(__xludf.DUMMYFUNCTION("""COMPUTED_VALUE"""),928.3)</f>
        <v>928.3</v>
      </c>
      <c r="I13" s="4">
        <f ca="1">IFERROR(__xludf.DUMMYFUNCTION("""COMPUTED_VALUE"""),651.12)</f>
        <v>651.12</v>
      </c>
      <c r="J13" s="4">
        <f ca="1">IFERROR(__xludf.DUMMYFUNCTION("""COMPUTED_VALUE"""),597.66)</f>
        <v>597.66</v>
      </c>
      <c r="K13" s="4">
        <f ca="1">IFERROR(__xludf.DUMMYFUNCTION("""COMPUTED_VALUE"""),726.9)</f>
        <v>726.9</v>
      </c>
    </row>
    <row r="14" spans="1:11" x14ac:dyDescent="0.2">
      <c r="A14" s="8" t="str">
        <f ca="1">IFERROR(__xludf.DUMMYFUNCTION("""COMPUTED_VALUE"""),"Wk 13")</f>
        <v>Wk 13</v>
      </c>
      <c r="B14" s="8" t="str">
        <f ca="1">IFERROR(__xludf.DUMMYFUNCTION("""COMPUTED_VALUE"""),"ARO")</f>
        <v>ARO</v>
      </c>
      <c r="C14" s="4">
        <f ca="1">IFERROR(__xludf.DUMMYFUNCTION("""COMPUTED_VALUE"""),728.12)</f>
        <v>728.12</v>
      </c>
      <c r="D14" s="4">
        <f ca="1">IFERROR(__xludf.DUMMYFUNCTION("""COMPUTED_VALUE"""),471.57)</f>
        <v>471.57</v>
      </c>
      <c r="E14" s="4"/>
      <c r="F14" s="4">
        <f ca="1">IFERROR(__xludf.DUMMYFUNCTION("""COMPUTED_VALUE"""),1061.25)</f>
        <v>1061.25</v>
      </c>
      <c r="G14" s="4">
        <f ca="1">IFERROR(__xludf.DUMMYFUNCTION("""COMPUTED_VALUE"""),1035.87)</f>
        <v>1035.8699999999999</v>
      </c>
      <c r="H14" s="4">
        <f ca="1">IFERROR(__xludf.DUMMYFUNCTION("""COMPUTED_VALUE"""),780.38)</f>
        <v>780.38</v>
      </c>
      <c r="I14" s="4">
        <f ca="1">IFERROR(__xludf.DUMMYFUNCTION("""COMPUTED_VALUE"""),829.63)</f>
        <v>829.63</v>
      </c>
      <c r="J14" s="4">
        <f ca="1">IFERROR(__xludf.DUMMYFUNCTION("""COMPUTED_VALUE"""),782.11)</f>
        <v>782.11</v>
      </c>
      <c r="K14" s="4"/>
    </row>
    <row r="15" spans="1:11" x14ac:dyDescent="0.2">
      <c r="A15" s="8" t="str">
        <f ca="1">IFERROR(__xludf.DUMMYFUNCTION("""COMPUTED_VALUE"""),"Wk 14")</f>
        <v>Wk 14</v>
      </c>
      <c r="B15" s="8" t="str">
        <f ca="1">IFERROR(__xludf.DUMMYFUNCTION("""COMPUTED_VALUE"""),"ARO")</f>
        <v>ARO</v>
      </c>
      <c r="C15" s="4">
        <f ca="1">IFERROR(__xludf.DUMMYFUNCTION("""COMPUTED_VALUE"""),487.17)</f>
        <v>487.17</v>
      </c>
      <c r="D15" s="4">
        <f ca="1">IFERROR(__xludf.DUMMYFUNCTION("""COMPUTED_VALUE"""),515.47)</f>
        <v>515.47</v>
      </c>
      <c r="E15" s="4"/>
      <c r="F15" s="4"/>
      <c r="G15" s="4">
        <f ca="1">IFERROR(__xludf.DUMMYFUNCTION("""COMPUTED_VALUE"""),1090.31)</f>
        <v>1090.31</v>
      </c>
      <c r="H15" s="4">
        <f ca="1">IFERROR(__xludf.DUMMYFUNCTION("""COMPUTED_VALUE"""),599.68)</f>
        <v>599.67999999999995</v>
      </c>
      <c r="I15" s="4">
        <f ca="1">IFERROR(__xludf.DUMMYFUNCTION("""COMPUTED_VALUE"""),830.91)</f>
        <v>830.91</v>
      </c>
      <c r="J15" s="4">
        <f ca="1">IFERROR(__xludf.DUMMYFUNCTION("""COMPUTED_VALUE"""),1674.74)</f>
        <v>1674.74</v>
      </c>
      <c r="K15" s="4"/>
    </row>
    <row r="16" spans="1:11" x14ac:dyDescent="0.2">
      <c r="A16" s="8" t="str">
        <f ca="1">IFERROR(__xludf.DUMMYFUNCTION("""COMPUTED_VALUE"""),"Wk 15")</f>
        <v>Wk 15</v>
      </c>
      <c r="B16" s="8" t="str">
        <f ca="1">IFERROR(__xludf.DUMMYFUNCTION("""COMPUTED_VALUE"""),"ARO")</f>
        <v>ARO</v>
      </c>
      <c r="C16" s="4">
        <f ca="1">IFERROR(__xludf.DUMMYFUNCTION("""COMPUTED_VALUE"""),843.26)</f>
        <v>843.26</v>
      </c>
      <c r="D16" s="4">
        <f ca="1">IFERROR(__xludf.DUMMYFUNCTION("""COMPUTED_VALUE"""),600.14)</f>
        <v>600.14</v>
      </c>
      <c r="E16" s="4"/>
      <c r="F16" s="4">
        <f ca="1">IFERROR(__xludf.DUMMYFUNCTION("""COMPUTED_VALUE"""),1699.2)</f>
        <v>1699.2</v>
      </c>
      <c r="G16" s="4">
        <f ca="1">IFERROR(__xludf.DUMMYFUNCTION("""COMPUTED_VALUE"""),1049.75)</f>
        <v>1049.75</v>
      </c>
      <c r="H16" s="4">
        <f ca="1">IFERROR(__xludf.DUMMYFUNCTION("""COMPUTED_VALUE"""),759.42)</f>
        <v>759.42</v>
      </c>
      <c r="I16" s="4">
        <f ca="1">IFERROR(__xludf.DUMMYFUNCTION("""COMPUTED_VALUE"""),713.93)</f>
        <v>713.93</v>
      </c>
      <c r="J16" s="4">
        <f ca="1">IFERROR(__xludf.DUMMYFUNCTION("""COMPUTED_VALUE"""),1025.71)</f>
        <v>1025.71</v>
      </c>
      <c r="K16" s="4">
        <f ca="1">IFERROR(__xludf.DUMMYFUNCTION("""COMPUTED_VALUE"""),27.54)</f>
        <v>27.54</v>
      </c>
    </row>
    <row r="17" spans="1:11" x14ac:dyDescent="0.2">
      <c r="A17" s="8" t="str">
        <f ca="1">IFERROR(__xludf.DUMMYFUNCTION("""COMPUTED_VALUE"""),"Wk 16")</f>
        <v>Wk 16</v>
      </c>
      <c r="B17" s="8" t="str">
        <f ca="1">IFERROR(__xludf.DUMMYFUNCTION("""COMPUTED_VALUE"""),"ARO")</f>
        <v>ARO</v>
      </c>
      <c r="C17" s="4">
        <f ca="1">IFERROR(__xludf.DUMMYFUNCTION("""COMPUTED_VALUE"""),776.49)</f>
        <v>776.49</v>
      </c>
      <c r="D17" s="4">
        <f ca="1">IFERROR(__xludf.DUMMYFUNCTION("""COMPUTED_VALUE"""),674.87)</f>
        <v>674.87</v>
      </c>
      <c r="E17" s="4"/>
      <c r="F17" s="4">
        <f ca="1">IFERROR(__xludf.DUMMYFUNCTION("""COMPUTED_VALUE"""),900.2)</f>
        <v>900.2</v>
      </c>
      <c r="G17" s="4">
        <f ca="1">IFERROR(__xludf.DUMMYFUNCTION("""COMPUTED_VALUE"""),1222.71)</f>
        <v>1222.71</v>
      </c>
      <c r="H17" s="4">
        <f ca="1">IFERROR(__xludf.DUMMYFUNCTION("""COMPUTED_VALUE"""),566.23)</f>
        <v>566.23</v>
      </c>
      <c r="I17" s="4">
        <f ca="1">IFERROR(__xludf.DUMMYFUNCTION("""COMPUTED_VALUE"""),952.84)</f>
        <v>952.84</v>
      </c>
      <c r="J17" s="4">
        <f ca="1">IFERROR(__xludf.DUMMYFUNCTION("""COMPUTED_VALUE"""),949.05)</f>
        <v>949.05</v>
      </c>
      <c r="K17" s="4">
        <f ca="1">IFERROR(__xludf.DUMMYFUNCTION("""COMPUTED_VALUE"""),577.39)</f>
        <v>577.39</v>
      </c>
    </row>
    <row r="18" spans="1:11" x14ac:dyDescent="0.2">
      <c r="A18" s="8" t="str">
        <f ca="1">IFERROR(__xludf.DUMMYFUNCTION("""COMPUTED_VALUE"""),"Wk 17")</f>
        <v>Wk 17</v>
      </c>
      <c r="B18" s="8" t="str">
        <f ca="1">IFERROR(__xludf.DUMMYFUNCTION("""COMPUTED_VALUE"""),"ARO")</f>
        <v>ARO</v>
      </c>
      <c r="C18" s="4">
        <f ca="1">IFERROR(__xludf.DUMMYFUNCTION("""COMPUTED_VALUE"""),740.32)</f>
        <v>740.32</v>
      </c>
      <c r="D18" s="4">
        <f ca="1">IFERROR(__xludf.DUMMYFUNCTION("""COMPUTED_VALUE"""),561.77)</f>
        <v>561.77</v>
      </c>
      <c r="E18" s="4">
        <f ca="1">IFERROR(__xludf.DUMMYFUNCTION("""COMPUTED_VALUE"""),86.39)</f>
        <v>86.39</v>
      </c>
      <c r="F18" s="4">
        <f ca="1">IFERROR(__xludf.DUMMYFUNCTION("""COMPUTED_VALUE"""),1327.85)</f>
        <v>1327.85</v>
      </c>
      <c r="G18" s="4">
        <f ca="1">IFERROR(__xludf.DUMMYFUNCTION("""COMPUTED_VALUE"""),836.8)</f>
        <v>836.8</v>
      </c>
      <c r="H18" s="4">
        <f ca="1">IFERROR(__xludf.DUMMYFUNCTION("""COMPUTED_VALUE"""),386.71)</f>
        <v>386.71</v>
      </c>
      <c r="I18" s="4">
        <f ca="1">IFERROR(__xludf.DUMMYFUNCTION("""COMPUTED_VALUE"""),856.93)</f>
        <v>856.93</v>
      </c>
      <c r="J18" s="4">
        <f ca="1">IFERROR(__xludf.DUMMYFUNCTION("""COMPUTED_VALUE"""),937.14)</f>
        <v>937.14</v>
      </c>
      <c r="K18" s="4">
        <f ca="1">IFERROR(__xludf.DUMMYFUNCTION("""COMPUTED_VALUE"""),957.41)</f>
        <v>957.41</v>
      </c>
    </row>
    <row r="19" spans="1:11" x14ac:dyDescent="0.2">
      <c r="A19" s="8" t="str">
        <f ca="1">IFERROR(__xludf.DUMMYFUNCTION("""COMPUTED_VALUE"""),"Wk 18")</f>
        <v>Wk 18</v>
      </c>
      <c r="B19" s="8" t="str">
        <f ca="1">IFERROR(__xludf.DUMMYFUNCTION("""COMPUTED_VALUE"""),"ARO")</f>
        <v>ARO</v>
      </c>
      <c r="C19" s="4">
        <f ca="1">IFERROR(__xludf.DUMMYFUNCTION("""COMPUTED_VALUE"""),644.81)</f>
        <v>644.80999999999995</v>
      </c>
      <c r="D19" s="4">
        <f ca="1">IFERROR(__xludf.DUMMYFUNCTION("""COMPUTED_VALUE"""),546.77)</f>
        <v>546.77</v>
      </c>
      <c r="E19" s="4">
        <f ca="1">IFERROR(__xludf.DUMMYFUNCTION("""COMPUTED_VALUE"""),1181.3)</f>
        <v>1181.3</v>
      </c>
      <c r="F19" s="4">
        <f ca="1">IFERROR(__xludf.DUMMYFUNCTION("""COMPUTED_VALUE"""),658.44)</f>
        <v>658.44</v>
      </c>
      <c r="G19" s="4">
        <f ca="1">IFERROR(__xludf.DUMMYFUNCTION("""COMPUTED_VALUE"""),1198.24)</f>
        <v>1198.24</v>
      </c>
      <c r="H19" s="4">
        <f ca="1">IFERROR(__xludf.DUMMYFUNCTION("""COMPUTED_VALUE"""),509)</f>
        <v>509</v>
      </c>
      <c r="I19" s="4">
        <f ca="1">IFERROR(__xludf.DUMMYFUNCTION("""COMPUTED_VALUE"""),792.98)</f>
        <v>792.98</v>
      </c>
      <c r="J19" s="4">
        <f ca="1">IFERROR(__xludf.DUMMYFUNCTION("""COMPUTED_VALUE"""),1119.44)</f>
        <v>1119.44</v>
      </c>
      <c r="K19" s="4"/>
    </row>
    <row r="20" spans="1:11" x14ac:dyDescent="0.2">
      <c r="A20" s="8" t="str">
        <f ca="1">IFERROR(__xludf.DUMMYFUNCTION("""COMPUTED_VALUE"""),"Wk 19")</f>
        <v>Wk 19</v>
      </c>
      <c r="B20" s="8" t="str">
        <f ca="1">IFERROR(__xludf.DUMMYFUNCTION("""COMPUTED_VALUE"""),"ARO")</f>
        <v>ARO</v>
      </c>
      <c r="C20" s="4">
        <f ca="1">IFERROR(__xludf.DUMMYFUNCTION("""COMPUTED_VALUE"""),680.27)</f>
        <v>680.27</v>
      </c>
      <c r="D20" s="4">
        <f ca="1">IFERROR(__xludf.DUMMYFUNCTION("""COMPUTED_VALUE"""),636.12)</f>
        <v>636.12</v>
      </c>
      <c r="E20" s="4">
        <f ca="1">IFERROR(__xludf.DUMMYFUNCTION("""COMPUTED_VALUE"""),715.6)</f>
        <v>715.6</v>
      </c>
      <c r="F20" s="4">
        <f ca="1">IFERROR(__xludf.DUMMYFUNCTION("""COMPUTED_VALUE"""),1097.22)</f>
        <v>1097.22</v>
      </c>
      <c r="G20" s="4">
        <f ca="1">IFERROR(__xludf.DUMMYFUNCTION("""COMPUTED_VALUE"""),1123.7)</f>
        <v>1123.7</v>
      </c>
      <c r="H20" s="4">
        <f ca="1">IFERROR(__xludf.DUMMYFUNCTION("""COMPUTED_VALUE"""),383.53)</f>
        <v>383.53</v>
      </c>
      <c r="I20" s="4">
        <f ca="1">IFERROR(__xludf.DUMMYFUNCTION("""COMPUTED_VALUE"""),952.93)</f>
        <v>952.93</v>
      </c>
      <c r="J20" s="4">
        <f ca="1">IFERROR(__xludf.DUMMYFUNCTION("""COMPUTED_VALUE"""),887.37)</f>
        <v>887.37</v>
      </c>
      <c r="K20" s="4">
        <f ca="1">IFERROR(__xludf.DUMMYFUNCTION("""COMPUTED_VALUE"""),866.64)</f>
        <v>866.64</v>
      </c>
    </row>
    <row r="21" spans="1:11" x14ac:dyDescent="0.2">
      <c r="A21" s="8" t="str">
        <f ca="1">IFERROR(__xludf.DUMMYFUNCTION("""COMPUTED_VALUE"""),"Wk 20")</f>
        <v>Wk 20</v>
      </c>
      <c r="B21" s="8" t="str">
        <f ca="1">IFERROR(__xludf.DUMMYFUNCTION("""COMPUTED_VALUE"""),"ARO")</f>
        <v>ARO</v>
      </c>
      <c r="C21" s="4">
        <f ca="1">IFERROR(__xludf.DUMMYFUNCTION("""COMPUTED_VALUE"""),617.47)</f>
        <v>617.47</v>
      </c>
      <c r="D21" s="4">
        <f ca="1">IFERROR(__xludf.DUMMYFUNCTION("""COMPUTED_VALUE"""),570.54)</f>
        <v>570.54</v>
      </c>
      <c r="E21" s="4">
        <f ca="1">IFERROR(__xludf.DUMMYFUNCTION("""COMPUTED_VALUE"""),825.78)</f>
        <v>825.78</v>
      </c>
      <c r="F21" s="4">
        <f ca="1">IFERROR(__xludf.DUMMYFUNCTION("""COMPUTED_VALUE"""),992.78)</f>
        <v>992.78</v>
      </c>
      <c r="G21" s="4">
        <f ca="1">IFERROR(__xludf.DUMMYFUNCTION("""COMPUTED_VALUE"""),779.97)</f>
        <v>779.97</v>
      </c>
      <c r="H21" s="4">
        <f ca="1">IFERROR(__xludf.DUMMYFUNCTION("""COMPUTED_VALUE"""),768.91)</f>
        <v>768.91</v>
      </c>
      <c r="I21" s="4">
        <f ca="1">IFERROR(__xludf.DUMMYFUNCTION("""COMPUTED_VALUE"""),803.28)</f>
        <v>803.28</v>
      </c>
      <c r="J21" s="4">
        <f ca="1">IFERROR(__xludf.DUMMYFUNCTION("""COMPUTED_VALUE"""),1093.23)</f>
        <v>1093.23</v>
      </c>
      <c r="K21" s="4">
        <f ca="1">IFERROR(__xludf.DUMMYFUNCTION("""COMPUTED_VALUE"""),204.52)</f>
        <v>204.52</v>
      </c>
    </row>
    <row r="22" spans="1:11" x14ac:dyDescent="0.2">
      <c r="A22" s="8" t="str">
        <f ca="1">IFERROR(__xludf.DUMMYFUNCTION("""COMPUTED_VALUE"""),"Wk 21")</f>
        <v>Wk 21</v>
      </c>
      <c r="B22" s="8" t="str">
        <f ca="1">IFERROR(__xludf.DUMMYFUNCTION("""COMPUTED_VALUE"""),"ARO")</f>
        <v>ARO</v>
      </c>
      <c r="C22" s="4">
        <f ca="1">IFERROR(__xludf.DUMMYFUNCTION("""COMPUTED_VALUE"""),620.96)</f>
        <v>620.96</v>
      </c>
      <c r="D22" s="4">
        <f ca="1">IFERROR(__xludf.DUMMYFUNCTION("""COMPUTED_VALUE"""),607.44)</f>
        <v>607.44000000000005</v>
      </c>
      <c r="E22" s="4">
        <f ca="1">IFERROR(__xludf.DUMMYFUNCTION("""COMPUTED_VALUE"""),470.34)</f>
        <v>470.34</v>
      </c>
      <c r="F22" s="4">
        <f ca="1">IFERROR(__xludf.DUMMYFUNCTION("""COMPUTED_VALUE"""),1532.1)</f>
        <v>1532.1</v>
      </c>
      <c r="G22" s="4">
        <f ca="1">IFERROR(__xludf.DUMMYFUNCTION("""COMPUTED_VALUE"""),1003.44)</f>
        <v>1003.44</v>
      </c>
      <c r="H22" s="4">
        <f ca="1">IFERROR(__xludf.DUMMYFUNCTION("""COMPUTED_VALUE"""),582.64)</f>
        <v>582.64</v>
      </c>
      <c r="I22" s="4">
        <f ca="1">IFERROR(__xludf.DUMMYFUNCTION("""COMPUTED_VALUE"""),924.41)</f>
        <v>924.41</v>
      </c>
      <c r="J22" s="4">
        <f ca="1">IFERROR(__xludf.DUMMYFUNCTION("""COMPUTED_VALUE"""),849.99)</f>
        <v>849.99</v>
      </c>
      <c r="K22" s="4">
        <f ca="1">IFERROR(__xludf.DUMMYFUNCTION("""COMPUTED_VALUE"""),1053.78)</f>
        <v>1053.78</v>
      </c>
    </row>
    <row r="23" spans="1:11" x14ac:dyDescent="0.2">
      <c r="A23" s="8" t="str">
        <f ca="1">IFERROR(__xludf.DUMMYFUNCTION("""COMPUTED_VALUE"""),"Wk 22")</f>
        <v>Wk 22</v>
      </c>
      <c r="B23" s="8" t="str">
        <f ca="1">IFERROR(__xludf.DUMMYFUNCTION("""COMPUTED_VALUE"""),"ARO")</f>
        <v>ARO</v>
      </c>
      <c r="C23" s="4">
        <f ca="1">IFERROR(__xludf.DUMMYFUNCTION("""COMPUTED_VALUE"""),812.39)</f>
        <v>812.39</v>
      </c>
      <c r="D23" s="4">
        <f ca="1">IFERROR(__xludf.DUMMYFUNCTION("""COMPUTED_VALUE"""),480.21)</f>
        <v>480.21</v>
      </c>
      <c r="E23" s="4">
        <f ca="1">IFERROR(__xludf.DUMMYFUNCTION("""COMPUTED_VALUE"""),768.44)</f>
        <v>768.44</v>
      </c>
      <c r="F23" s="4">
        <f ca="1">IFERROR(__xludf.DUMMYFUNCTION("""COMPUTED_VALUE"""),622.79)</f>
        <v>622.79</v>
      </c>
      <c r="G23" s="4">
        <f ca="1">IFERROR(__xludf.DUMMYFUNCTION("""COMPUTED_VALUE"""),970.62)</f>
        <v>970.62</v>
      </c>
      <c r="H23" s="4">
        <f ca="1">IFERROR(__xludf.DUMMYFUNCTION("""COMPUTED_VALUE"""),615.82)</f>
        <v>615.82000000000005</v>
      </c>
      <c r="I23" s="4">
        <f ca="1">IFERROR(__xludf.DUMMYFUNCTION("""COMPUTED_VALUE"""),639.91)</f>
        <v>639.91</v>
      </c>
      <c r="J23" s="4">
        <f ca="1">IFERROR(__xludf.DUMMYFUNCTION("""COMPUTED_VALUE"""),1195.86)</f>
        <v>1195.8599999999999</v>
      </c>
      <c r="K23" s="4">
        <f ca="1">IFERROR(__xludf.DUMMYFUNCTION("""COMPUTED_VALUE"""),852.79)</f>
        <v>852.79</v>
      </c>
    </row>
    <row r="24" spans="1:11" x14ac:dyDescent="0.2">
      <c r="A24" s="8" t="str">
        <f ca="1">IFERROR(__xludf.DUMMYFUNCTION("""COMPUTED_VALUE"""),"Wk 23")</f>
        <v>Wk 23</v>
      </c>
      <c r="B24" s="8" t="str">
        <f ca="1">IFERROR(__xludf.DUMMYFUNCTION("""COMPUTED_VALUE"""),"ARO")</f>
        <v>ARO</v>
      </c>
      <c r="C24" s="4">
        <f ca="1">IFERROR(__xludf.DUMMYFUNCTION("""COMPUTED_VALUE"""),735.13)</f>
        <v>735.13</v>
      </c>
      <c r="D24" s="4">
        <f ca="1">IFERROR(__xludf.DUMMYFUNCTION("""COMPUTED_VALUE"""),540.83)</f>
        <v>540.83000000000004</v>
      </c>
      <c r="E24" s="4">
        <f ca="1">IFERROR(__xludf.DUMMYFUNCTION("""COMPUTED_VALUE"""),1001.35)</f>
        <v>1001.35</v>
      </c>
      <c r="F24" s="4">
        <f ca="1">IFERROR(__xludf.DUMMYFUNCTION("""COMPUTED_VALUE"""),768.77)</f>
        <v>768.77</v>
      </c>
      <c r="G24" s="4">
        <f ca="1">IFERROR(__xludf.DUMMYFUNCTION("""COMPUTED_VALUE"""),927.76)</f>
        <v>927.76</v>
      </c>
      <c r="H24" s="4">
        <f ca="1">IFERROR(__xludf.DUMMYFUNCTION("""COMPUTED_VALUE"""),442.94)</f>
        <v>442.94</v>
      </c>
      <c r="I24" s="4">
        <f ca="1">IFERROR(__xludf.DUMMYFUNCTION("""COMPUTED_VALUE"""),889.14)</f>
        <v>889.14</v>
      </c>
      <c r="J24" s="4">
        <f ca="1">IFERROR(__xludf.DUMMYFUNCTION("""COMPUTED_VALUE"""),891.3)</f>
        <v>891.3</v>
      </c>
      <c r="K24" s="4">
        <f ca="1">IFERROR(__xludf.DUMMYFUNCTION("""COMPUTED_VALUE"""),1094.7)</f>
        <v>1094.7</v>
      </c>
    </row>
    <row r="25" spans="1:11" x14ac:dyDescent="0.2">
      <c r="A25" s="8" t="str">
        <f ca="1">IFERROR(__xludf.DUMMYFUNCTION("""COMPUTED_VALUE"""),"Wk 24")</f>
        <v>Wk 24</v>
      </c>
      <c r="B25" s="8" t="str">
        <f ca="1">IFERROR(__xludf.DUMMYFUNCTION("""COMPUTED_VALUE"""),"ARO")</f>
        <v>ARO</v>
      </c>
      <c r="C25" s="4">
        <f ca="1">IFERROR(__xludf.DUMMYFUNCTION("""COMPUTED_VALUE"""),603.56)</f>
        <v>603.55999999999995</v>
      </c>
      <c r="D25" s="4">
        <f ca="1">IFERROR(__xludf.DUMMYFUNCTION("""COMPUTED_VALUE"""),500.5)</f>
        <v>500.5</v>
      </c>
      <c r="E25" s="4">
        <f ca="1">IFERROR(__xludf.DUMMYFUNCTION("""COMPUTED_VALUE"""),245.98)</f>
        <v>245.98</v>
      </c>
      <c r="F25" s="4"/>
      <c r="G25" s="4">
        <f ca="1">IFERROR(__xludf.DUMMYFUNCTION("""COMPUTED_VALUE"""),959.39)</f>
        <v>959.39</v>
      </c>
      <c r="H25" s="4">
        <f ca="1">IFERROR(__xludf.DUMMYFUNCTION("""COMPUTED_VALUE"""),450.55)</f>
        <v>450.55</v>
      </c>
      <c r="I25" s="4">
        <f ca="1">IFERROR(__xludf.DUMMYFUNCTION("""COMPUTED_VALUE"""),921.35)</f>
        <v>921.35</v>
      </c>
      <c r="J25" s="4">
        <f ca="1">IFERROR(__xludf.DUMMYFUNCTION("""COMPUTED_VALUE"""),1253.38)</f>
        <v>1253.3800000000001</v>
      </c>
      <c r="K25" s="4">
        <f ca="1">IFERROR(__xludf.DUMMYFUNCTION("""COMPUTED_VALUE"""),501.37)</f>
        <v>501.37</v>
      </c>
    </row>
    <row r="26" spans="1:11" x14ac:dyDescent="0.2">
      <c r="A26" s="8" t="str">
        <f ca="1">IFERROR(__xludf.DUMMYFUNCTION("""COMPUTED_VALUE"""),"Wk 25")</f>
        <v>Wk 25</v>
      </c>
      <c r="B26" s="8" t="str">
        <f ca="1">IFERROR(__xludf.DUMMYFUNCTION("""COMPUTED_VALUE"""),"ARO")</f>
        <v>ARO</v>
      </c>
      <c r="C26" s="4">
        <f ca="1">IFERROR(__xludf.DUMMYFUNCTION("""COMPUTED_VALUE"""),551.09)</f>
        <v>551.09</v>
      </c>
      <c r="D26" s="4">
        <f ca="1">IFERROR(__xludf.DUMMYFUNCTION("""COMPUTED_VALUE"""),609.5)</f>
        <v>609.5</v>
      </c>
      <c r="E26" s="4"/>
      <c r="F26" s="4"/>
      <c r="G26" s="4">
        <f ca="1">IFERROR(__xludf.DUMMYFUNCTION("""COMPUTED_VALUE"""),844.27)</f>
        <v>844.27</v>
      </c>
      <c r="H26" s="4">
        <f ca="1">IFERROR(__xludf.DUMMYFUNCTION("""COMPUTED_VALUE"""),542.19)</f>
        <v>542.19000000000005</v>
      </c>
      <c r="I26" s="4">
        <f ca="1">IFERROR(__xludf.DUMMYFUNCTION("""COMPUTED_VALUE"""),793.62)</f>
        <v>793.62</v>
      </c>
      <c r="J26" s="4">
        <f ca="1">IFERROR(__xludf.DUMMYFUNCTION("""COMPUTED_VALUE"""),711.65)</f>
        <v>711.65</v>
      </c>
      <c r="K26" s="4">
        <f ca="1">IFERROR(__xludf.DUMMYFUNCTION("""COMPUTED_VALUE"""),655.21)</f>
        <v>655.21</v>
      </c>
    </row>
    <row r="27" spans="1:11" x14ac:dyDescent="0.2">
      <c r="A27" s="8" t="str">
        <f ca="1">IFERROR(__xludf.DUMMYFUNCTION("""COMPUTED_VALUE"""),"Wk 26")</f>
        <v>Wk 26</v>
      </c>
      <c r="B27" s="8" t="str">
        <f ca="1">IFERROR(__xludf.DUMMYFUNCTION("""COMPUTED_VALUE"""),"ARO")</f>
        <v>ARO</v>
      </c>
      <c r="C27" s="4">
        <f ca="1">IFERROR(__xludf.DUMMYFUNCTION("""COMPUTED_VALUE"""),482.11)</f>
        <v>482.11</v>
      </c>
      <c r="D27" s="4">
        <f ca="1">IFERROR(__xludf.DUMMYFUNCTION("""COMPUTED_VALUE"""),656.79)</f>
        <v>656.79</v>
      </c>
      <c r="E27" s="4"/>
      <c r="F27" s="4"/>
      <c r="G27" s="4">
        <f ca="1">IFERROR(__xludf.DUMMYFUNCTION("""COMPUTED_VALUE"""),721.58)</f>
        <v>721.58</v>
      </c>
      <c r="H27" s="4">
        <f ca="1">IFERROR(__xludf.DUMMYFUNCTION("""COMPUTED_VALUE"""),739.18)</f>
        <v>739.18</v>
      </c>
      <c r="I27" s="4">
        <f ca="1">IFERROR(__xludf.DUMMYFUNCTION("""COMPUTED_VALUE"""),859.87)</f>
        <v>859.87</v>
      </c>
      <c r="J27" s="4">
        <f ca="1">IFERROR(__xludf.DUMMYFUNCTION("""COMPUTED_VALUE"""),674.63)</f>
        <v>674.63</v>
      </c>
      <c r="K27" s="4">
        <f ca="1">IFERROR(__xludf.DUMMYFUNCTION("""COMPUTED_VALUE"""),467.47)</f>
        <v>467.47</v>
      </c>
    </row>
    <row r="28" spans="1:11" x14ac:dyDescent="0.2">
      <c r="A28" s="8" t="str">
        <f ca="1">IFERROR(__xludf.DUMMYFUNCTION("""COMPUTED_VALUE"""),"Wk 27")</f>
        <v>Wk 27</v>
      </c>
      <c r="B28" s="8" t="str">
        <f ca="1">IFERROR(__xludf.DUMMYFUNCTION("""COMPUTED_VALUE"""),"ARO")</f>
        <v>ARO</v>
      </c>
      <c r="C28" s="4">
        <f ca="1">IFERROR(__xludf.DUMMYFUNCTION("""COMPUTED_VALUE"""),598.88)</f>
        <v>598.88</v>
      </c>
      <c r="D28" s="4">
        <f ca="1">IFERROR(__xludf.DUMMYFUNCTION("""COMPUTED_VALUE"""),588.14)</f>
        <v>588.14</v>
      </c>
      <c r="E28" s="4">
        <f ca="1">IFERROR(__xludf.DUMMYFUNCTION("""COMPUTED_VALUE"""),1686.15)</f>
        <v>1686.15</v>
      </c>
      <c r="F28" s="4">
        <f ca="1">IFERROR(__xludf.DUMMYFUNCTION("""COMPUTED_VALUE"""),1369.29)</f>
        <v>1369.29</v>
      </c>
      <c r="G28" s="4">
        <f ca="1">IFERROR(__xludf.DUMMYFUNCTION("""COMPUTED_VALUE"""),567.65)</f>
        <v>567.65</v>
      </c>
      <c r="H28" s="4"/>
      <c r="I28" s="4">
        <f ca="1">IFERROR(__xludf.DUMMYFUNCTION("""COMPUTED_VALUE"""),979.12)</f>
        <v>979.12</v>
      </c>
      <c r="J28" s="4">
        <f ca="1">IFERROR(__xludf.DUMMYFUNCTION("""COMPUTED_VALUE"""),983.34)</f>
        <v>983.34</v>
      </c>
      <c r="K28" s="4">
        <f ca="1">IFERROR(__xludf.DUMMYFUNCTION("""COMPUTED_VALUE"""),518.07)</f>
        <v>518.07000000000005</v>
      </c>
    </row>
    <row r="29" spans="1:11" x14ac:dyDescent="0.2">
      <c r="A29" s="8" t="str">
        <f ca="1">IFERROR(__xludf.DUMMYFUNCTION("""COMPUTED_VALUE"""),"Wk 28")</f>
        <v>Wk 28</v>
      </c>
      <c r="B29" s="8" t="str">
        <f ca="1">IFERROR(__xludf.DUMMYFUNCTION("""COMPUTED_VALUE"""),"ARO")</f>
        <v>ARO</v>
      </c>
      <c r="C29" s="4">
        <f ca="1">IFERROR(__xludf.DUMMYFUNCTION("""COMPUTED_VALUE"""),516.07)</f>
        <v>516.07000000000005</v>
      </c>
      <c r="D29" s="4">
        <f ca="1">IFERROR(__xludf.DUMMYFUNCTION("""COMPUTED_VALUE"""),617.07)</f>
        <v>617.07000000000005</v>
      </c>
      <c r="E29" s="4">
        <f ca="1">IFERROR(__xludf.DUMMYFUNCTION("""COMPUTED_VALUE"""),47.64)</f>
        <v>47.64</v>
      </c>
      <c r="F29" s="4"/>
      <c r="G29" s="4">
        <f ca="1">IFERROR(__xludf.DUMMYFUNCTION("""COMPUTED_VALUE"""),936.84)</f>
        <v>936.84</v>
      </c>
      <c r="H29" s="4">
        <f ca="1">IFERROR(__xludf.DUMMYFUNCTION("""COMPUTED_VALUE"""),627.11)</f>
        <v>627.11</v>
      </c>
      <c r="I29" s="4"/>
      <c r="J29" s="4">
        <f ca="1">IFERROR(__xludf.DUMMYFUNCTION("""COMPUTED_VALUE"""),747.82)</f>
        <v>747.82</v>
      </c>
      <c r="K29" s="4">
        <f ca="1">IFERROR(__xludf.DUMMYFUNCTION("""COMPUTED_VALUE"""),576.39)</f>
        <v>576.39</v>
      </c>
    </row>
    <row r="30" spans="1:11" x14ac:dyDescent="0.2">
      <c r="A30" s="8" t="str">
        <f ca="1">IFERROR(__xludf.DUMMYFUNCTION("""COMPUTED_VALUE"""),"Wk 29")</f>
        <v>Wk 29</v>
      </c>
      <c r="B30" s="8" t="str">
        <f ca="1">IFERROR(__xludf.DUMMYFUNCTION("""COMPUTED_VALUE"""),"ARO")</f>
        <v>ARO</v>
      </c>
      <c r="C30" s="4">
        <f ca="1">IFERROR(__xludf.DUMMYFUNCTION("""COMPUTED_VALUE"""),551.54)</f>
        <v>551.54</v>
      </c>
      <c r="D30" s="4">
        <f ca="1">IFERROR(__xludf.DUMMYFUNCTION("""COMPUTED_VALUE"""),738.7)</f>
        <v>738.7</v>
      </c>
      <c r="E30" s="4">
        <f ca="1">IFERROR(__xludf.DUMMYFUNCTION("""COMPUTED_VALUE"""),340.58)</f>
        <v>340.58</v>
      </c>
      <c r="F30" s="4">
        <f ca="1">IFERROR(__xludf.DUMMYFUNCTION("""COMPUTED_VALUE"""),1134.53)</f>
        <v>1134.53</v>
      </c>
      <c r="G30" s="4"/>
      <c r="H30" s="4">
        <f ca="1">IFERROR(__xludf.DUMMYFUNCTION("""COMPUTED_VALUE"""),574.53)</f>
        <v>574.53</v>
      </c>
      <c r="I30" s="4">
        <f ca="1">IFERROR(__xludf.DUMMYFUNCTION("""COMPUTED_VALUE"""),620.11)</f>
        <v>620.11</v>
      </c>
      <c r="J30" s="4">
        <f ca="1">IFERROR(__xludf.DUMMYFUNCTION("""COMPUTED_VALUE"""),695.33)</f>
        <v>695.33</v>
      </c>
      <c r="K30" s="4">
        <f ca="1">IFERROR(__xludf.DUMMYFUNCTION("""COMPUTED_VALUE"""),359.46)</f>
        <v>359.46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GP$HR Chart</vt:lpstr>
      <vt:lpstr>ARO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Crusha</cp:lastModifiedBy>
  <dcterms:modified xsi:type="dcterms:W3CDTF">2025-07-19T23:29:04Z</dcterms:modified>
</cp:coreProperties>
</file>