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A36A58F8-9BB4-402B-B196-CE5E3295D2C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5L CFG - HEX" sheetId="1" r:id="rId1"/>
    <sheet name="T5L CFG - Interpretation" sheetId="2" r:id="rId2"/>
    <sheet name="T5L CFG Table from Manual" sheetId="4" r:id="rId3"/>
    <sheet name="Translation Lookup Tables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D46" i="2" s="1"/>
  <c r="E13" i="1"/>
  <c r="E11" i="1"/>
  <c r="D4" i="2" s="1"/>
  <c r="G12" i="1"/>
  <c r="G13" i="1"/>
  <c r="G11" i="1"/>
  <c r="D5" i="2" s="1"/>
  <c r="I12" i="1"/>
  <c r="D52" i="2" s="1"/>
  <c r="I13" i="1"/>
  <c r="I11" i="1"/>
  <c r="K12" i="1"/>
  <c r="D53" i="2" s="1"/>
  <c r="K13" i="1"/>
  <c r="K11" i="1"/>
  <c r="D7" i="2" s="1"/>
  <c r="M12" i="1"/>
  <c r="D54" i="2" s="1"/>
  <c r="M13" i="1"/>
  <c r="M11" i="1"/>
  <c r="D8" i="2" s="1"/>
  <c r="O12" i="1"/>
  <c r="D35" i="2" s="1"/>
  <c r="O35" i="2" s="1"/>
  <c r="O13" i="1"/>
  <c r="O11" i="1"/>
  <c r="D15" i="2" s="1"/>
  <c r="Q12" i="1"/>
  <c r="D56" i="2" s="1"/>
  <c r="Q13" i="1"/>
  <c r="Q11" i="1"/>
  <c r="D20" i="2" s="1"/>
  <c r="S12" i="1"/>
  <c r="D57" i="2" s="1"/>
  <c r="S13" i="1"/>
  <c r="S11" i="1"/>
  <c r="D21" i="2" s="1"/>
  <c r="U12" i="1"/>
  <c r="D38" i="2" s="1"/>
  <c r="U13" i="1"/>
  <c r="U11" i="1"/>
  <c r="D22" i="2" s="1"/>
  <c r="W12" i="1"/>
  <c r="D39" i="2" s="1"/>
  <c r="W13" i="1"/>
  <c r="W11" i="1"/>
  <c r="Y12" i="1"/>
  <c r="D40" i="2" s="1"/>
  <c r="Y13" i="1"/>
  <c r="Y11" i="1"/>
  <c r="D24" i="2" s="1"/>
  <c r="L24" i="2" s="1"/>
  <c r="AA12" i="1"/>
  <c r="D61" i="2" s="1"/>
  <c r="AA13" i="1"/>
  <c r="AA11" i="1"/>
  <c r="D25" i="2" s="1"/>
  <c r="N25" i="2" s="1"/>
  <c r="AC12" i="1"/>
  <c r="D62" i="2" s="1"/>
  <c r="O62" i="2" s="1"/>
  <c r="AC13" i="1"/>
  <c r="AC11" i="1"/>
  <c r="D26" i="2" s="1"/>
  <c r="AE12" i="1"/>
  <c r="D43" i="2" s="1"/>
  <c r="AE11" i="1"/>
  <c r="D27" i="2" s="1"/>
  <c r="N27" i="2" s="1"/>
  <c r="AG12" i="1"/>
  <c r="D44" i="2" s="1"/>
  <c r="AG11" i="1"/>
  <c r="D28" i="2" s="1"/>
  <c r="AF12" i="1"/>
  <c r="C44" i="2" s="1"/>
  <c r="AF11" i="1"/>
  <c r="C28" i="2" s="1"/>
  <c r="AD12" i="1"/>
  <c r="C43" i="2" s="1"/>
  <c r="AD11" i="1"/>
  <c r="C27" i="2" s="1"/>
  <c r="AB12" i="1"/>
  <c r="C42" i="2" s="1"/>
  <c r="H42" i="2" s="1"/>
  <c r="AB13" i="1"/>
  <c r="C62" i="2" s="1"/>
  <c r="AB11" i="1"/>
  <c r="C26" i="2" s="1"/>
  <c r="Z12" i="1"/>
  <c r="C41" i="2" s="1"/>
  <c r="Z13" i="1"/>
  <c r="C61" i="2" s="1"/>
  <c r="Z11" i="1"/>
  <c r="C25" i="2" s="1"/>
  <c r="X12" i="1"/>
  <c r="C40" i="2" s="1"/>
  <c r="X13" i="1"/>
  <c r="C60" i="2" s="1"/>
  <c r="X11" i="1"/>
  <c r="C24" i="2" s="1"/>
  <c r="V12" i="1"/>
  <c r="C39" i="2" s="1"/>
  <c r="V13" i="1"/>
  <c r="C59" i="2" s="1"/>
  <c r="K59" i="2" s="1"/>
  <c r="V11" i="1"/>
  <c r="T12" i="1"/>
  <c r="C38" i="2" s="1"/>
  <c r="T13" i="1"/>
  <c r="C58" i="2" s="1"/>
  <c r="K58" i="2" s="1"/>
  <c r="T11" i="1"/>
  <c r="C22" i="2" s="1"/>
  <c r="R12" i="1"/>
  <c r="C37" i="2" s="1"/>
  <c r="R13" i="1"/>
  <c r="C57" i="2" s="1"/>
  <c r="R11" i="1"/>
  <c r="C21" i="2" s="1"/>
  <c r="E21" i="2" s="1"/>
  <c r="P12" i="1"/>
  <c r="C36" i="2" s="1"/>
  <c r="P13" i="1"/>
  <c r="C56" i="2" s="1"/>
  <c r="P11" i="1"/>
  <c r="C20" i="2" s="1"/>
  <c r="J20" i="2" s="1"/>
  <c r="N12" i="1"/>
  <c r="C35" i="2" s="1"/>
  <c r="N13" i="1"/>
  <c r="C55" i="2" s="1"/>
  <c r="H55" i="2" s="1"/>
  <c r="N11" i="1"/>
  <c r="L12" i="1"/>
  <c r="C34" i="2" s="1"/>
  <c r="L13" i="1"/>
  <c r="C54" i="2" s="1"/>
  <c r="H54" i="2" s="1"/>
  <c r="L11" i="1"/>
  <c r="C8" i="2" s="1"/>
  <c r="J12" i="1"/>
  <c r="C33" i="2" s="1"/>
  <c r="H33" i="2" s="1"/>
  <c r="J13" i="1"/>
  <c r="C53" i="2" s="1"/>
  <c r="K53" i="2" s="1"/>
  <c r="J11" i="1"/>
  <c r="H12" i="1"/>
  <c r="C32" i="2" s="1"/>
  <c r="H13" i="1"/>
  <c r="C52" i="2" s="1"/>
  <c r="H52" i="2" s="1"/>
  <c r="H11" i="1"/>
  <c r="C6" i="2" s="1"/>
  <c r="F12" i="1"/>
  <c r="C31" i="2" s="1"/>
  <c r="I31" i="2" s="1"/>
  <c r="F13" i="1"/>
  <c r="C51" i="2" s="1"/>
  <c r="K51" i="2" s="1"/>
  <c r="F11" i="1"/>
  <c r="C5" i="2" s="1"/>
  <c r="H5" i="2" s="1"/>
  <c r="D12" i="1"/>
  <c r="C30" i="2" s="1"/>
  <c r="K30" i="2" s="1"/>
  <c r="D13" i="1"/>
  <c r="C46" i="2" s="1"/>
  <c r="I46" i="2" s="1"/>
  <c r="D11" i="1"/>
  <c r="C4" i="2" s="1"/>
  <c r="C15" i="2"/>
  <c r="C7" i="2"/>
  <c r="C12" i="1"/>
  <c r="D45" i="2" s="1"/>
  <c r="C13" i="1"/>
  <c r="C11" i="1"/>
  <c r="D3" i="2" s="1"/>
  <c r="L3" i="2" s="1"/>
  <c r="B12" i="1"/>
  <c r="B13" i="1"/>
  <c r="C45" i="2" s="1"/>
  <c r="K45" i="2" s="1"/>
  <c r="B11" i="1"/>
  <c r="C3" i="2" s="1"/>
  <c r="H3" i="2" s="1"/>
  <c r="P2" i="2"/>
  <c r="D51" i="2"/>
  <c r="M51" i="2" s="1"/>
  <c r="H26" i="3"/>
  <c r="H25" i="3"/>
  <c r="H24" i="3"/>
  <c r="H23" i="3"/>
  <c r="H22" i="3"/>
  <c r="H21" i="3"/>
  <c r="H20" i="3"/>
  <c r="H1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D6" i="2"/>
  <c r="M6" i="2" s="1"/>
  <c r="D23" i="2"/>
  <c r="F23" i="2" s="1"/>
  <c r="C23" i="2"/>
  <c r="J23" i="2" s="1"/>
  <c r="C29" i="2"/>
  <c r="K29" i="2" s="1"/>
  <c r="D42" i="2"/>
  <c r="M42" i="2" s="1"/>
  <c r="D37" i="2"/>
  <c r="F37" i="2" s="1"/>
  <c r="D31" i="2"/>
  <c r="M31" i="2" s="1"/>
  <c r="D32" i="2"/>
  <c r="O32" i="2" s="1"/>
  <c r="D34" i="2" l="1"/>
  <c r="O34" i="2" s="1"/>
  <c r="D29" i="2"/>
  <c r="O29" i="2" s="1"/>
  <c r="O45" i="2"/>
  <c r="F45" i="2"/>
  <c r="D36" i="2"/>
  <c r="O36" i="2" s="1"/>
  <c r="O50" i="2"/>
  <c r="F46" i="2"/>
  <c r="M48" i="2"/>
  <c r="N49" i="2"/>
  <c r="D30" i="2"/>
  <c r="L4" i="2"/>
  <c r="F4" i="2"/>
  <c r="M4" i="2"/>
  <c r="L51" i="2"/>
  <c r="O51" i="2"/>
  <c r="N31" i="2"/>
  <c r="N51" i="2"/>
  <c r="F51" i="2"/>
  <c r="L5" i="2"/>
  <c r="N5" i="2"/>
  <c r="O52" i="2"/>
  <c r="M52" i="2"/>
  <c r="F52" i="2"/>
  <c r="N52" i="2"/>
  <c r="L52" i="2"/>
  <c r="M32" i="2"/>
  <c r="F32" i="2"/>
  <c r="N32" i="2"/>
  <c r="L32" i="2"/>
  <c r="O6" i="2"/>
  <c r="N6" i="2"/>
  <c r="O53" i="2"/>
  <c r="M53" i="2"/>
  <c r="F53" i="2"/>
  <c r="N53" i="2"/>
  <c r="L53" i="2"/>
  <c r="D33" i="2"/>
  <c r="N33" i="2" s="1"/>
  <c r="L7" i="2"/>
  <c r="N7" i="2"/>
  <c r="M7" i="2"/>
  <c r="F7" i="2"/>
  <c r="O7" i="2"/>
  <c r="M54" i="2"/>
  <c r="F54" i="2"/>
  <c r="L54" i="2"/>
  <c r="O54" i="2"/>
  <c r="N54" i="2"/>
  <c r="M13" i="2"/>
  <c r="P13" i="2" s="1"/>
  <c r="O14" i="2"/>
  <c r="F8" i="2"/>
  <c r="L12" i="2"/>
  <c r="P12" i="2" s="1"/>
  <c r="N14" i="2"/>
  <c r="D55" i="2"/>
  <c r="L55" i="2" s="1"/>
  <c r="O19" i="2"/>
  <c r="M19" i="2"/>
  <c r="L19" i="2"/>
  <c r="N19" i="2"/>
  <c r="F15" i="2"/>
  <c r="L56" i="2"/>
  <c r="N56" i="2"/>
  <c r="M56" i="2"/>
  <c r="L36" i="2"/>
  <c r="M20" i="2"/>
  <c r="L20" i="2"/>
  <c r="N20" i="2"/>
  <c r="O20" i="2"/>
  <c r="F20" i="2"/>
  <c r="M57" i="2"/>
  <c r="F57" i="2"/>
  <c r="L57" i="2"/>
  <c r="L37" i="2"/>
  <c r="N37" i="2"/>
  <c r="N21" i="2"/>
  <c r="O21" i="2"/>
  <c r="F21" i="2"/>
  <c r="P21" i="2" s="1"/>
  <c r="M21" i="2"/>
  <c r="L21" i="2"/>
  <c r="O38" i="2"/>
  <c r="F38" i="2"/>
  <c r="N38" i="2"/>
  <c r="M38" i="2"/>
  <c r="D58" i="2"/>
  <c r="F22" i="2"/>
  <c r="O22" i="2"/>
  <c r="M22" i="2"/>
  <c r="N22" i="2"/>
  <c r="L22" i="2"/>
  <c r="N39" i="2"/>
  <c r="F39" i="2"/>
  <c r="O39" i="2"/>
  <c r="L39" i="2"/>
  <c r="D59" i="2"/>
  <c r="M23" i="2"/>
  <c r="O23" i="2"/>
  <c r="O40" i="2"/>
  <c r="M40" i="2"/>
  <c r="N40" i="2"/>
  <c r="F40" i="2"/>
  <c r="L40" i="2"/>
  <c r="D60" i="2"/>
  <c r="F60" i="2" s="1"/>
  <c r="M24" i="2"/>
  <c r="N61" i="2"/>
  <c r="F61" i="2"/>
  <c r="M61" i="2"/>
  <c r="L61" i="2"/>
  <c r="D41" i="2"/>
  <c r="L41" i="2" s="1"/>
  <c r="F25" i="2"/>
  <c r="M25" i="2"/>
  <c r="O25" i="2"/>
  <c r="L25" i="2"/>
  <c r="M62" i="2"/>
  <c r="N62" i="2"/>
  <c r="F62" i="2"/>
  <c r="L62" i="2"/>
  <c r="L26" i="2"/>
  <c r="M26" i="2"/>
  <c r="N26" i="2"/>
  <c r="O26" i="2"/>
  <c r="F26" i="2"/>
  <c r="N43" i="2"/>
  <c r="M43" i="2"/>
  <c r="L43" i="2"/>
  <c r="O27" i="2"/>
  <c r="F44" i="2"/>
  <c r="N44" i="2"/>
  <c r="O44" i="2"/>
  <c r="L28" i="2"/>
  <c r="O28" i="2"/>
  <c r="F28" i="2"/>
  <c r="N28" i="2"/>
  <c r="J44" i="2"/>
  <c r="I44" i="2"/>
  <c r="E44" i="2"/>
  <c r="H44" i="2"/>
  <c r="K44" i="2"/>
  <c r="H28" i="2"/>
  <c r="I28" i="2"/>
  <c r="E28" i="2"/>
  <c r="K28" i="2"/>
  <c r="J28" i="2"/>
  <c r="K43" i="2"/>
  <c r="H43" i="2"/>
  <c r="E43" i="2"/>
  <c r="J27" i="2"/>
  <c r="K27" i="2"/>
  <c r="I27" i="2"/>
  <c r="E27" i="2"/>
  <c r="E62" i="2"/>
  <c r="I62" i="2"/>
  <c r="J62" i="2"/>
  <c r="J42" i="2"/>
  <c r="I42" i="2"/>
  <c r="K26" i="2"/>
  <c r="H26" i="2"/>
  <c r="K41" i="2"/>
  <c r="H41" i="2"/>
  <c r="I41" i="2"/>
  <c r="J41" i="2"/>
  <c r="E41" i="2"/>
  <c r="K61" i="2"/>
  <c r="E61" i="2"/>
  <c r="I25" i="2"/>
  <c r="E25" i="2"/>
  <c r="H25" i="2"/>
  <c r="K25" i="2"/>
  <c r="J25" i="2"/>
  <c r="E40" i="2"/>
  <c r="H40" i="2"/>
  <c r="J40" i="2"/>
  <c r="K40" i="2"/>
  <c r="I40" i="2"/>
  <c r="H60" i="2"/>
  <c r="K60" i="2"/>
  <c r="J60" i="2"/>
  <c r="I60" i="2"/>
  <c r="E60" i="2"/>
  <c r="H24" i="2"/>
  <c r="E24" i="2"/>
  <c r="I24" i="2"/>
  <c r="K24" i="2"/>
  <c r="J24" i="2"/>
  <c r="K39" i="2"/>
  <c r="H39" i="2"/>
  <c r="H59" i="2"/>
  <c r="I23" i="2"/>
  <c r="H23" i="2"/>
  <c r="K23" i="2"/>
  <c r="E23" i="2"/>
  <c r="J38" i="2"/>
  <c r="I38" i="2"/>
  <c r="H38" i="2"/>
  <c r="I58" i="2"/>
  <c r="J58" i="2"/>
  <c r="E58" i="2"/>
  <c r="E22" i="2"/>
  <c r="P22" i="2" s="1"/>
  <c r="K22" i="2"/>
  <c r="H22" i="2"/>
  <c r="I22" i="2"/>
  <c r="E36" i="2"/>
  <c r="I36" i="2"/>
  <c r="J56" i="2"/>
  <c r="K56" i="2"/>
  <c r="I53" i="2"/>
  <c r="J46" i="2"/>
  <c r="K37" i="2"/>
  <c r="I37" i="2"/>
  <c r="E37" i="2"/>
  <c r="H37" i="2"/>
  <c r="J37" i="2"/>
  <c r="K57" i="2"/>
  <c r="I57" i="2"/>
  <c r="E57" i="2"/>
  <c r="H57" i="2"/>
  <c r="J57" i="2"/>
  <c r="K21" i="2"/>
  <c r="J21" i="2"/>
  <c r="I20" i="2"/>
  <c r="E56" i="2"/>
  <c r="E20" i="2"/>
  <c r="I56" i="2"/>
  <c r="H56" i="2"/>
  <c r="H36" i="2"/>
  <c r="K20" i="2"/>
  <c r="H20" i="2"/>
  <c r="K18" i="2"/>
  <c r="P18" i="2" s="1"/>
  <c r="E15" i="2"/>
  <c r="H15" i="2"/>
  <c r="P15" i="2" s="1"/>
  <c r="J17" i="2"/>
  <c r="P17" i="2" s="1"/>
  <c r="I16" i="2"/>
  <c r="P16" i="2" s="1"/>
  <c r="K35" i="2"/>
  <c r="J35" i="2"/>
  <c r="H35" i="2"/>
  <c r="I35" i="2"/>
  <c r="E35" i="2"/>
  <c r="E8" i="2"/>
  <c r="H8" i="2"/>
  <c r="P8" i="2" s="1"/>
  <c r="K11" i="2"/>
  <c r="P11" i="2" s="1"/>
  <c r="I9" i="2"/>
  <c r="P9" i="2" s="1"/>
  <c r="H34" i="2"/>
  <c r="E34" i="2"/>
  <c r="J34" i="2"/>
  <c r="H7" i="2"/>
  <c r="K7" i="2"/>
  <c r="I7" i="2"/>
  <c r="J7" i="2"/>
  <c r="E7" i="2"/>
  <c r="E33" i="2"/>
  <c r="J33" i="2"/>
  <c r="H53" i="2"/>
  <c r="I33" i="2"/>
  <c r="K6" i="2"/>
  <c r="J6" i="2"/>
  <c r="H6" i="2"/>
  <c r="E6" i="2"/>
  <c r="I6" i="2"/>
  <c r="H32" i="2"/>
  <c r="I32" i="2"/>
  <c r="E32" i="2"/>
  <c r="K32" i="2"/>
  <c r="J32" i="2"/>
  <c r="J52" i="2"/>
  <c r="I52" i="2"/>
  <c r="E52" i="2"/>
  <c r="K52" i="2"/>
  <c r="H51" i="2"/>
  <c r="H31" i="2"/>
  <c r="E4" i="2"/>
  <c r="K4" i="2"/>
  <c r="J30" i="2"/>
  <c r="E46" i="2"/>
  <c r="I30" i="2"/>
  <c r="L45" i="2"/>
  <c r="M29" i="2"/>
  <c r="J29" i="2"/>
  <c r="I29" i="2"/>
  <c r="E3" i="2"/>
  <c r="I3" i="2"/>
  <c r="K3" i="2"/>
  <c r="J3" i="2"/>
  <c r="N45" i="2"/>
  <c r="L35" i="2"/>
  <c r="N35" i="2"/>
  <c r="L38" i="2"/>
  <c r="F42" i="2"/>
  <c r="N42" i="2"/>
  <c r="J22" i="2"/>
  <c r="O24" i="2"/>
  <c r="E26" i="2"/>
  <c r="F27" i="2"/>
  <c r="J43" i="2"/>
  <c r="I43" i="2"/>
  <c r="L44" i="2"/>
  <c r="H29" i="2"/>
  <c r="E31" i="2"/>
  <c r="H30" i="2"/>
  <c r="I34" i="2"/>
  <c r="K38" i="2"/>
  <c r="K42" i="2"/>
  <c r="F43" i="2"/>
  <c r="F56" i="2"/>
  <c r="H45" i="2"/>
  <c r="J55" i="2"/>
  <c r="I61" i="2"/>
  <c r="I55" i="2"/>
  <c r="K62" i="2"/>
  <c r="K54" i="2"/>
  <c r="E55" i="2"/>
  <c r="E45" i="2"/>
  <c r="M55" i="2"/>
  <c r="E54" i="2"/>
  <c r="N4" i="2"/>
  <c r="L47" i="2"/>
  <c r="F6" i="2"/>
  <c r="L59" i="2"/>
  <c r="F5" i="2"/>
  <c r="H21" i="2"/>
  <c r="H46" i="2"/>
  <c r="K31" i="2"/>
  <c r="H58" i="2"/>
  <c r="E42" i="2"/>
  <c r="J10" i="2"/>
  <c r="P10" i="2" s="1"/>
  <c r="O59" i="2"/>
  <c r="O37" i="2"/>
  <c r="E29" i="2"/>
  <c r="M60" i="2"/>
  <c r="J54" i="2"/>
  <c r="I54" i="2"/>
  <c r="J5" i="2"/>
  <c r="M3" i="2"/>
  <c r="L33" i="2"/>
  <c r="L42" i="2"/>
  <c r="I26" i="2"/>
  <c r="L27" i="2"/>
  <c r="J39" i="2"/>
  <c r="I39" i="2"/>
  <c r="J36" i="2"/>
  <c r="J61" i="2"/>
  <c r="J53" i="2"/>
  <c r="I59" i="2"/>
  <c r="E59" i="2"/>
  <c r="O4" i="2"/>
  <c r="H4" i="2"/>
  <c r="I4" i="2"/>
  <c r="I5" i="2"/>
  <c r="L6" i="2"/>
  <c r="F35" i="2"/>
  <c r="E30" i="2"/>
  <c r="H62" i="2"/>
  <c r="K55" i="2"/>
  <c r="K34" i="2"/>
  <c r="M44" i="2"/>
  <c r="O57" i="2"/>
  <c r="I21" i="2"/>
  <c r="O61" i="2"/>
  <c r="O31" i="2"/>
  <c r="M37" i="2"/>
  <c r="E53" i="2"/>
  <c r="K5" i="2"/>
  <c r="O3" i="2"/>
  <c r="M34" i="2"/>
  <c r="N60" i="2"/>
  <c r="F34" i="2"/>
  <c r="M39" i="2"/>
  <c r="N23" i="2"/>
  <c r="N24" i="2"/>
  <c r="J26" i="2"/>
  <c r="H27" i="2"/>
  <c r="E39" i="2"/>
  <c r="K36" i="2"/>
  <c r="J59" i="2"/>
  <c r="J51" i="2"/>
  <c r="I51" i="2"/>
  <c r="H61" i="2"/>
  <c r="K46" i="2"/>
  <c r="N57" i="2"/>
  <c r="E5" i="2"/>
  <c r="M5" i="2"/>
  <c r="O5" i="2"/>
  <c r="F3" i="2"/>
  <c r="M45" i="2"/>
  <c r="O42" i="2"/>
  <c r="K33" i="2"/>
  <c r="O43" i="2"/>
  <c r="O56" i="2"/>
  <c r="M28" i="2"/>
  <c r="F24" i="2"/>
  <c r="L31" i="2"/>
  <c r="M35" i="2"/>
  <c r="F31" i="2"/>
  <c r="L23" i="2"/>
  <c r="M27" i="2"/>
  <c r="J31" i="2"/>
  <c r="E38" i="2"/>
  <c r="I45" i="2"/>
  <c r="J45" i="2"/>
  <c r="E51" i="2"/>
  <c r="J4" i="2"/>
  <c r="N3" i="2"/>
  <c r="F29" i="2" l="1"/>
  <c r="L29" i="2"/>
  <c r="M41" i="2"/>
  <c r="N34" i="2"/>
  <c r="L34" i="2"/>
  <c r="N29" i="2"/>
  <c r="P26" i="2"/>
  <c r="F36" i="2"/>
  <c r="N36" i="2"/>
  <c r="M36" i="2"/>
  <c r="N30" i="2"/>
  <c r="L30" i="2"/>
  <c r="O30" i="2"/>
  <c r="F30" i="2"/>
  <c r="M30" i="2"/>
  <c r="M33" i="2"/>
  <c r="F33" i="2"/>
  <c r="O33" i="2"/>
  <c r="P14" i="2"/>
  <c r="O55" i="2"/>
  <c r="F55" i="2"/>
  <c r="N55" i="2"/>
  <c r="N58" i="2"/>
  <c r="L58" i="2"/>
  <c r="F58" i="2"/>
  <c r="O58" i="2"/>
  <c r="M58" i="2"/>
  <c r="M59" i="2"/>
  <c r="F59" i="2"/>
  <c r="N59" i="2"/>
  <c r="O60" i="2"/>
  <c r="L60" i="2"/>
  <c r="P23" i="2"/>
  <c r="N41" i="2"/>
  <c r="F41" i="2"/>
  <c r="O41" i="2"/>
  <c r="P25" i="2"/>
  <c r="P27" i="2"/>
</calcChain>
</file>

<file path=xl/sharedStrings.xml><?xml version="1.0" encoding="utf-8"?>
<sst xmlns="http://schemas.openxmlformats.org/spreadsheetml/2006/main" count="718" uniqueCount="284">
  <si>
    <t>Hex Address</t>
  </si>
  <si>
    <t>0000 0000</t>
  </si>
  <si>
    <t>0000 0001</t>
  </si>
  <si>
    <t>0000 0002</t>
  </si>
  <si>
    <t>0000 0003</t>
  </si>
  <si>
    <t>0000 0004</t>
  </si>
  <si>
    <t>0000 0007</t>
  </si>
  <si>
    <t>0</t>
  </si>
  <si>
    <t>1</t>
  </si>
  <si>
    <t>2</t>
  </si>
  <si>
    <t>3</t>
  </si>
  <si>
    <t>4</t>
  </si>
  <si>
    <t>5</t>
  </si>
  <si>
    <t>6</t>
  </si>
  <si>
    <t>7</t>
  </si>
  <si>
    <t>a</t>
  </si>
  <si>
    <t>b</t>
  </si>
  <si>
    <t>c</t>
  </si>
  <si>
    <t>d</t>
  </si>
  <si>
    <t>e</t>
  </si>
  <si>
    <t>f</t>
  </si>
  <si>
    <t>0000 0010</t>
  </si>
  <si>
    <t>0000 0020</t>
  </si>
  <si>
    <t>4c</t>
  </si>
  <si>
    <t>3b</t>
  </si>
  <si>
    <t>1c</t>
  </si>
  <si>
    <t>0a</t>
  </si>
  <si>
    <t>0b</t>
  </si>
  <si>
    <t>b8</t>
  </si>
  <si>
    <t>00</t>
  </si>
  <si>
    <t>fe</t>
  </si>
  <si>
    <t>6e</t>
  </si>
  <si>
    <t>f0</t>
  </si>
  <si>
    <t>0i</t>
  </si>
  <si>
    <t>0ii</t>
  </si>
  <si>
    <t>1i</t>
  </si>
  <si>
    <t>1ii</t>
  </si>
  <si>
    <t>2i</t>
  </si>
  <si>
    <t>2ii</t>
  </si>
  <si>
    <t>3i</t>
  </si>
  <si>
    <t>3ii</t>
  </si>
  <si>
    <t>4i</t>
  </si>
  <si>
    <t>4ii</t>
  </si>
  <si>
    <t>5i</t>
  </si>
  <si>
    <t>5ii</t>
  </si>
  <si>
    <t>6i</t>
  </si>
  <si>
    <t>6ii</t>
  </si>
  <si>
    <t>7i</t>
  </si>
  <si>
    <t>7ii</t>
  </si>
  <si>
    <t>8i</t>
  </si>
  <si>
    <t>8ii</t>
  </si>
  <si>
    <t>9i</t>
  </si>
  <si>
    <t>9ii</t>
  </si>
  <si>
    <t>ai</t>
  </si>
  <si>
    <t>aii</t>
  </si>
  <si>
    <t>bi</t>
  </si>
  <si>
    <t>bii</t>
  </si>
  <si>
    <t>ci</t>
  </si>
  <si>
    <t>cii</t>
  </si>
  <si>
    <t>di</t>
  </si>
  <si>
    <t>dii</t>
  </si>
  <si>
    <t>ei</t>
  </si>
  <si>
    <t>eii</t>
  </si>
  <si>
    <t>fi</t>
  </si>
  <si>
    <t>fii</t>
  </si>
  <si>
    <t>0000 0008</t>
  </si>
  <si>
    <t>0000 0009</t>
  </si>
  <si>
    <t>0000 000a</t>
  </si>
  <si>
    <t>0000 000b</t>
  </si>
  <si>
    <t>0000 000c</t>
  </si>
  <si>
    <t>0000 000d</t>
  </si>
  <si>
    <t>0000 000e</t>
  </si>
  <si>
    <t>0000 000f</t>
  </si>
  <si>
    <t>1st byte</t>
  </si>
  <si>
    <t>2nd byte</t>
  </si>
  <si>
    <t>HEX</t>
  </si>
  <si>
    <t>BINARY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</si>
  <si>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</si>
  <si>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</si>
  <si>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</si>
  <si>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</si>
  <si>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</si>
  <si>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</si>
  <si>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</si>
  <si>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</si>
  <si>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</si>
  <si>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</si>
  <si>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</si>
  <si>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</si>
  <si>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</si>
  <si>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BIT by BIT</t>
  </si>
  <si>
    <t>0000 0011</t>
  </si>
  <si>
    <t>0000 0012</t>
  </si>
  <si>
    <t>0000 0013</t>
  </si>
  <si>
    <t>0000 0014</t>
  </si>
  <si>
    <t>0000 0015</t>
  </si>
  <si>
    <t>0000 0016</t>
  </si>
  <si>
    <t>0000 0017</t>
  </si>
  <si>
    <t>0000 0018</t>
  </si>
  <si>
    <t>0000 0019</t>
  </si>
  <si>
    <t>0000 001a</t>
  </si>
  <si>
    <t>0000 001b</t>
  </si>
  <si>
    <t>0000 001c</t>
  </si>
  <si>
    <t>0000 001d</t>
  </si>
  <si>
    <t>0000 001e</t>
  </si>
  <si>
    <t>0000 001f</t>
  </si>
  <si>
    <t>0000 0022</t>
  </si>
  <si>
    <t>0000 0023</t>
  </si>
  <si>
    <t>0000 0024</t>
  </si>
  <si>
    <t>0000 0025</t>
  </si>
  <si>
    <t>0000 0026</t>
  </si>
  <si>
    <t>0000 0027</t>
  </si>
  <si>
    <t>0000 0028</t>
  </si>
  <si>
    <t>0000 0029</t>
  </si>
  <si>
    <t>0000 002a</t>
  </si>
  <si>
    <t>0000 002b</t>
  </si>
  <si>
    <t>0000 002c</t>
  </si>
  <si>
    <t>0000 002d</t>
  </si>
  <si>
    <t>Recognition Configuration 
(Fixed Content)</t>
  </si>
  <si>
    <t>Parameter Description</t>
  </si>
  <si>
    <t>Music WAE file save position</t>
  </si>
  <si>
    <t>Touchscreen reporting point rate</t>
  </si>
  <si>
    <t>Serial port baud rate</t>
  </si>
  <si>
    <t>Background picture ICL file save position</t>
  </si>
  <si>
    <t>Backlight - Start-up + Normal brightness</t>
  </si>
  <si>
    <t>Backlight - Standby brightness</t>
  </si>
  <si>
    <t>Backlight - Wake-up time after standby</t>
  </si>
  <si>
    <t>0000 0005 - 7</t>
  </si>
  <si>
    <t>0000 0006 - 7</t>
  </si>
  <si>
    <t>Backlight brightness PWM Output Mode</t>
  </si>
  <si>
    <t>0000 0005 - 6</t>
  </si>
  <si>
    <t>SPI NAND Flash Expanded? Yes/No</t>
  </si>
  <si>
    <t>0000 0005 - 5</t>
  </si>
  <si>
    <t>0000 0006 - 6</t>
  </si>
  <si>
    <t>0000 0006 - 5</t>
  </si>
  <si>
    <t>0000 0006 - 4</t>
  </si>
  <si>
    <t>0000 0006 - 3-0</t>
  </si>
  <si>
    <t>Size of SPI NAND Flash Memory</t>
  </si>
  <si>
    <t>22 File Initialization variable space</t>
  </si>
  <si>
    <t>Play buzzer or play music (switch)</t>
  </si>
  <si>
    <t>Play Buzzer</t>
  </si>
  <si>
    <t>Switch to format NAND</t>
  </si>
  <si>
    <t>RESERVED - MUST BE ZEROES</t>
  </si>
  <si>
    <t>zeroes</t>
  </si>
  <si>
    <t>Serial port CRC check (switch)</t>
  </si>
  <si>
    <t>Variable automatic upload setting (switch)</t>
  </si>
  <si>
    <t>0000 0005 - 4</t>
  </si>
  <si>
    <t>0000 0005 - 3</t>
  </si>
  <si>
    <t>0000 0005 - 2</t>
  </si>
  <si>
    <t>Touchscreen audio control (switch)</t>
  </si>
  <si>
    <t>Touchscreen backlight standby control (switch)</t>
  </si>
  <si>
    <t>Display orientation</t>
  </si>
  <si>
    <t>0000 0005 - 1-0</t>
  </si>
  <si>
    <t>0x54</t>
  </si>
  <si>
    <t>0x35</t>
  </si>
  <si>
    <t>0x4c</t>
  </si>
  <si>
    <t>0x43</t>
  </si>
  <si>
    <t>0x31</t>
  </si>
  <si>
    <t>Enable LCD Display Configuration</t>
  </si>
  <si>
    <t>TCON_SEL</t>
  </si>
  <si>
    <t>Do NOT need to configure TCON</t>
  </si>
  <si>
    <t>Reserved - MUST BE ZERO</t>
  </si>
  <si>
    <t xml:space="preserve">zero </t>
  </si>
  <si>
    <t>Enable touchpanel configuration</t>
  </si>
  <si>
    <t>Disabled.  (Set to 5a to enable)</t>
  </si>
  <si>
    <t>Disabled. (Set to 5A to enable)</t>
  </si>
  <si>
    <t>Touchpanel Mode</t>
  </si>
  <si>
    <t>0000 0021 - 7-4</t>
  </si>
  <si>
    <t>0000 0021 - 3</t>
  </si>
  <si>
    <t>0000 0021 - 2</t>
  </si>
  <si>
    <t>0000 0021 - 0</t>
  </si>
  <si>
    <t>0000 0021 - 1</t>
  </si>
  <si>
    <t>Resistance Touch Screen</t>
  </si>
  <si>
    <t>Resistance Touch Screen calibration OFF (Set to 1 to activate)</t>
  </si>
  <si>
    <t>Resistance Touch Screen calibration (switch)</t>
  </si>
  <si>
    <t>Set X coordinate reference</t>
  </si>
  <si>
    <t>From 0 to Xmax</t>
  </si>
  <si>
    <t>Set Y coordinate reference</t>
  </si>
  <si>
    <t>From 0 to Ymax</t>
  </si>
  <si>
    <t>XY exchange (switch)</t>
  </si>
  <si>
    <t>XY</t>
  </si>
  <si>
    <t>Touchpanel sensitivity</t>
  </si>
  <si>
    <t>0x16 (Lowest is 0x00, highest is 0x1F. Default is 0x14)</t>
  </si>
  <si>
    <t>Touchpanel frequency selection</t>
  </si>
  <si>
    <t>0x00 = frequency-hopping</t>
  </si>
  <si>
    <t>Enable Clock Output Configuration</t>
  </si>
  <si>
    <t>Clock Output activation (switch)</t>
  </si>
  <si>
    <t>Clock Output frequency setting</t>
  </si>
  <si>
    <t>825.7536/0xF0 MHz</t>
  </si>
  <si>
    <t>Enable Buzzer Configuration</t>
  </si>
  <si>
    <t>f=825753.6/0x60 Hz</t>
  </si>
  <si>
    <t>User-set Buzzer Frequency</t>
  </si>
  <si>
    <t>Factory-set Buzzer Frequency</t>
  </si>
  <si>
    <t>2.5KHz</t>
  </si>
  <si>
    <t>Buzzer duty cycle</t>
  </si>
  <si>
    <t>Factory-setting = 8%</t>
  </si>
  <si>
    <t>Buzz duration (unit = 10ms)</t>
  </si>
  <si>
    <t>Factory setting = 0x0a (=10*10=100ms)</t>
  </si>
  <si>
    <t>Disabled. (Set to 5a to enable)</t>
  </si>
  <si>
    <t>Disabled. (Set to a5 to enable)</t>
  </si>
  <si>
    <t>Configure LCD PCLK Phase Setting</t>
  </si>
  <si>
    <t>Configure LCD PCLK Frequency Setting (MHz)</t>
  </si>
  <si>
    <t>Configure LCD H_W</t>
  </si>
  <si>
    <t>Configure LCD H_S</t>
  </si>
  <si>
    <t>Configure LCD H_D</t>
  </si>
  <si>
    <t>Configure LCD H_E</t>
  </si>
  <si>
    <t>Configure LCD V_W</t>
  </si>
  <si>
    <t>Configure LCD V_S</t>
  </si>
  <si>
    <t>Configure LCD V_D</t>
  </si>
  <si>
    <t>Configure LCD V_E</t>
  </si>
  <si>
    <t>ea</t>
  </si>
  <si>
    <t>60</t>
  </si>
  <si>
    <t>1f</t>
  </si>
  <si>
    <t>CR6Community and InsanityAutomation DWIN2.0 Bleeding</t>
  </si>
  <si>
    <t>Creality 2.1.0.3</t>
  </si>
  <si>
    <t>20</t>
  </si>
  <si>
    <t>Creality 2.1.0.8</t>
  </si>
  <si>
    <t>Address</t>
  </si>
  <si>
    <t>Value</t>
  </si>
  <si>
    <t>Meaning</t>
  </si>
  <si>
    <t>Serial Port CRC Check - Open</t>
  </si>
  <si>
    <t>Play (WAE file) Music</t>
  </si>
  <si>
    <t>22 File initialization variable space - Load</t>
  </si>
  <si>
    <t>22 File initialization variable space - Do Not Load</t>
  </si>
  <si>
    <t>T5L Configuration Parameter Lookup Table</t>
  </si>
  <si>
    <t>Variable automatic upload setting - OFF</t>
  </si>
  <si>
    <t>Variable automatic upload setting - ON</t>
  </si>
  <si>
    <t>Touchscreen Audio Control - Open</t>
  </si>
  <si>
    <t>Touchscreen Audio Control - Close</t>
  </si>
  <si>
    <t>Serial Port CRC Check - Close</t>
  </si>
  <si>
    <t>Touchscreen Backlight Standby Control - Open</t>
  </si>
  <si>
    <t>Touchscreen Backlight Standby Control - Close</t>
  </si>
  <si>
    <t>Orient Display to 0 degrees</t>
  </si>
  <si>
    <t>01</t>
  </si>
  <si>
    <t>10</t>
  </si>
  <si>
    <t>11</t>
  </si>
  <si>
    <t>Orient Display to 90 degrees</t>
  </si>
  <si>
    <t>Orient Display to 180 degrees</t>
  </si>
  <si>
    <t>Orient Display to 270 degrees</t>
  </si>
  <si>
    <t>Base10</t>
  </si>
  <si>
    <t>8</t>
  </si>
  <si>
    <t>9</t>
  </si>
  <si>
    <t>12</t>
  </si>
  <si>
    <t>13</t>
  </si>
  <si>
    <t>14</t>
  </si>
  <si>
    <t>15</t>
  </si>
  <si>
    <t>SearchKey</t>
  </si>
  <si>
    <t>CR6Comm &amp; DWIN2.0 Bleeding CFG</t>
  </si>
  <si>
    <t>PWMO output control for users</t>
  </si>
  <si>
    <t>PWMO output control for PWM control of backlight brightness (1kHz)</t>
  </si>
  <si>
    <t>SPI NAND Flash NOT expanded</t>
  </si>
  <si>
    <t>SPI NAND Flash IS expanded</t>
  </si>
  <si>
    <t>Do not reset SPI NAND Flash</t>
  </si>
  <si>
    <r>
      <t>RESET SPI NAND Flash, once</t>
    </r>
    <r>
      <rPr>
        <b/>
        <sz val="10"/>
        <rFont val="Arial"/>
        <family val="2"/>
      </rPr>
      <t xml:space="preserve"> (erases all data)</t>
    </r>
  </si>
  <si>
    <t>SPI NAND Flash Memory size = 1Gbits</t>
  </si>
  <si>
    <t>SPI NAND Flash Memory size = 4Gbits</t>
  </si>
  <si>
    <t>to Translate and Compare</t>
  </si>
  <si>
    <t>Normal + Startup backlight brightness = 100%</t>
  </si>
  <si>
    <t>Standby backlight brightness = 10%</t>
  </si>
  <si>
    <t/>
  </si>
  <si>
    <t>Standby backlight brightness = 0%</t>
  </si>
  <si>
    <t>Interpretation of Current CFG file (Per T5L CFG Table)</t>
  </si>
  <si>
    <t>Screens.ICL file number = 23</t>
  </si>
  <si>
    <t>Screens.ICL file number = 32</t>
  </si>
  <si>
    <t>Touchscreen reporting point rate = 10Hz</t>
  </si>
  <si>
    <t>Same as CR6</t>
  </si>
  <si>
    <t>Different from CR6</t>
  </si>
  <si>
    <t>Backlight wakeup time after standby = 5360ms</t>
  </si>
  <si>
    <t>Backlight wakeup time after standby = 13120ms</t>
  </si>
  <si>
    <t>Serial Interface Baud Rate = 115200bps</t>
  </si>
  <si>
    <t>I think this parameter controls how long the screen returns to full bright, before Standby kicks-in again.</t>
  </si>
  <si>
    <t>38</t>
  </si>
  <si>
    <t xml:space="preserve">COPY/PASTE VALUES CFG </t>
  </si>
  <si>
    <t>Contents to A1:Q5 block</t>
  </si>
  <si>
    <t>5a</t>
  </si>
  <si>
    <t>CALIBRATE SCREEN</t>
  </si>
  <si>
    <t>T5LCFG_272480K.CFG</t>
  </si>
  <si>
    <t>54</t>
  </si>
  <si>
    <t>35</t>
  </si>
  <si>
    <t>43</t>
  </si>
  <si>
    <t>31</t>
  </si>
  <si>
    <t>28</t>
  </si>
  <si>
    <t>64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</si>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</sst>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/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/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</borders>
  <cellStyleXfs count="1">
    <xf numFmtId="0" fontId="0" fillId="0" borderId="0"/>
  </cellStyleXfs>
  <cellXfs count="22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/>
    <xf numFmtId="0" fontId="0" fillId="3" borderId="4" xfId="0" applyFill="1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3" fillId="0" borderId="15" xfId="0" applyFont="1" applyBorder="1"/>
    <xf numFmtId="49" fontId="3" fillId="0" borderId="13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0" xfId="0" applyFont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49" fontId="3" fillId="4" borderId="15" xfId="0" applyNumberFormat="1" applyFont="1" applyFill="1" applyBorder="1"/>
    <xf numFmtId="49" fontId="3" fillId="2" borderId="13" xfId="0" applyNumberFormat="1" applyFont="1" applyFill="1" applyBorder="1"/>
    <xf numFmtId="49" fontId="3" fillId="2" borderId="5" xfId="0" applyNumberFormat="1" applyFont="1" applyFill="1" applyBorder="1"/>
    <xf numFmtId="0" fontId="1" fillId="3" borderId="1" xfId="0" applyFont="1" applyFill="1" applyBorder="1"/>
    <xf numFmtId="49" fontId="3" fillId="3" borderId="15" xfId="0" applyNumberFormat="1" applyFont="1" applyFill="1" applyBorder="1"/>
    <xf numFmtId="0" fontId="0" fillId="3" borderId="2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49" fontId="3" fillId="4" borderId="13" xfId="0" applyNumberFormat="1" applyFont="1" applyFill="1" applyBorder="1"/>
    <xf numFmtId="0" fontId="1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/>
    <xf numFmtId="0" fontId="9" fillId="0" borderId="1" xfId="0" applyFont="1" applyBorder="1"/>
    <xf numFmtId="49" fontId="10" fillId="0" borderId="15" xfId="0" applyNumberFormat="1" applyFont="1" applyBorder="1"/>
    <xf numFmtId="0" fontId="9" fillId="2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0" borderId="15" xfId="0" applyFont="1" applyBorder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0" borderId="3" xfId="0" applyFont="1" applyBorder="1"/>
    <xf numFmtId="0" fontId="1" fillId="2" borderId="15" xfId="0" applyFont="1" applyFill="1" applyBorder="1" applyAlignment="1">
      <alignment horizontal="center" vertical="center"/>
    </xf>
    <xf numFmtId="49" fontId="3" fillId="2" borderId="15" xfId="0" applyNumberFormat="1" applyFont="1" applyFill="1" applyBorder="1"/>
    <xf numFmtId="0" fontId="11" fillId="4" borderId="1" xfId="0" applyFont="1" applyFill="1" applyBorder="1" applyAlignment="1">
      <alignment horizontal="center" vertical="center"/>
    </xf>
    <xf numFmtId="49" fontId="10" fillId="4" borderId="15" xfId="0" applyNumberFormat="1" applyFont="1" applyFill="1" applyBorder="1"/>
    <xf numFmtId="0" fontId="9" fillId="0" borderId="0" xfId="0" applyFont="1"/>
    <xf numFmtId="49" fontId="13" fillId="0" borderId="13" xfId="0" applyNumberFormat="1" applyFont="1" applyBorder="1"/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0" borderId="13" xfId="0" applyFont="1" applyBorder="1"/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4" borderId="15" xfId="0" applyFont="1" applyFill="1" applyBorder="1"/>
    <xf numFmtId="49" fontId="13" fillId="0" borderId="5" xfId="0" applyNumberFormat="1" applyFont="1" applyBorder="1"/>
    <xf numFmtId="0" fontId="12" fillId="2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2" borderId="1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4" borderId="5" xfId="0" applyFont="1" applyFill="1" applyBorder="1"/>
    <xf numFmtId="0" fontId="12" fillId="0" borderId="1" xfId="0" applyFont="1" applyBorder="1"/>
    <xf numFmtId="49" fontId="13" fillId="0" borderId="15" xfId="0" applyNumberFormat="1" applyFont="1" applyBorder="1"/>
    <xf numFmtId="0" fontId="12" fillId="2" borderId="15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0" borderId="15" xfId="0" applyFont="1" applyBorder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0" borderId="0" xfId="0" applyFont="1"/>
    <xf numFmtId="0" fontId="12" fillId="0" borderId="6" xfId="0" applyFont="1" applyBorder="1"/>
    <xf numFmtId="0" fontId="12" fillId="0" borderId="9" xfId="0" applyFont="1" applyBorder="1"/>
    <xf numFmtId="49" fontId="13" fillId="0" borderId="4" xfId="0" applyNumberFormat="1" applyFont="1" applyBorder="1"/>
    <xf numFmtId="0" fontId="12" fillId="2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0" borderId="4" xfId="0" applyFont="1" applyBorder="1"/>
    <xf numFmtId="0" fontId="12" fillId="2" borderId="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0" borderId="14" xfId="0" applyFont="1" applyBorder="1"/>
    <xf numFmtId="0" fontId="12" fillId="4" borderId="1" xfId="0" applyFont="1" applyFill="1" applyBorder="1"/>
    <xf numFmtId="49" fontId="13" fillId="4" borderId="15" xfId="0" applyNumberFormat="1" applyFont="1" applyFill="1" applyBorder="1"/>
    <xf numFmtId="49" fontId="13" fillId="5" borderId="13" xfId="0" applyNumberFormat="1" applyFont="1" applyFill="1" applyBorder="1"/>
    <xf numFmtId="49" fontId="13" fillId="5" borderId="4" xfId="0" applyNumberFormat="1" applyFont="1" applyFill="1" applyBorder="1"/>
    <xf numFmtId="0" fontId="12" fillId="4" borderId="6" xfId="0" applyFont="1" applyFill="1" applyBorder="1"/>
    <xf numFmtId="0" fontId="12" fillId="4" borderId="13" xfId="0" applyFont="1" applyFill="1" applyBorder="1"/>
    <xf numFmtId="0" fontId="12" fillId="4" borderId="9" xfId="0" applyFont="1" applyFill="1" applyBorder="1"/>
    <xf numFmtId="0" fontId="12" fillId="4" borderId="4" xfId="0" applyFont="1" applyFill="1" applyBorder="1"/>
    <xf numFmtId="0" fontId="12" fillId="0" borderId="12" xfId="0" applyFont="1" applyBorder="1"/>
    <xf numFmtId="0" fontId="12" fillId="0" borderId="3" xfId="0" applyFont="1" applyBorder="1"/>
    <xf numFmtId="0" fontId="1" fillId="0" borderId="16" xfId="0" applyFont="1" applyBorder="1"/>
    <xf numFmtId="0" fontId="1" fillId="2" borderId="16" xfId="0" applyFont="1" applyFill="1" applyBorder="1"/>
    <xf numFmtId="0" fontId="0" fillId="2" borderId="17" xfId="0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2" fillId="0" borderId="8" xfId="0" applyFont="1" applyBorder="1"/>
    <xf numFmtId="0" fontId="12" fillId="3" borderId="0" xfId="0" applyFont="1" applyFill="1"/>
    <xf numFmtId="0" fontId="12" fillId="0" borderId="10" xfId="0" applyFont="1" applyBorder="1"/>
    <xf numFmtId="0" fontId="12" fillId="4" borderId="3" xfId="0" applyFont="1" applyFill="1" applyBorder="1"/>
    <xf numFmtId="0" fontId="1" fillId="3" borderId="0" xfId="0" applyFont="1" applyFill="1"/>
    <xf numFmtId="0" fontId="1" fillId="3" borderId="18" xfId="0" applyFont="1" applyFill="1" applyBorder="1"/>
    <xf numFmtId="49" fontId="3" fillId="3" borderId="4" xfId="0" applyNumberFormat="1" applyFont="1" applyFill="1" applyBorder="1"/>
    <xf numFmtId="0" fontId="6" fillId="0" borderId="0" xfId="0" applyFont="1"/>
    <xf numFmtId="49" fontId="6" fillId="0" borderId="0" xfId="0" applyNumberFormat="1" applyFont="1"/>
    <xf numFmtId="0" fontId="3" fillId="2" borderId="19" xfId="0" applyFont="1" applyFill="1" applyBorder="1"/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3" fillId="2" borderId="23" xfId="0" applyFont="1" applyFill="1" applyBorder="1"/>
    <xf numFmtId="0" fontId="3" fillId="3" borderId="18" xfId="0" applyFont="1" applyFill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49" fontId="3" fillId="4" borderId="18" xfId="0" applyNumberFormat="1" applyFont="1" applyFill="1" applyBorder="1"/>
    <xf numFmtId="49" fontId="1" fillId="0" borderId="0" xfId="0" applyNumberFormat="1" applyFont="1" applyAlignment="1">
      <alignment horizontal="left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3" fillId="2" borderId="16" xfId="0" applyFont="1" applyFill="1" applyBorder="1"/>
    <xf numFmtId="49" fontId="1" fillId="0" borderId="30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1" xfId="0" applyFont="1" applyBorder="1"/>
    <xf numFmtId="0" fontId="1" fillId="0" borderId="17" xfId="0" applyFont="1" applyBorder="1"/>
    <xf numFmtId="0" fontId="0" fillId="5" borderId="0" xfId="0" applyFill="1" applyAlignment="1">
      <alignment horizontal="center"/>
    </xf>
    <xf numFmtId="49" fontId="1" fillId="5" borderId="0" xfId="0" applyNumberFormat="1" applyFont="1" applyFill="1" applyAlignment="1">
      <alignment horizontal="left"/>
    </xf>
    <xf numFmtId="49" fontId="6" fillId="0" borderId="32" xfId="0" applyNumberFormat="1" applyFont="1" applyBorder="1"/>
    <xf numFmtId="0" fontId="0" fillId="0" borderId="33" xfId="0" applyBorder="1"/>
    <xf numFmtId="0" fontId="0" fillId="0" borderId="34" xfId="0" applyBorder="1"/>
    <xf numFmtId="49" fontId="1" fillId="0" borderId="34" xfId="0" applyNumberFormat="1" applyFont="1" applyBorder="1"/>
    <xf numFmtId="49" fontId="0" fillId="0" borderId="34" xfId="0" applyNumberFormat="1" applyBorder="1"/>
    <xf numFmtId="49" fontId="1" fillId="0" borderId="35" xfId="0" applyNumberFormat="1" applyFont="1" applyBorder="1"/>
    <xf numFmtId="0" fontId="3" fillId="0" borderId="13" xfId="0" applyFont="1" applyBorder="1"/>
    <xf numFmtId="49" fontId="7" fillId="0" borderId="18" xfId="0" applyNumberFormat="1" applyFont="1" applyBorder="1"/>
    <xf numFmtId="0" fontId="4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2" xfId="0" applyBorder="1"/>
    <xf numFmtId="49" fontId="0" fillId="0" borderId="8" xfId="0" applyNumberFormat="1" applyBorder="1"/>
    <xf numFmtId="49" fontId="0" fillId="0" borderId="6" xfId="0" applyNumberFormat="1" applyBorder="1"/>
    <xf numFmtId="0" fontId="6" fillId="6" borderId="0" xfId="0" applyFont="1" applyFill="1"/>
    <xf numFmtId="0" fontId="0" fillId="6" borderId="0" xfId="0" applyFill="1"/>
    <xf numFmtId="49" fontId="0" fillId="0" borderId="7" xfId="0" applyNumberFormat="1" applyBorder="1"/>
    <xf numFmtId="0" fontId="0" fillId="0" borderId="11" xfId="0" applyBorder="1"/>
    <xf numFmtId="0" fontId="6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6" fillId="6" borderId="9" xfId="0" applyFont="1" applyFill="1" applyBorder="1"/>
    <xf numFmtId="0" fontId="0" fillId="6" borderId="10" xfId="0" applyFill="1" applyBorder="1"/>
    <xf numFmtId="0" fontId="5" fillId="6" borderId="9" xfId="0" applyFont="1" applyFill="1" applyBorder="1"/>
    <xf numFmtId="0" fontId="0" fillId="6" borderId="9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2" xfId="0" applyFill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14</xdr:row>
          <xdr:rowOff>236220</xdr:rowOff>
        </xdr:from>
        <xdr:to>
          <xdr:col>39</xdr:col>
          <xdr:colOff>144780</xdr:colOff>
          <xdr:row>19</xdr:row>
          <xdr:rowOff>91440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175260</xdr:colOff>
          <xdr:row>21</xdr:row>
          <xdr:rowOff>53340</xdr:rowOff>
        </xdr:from>
        <xdr:to>
          <xdr:col>35</xdr:col>
          <xdr:colOff>190500</xdr:colOff>
          <xdr:row>27</xdr:row>
          <xdr:rowOff>106680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30</xdr:row>
          <xdr:rowOff>30480</xdr:rowOff>
        </xdr:from>
        <xdr:to>
          <xdr:col>35</xdr:col>
          <xdr:colOff>129540</xdr:colOff>
          <xdr:row>35</xdr:row>
          <xdr:rowOff>53340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411480</xdr:colOff>
          <xdr:row>36</xdr:row>
          <xdr:rowOff>22860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15</xdr:row>
          <xdr:rowOff>144780</xdr:rowOff>
        </xdr:from>
        <xdr:to>
          <xdr:col>19</xdr:col>
          <xdr:colOff>60960</xdr:colOff>
          <xdr:row>46</xdr:row>
          <xdr:rowOff>30480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0</xdr:row>
          <xdr:rowOff>15240</xdr:rowOff>
        </xdr:from>
        <xdr:to>
          <xdr:col>19</xdr:col>
          <xdr:colOff>60960</xdr:colOff>
          <xdr:row>16</xdr:row>
          <xdr:rowOff>15240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53340</xdr:colOff>
          <xdr:row>0</xdr:row>
          <xdr:rowOff>0</xdr:rowOff>
        </xdr:from>
        <xdr:to>
          <xdr:col>28</xdr:col>
          <xdr:colOff>388620</xdr:colOff>
          <xdr:row>24</xdr:row>
          <xdr:rowOff>91440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L49"/>
  <sheetViews>
    <sheetView workbookViewId="0">
      <selection activeCell="G48" sqref="G48"/>
    </sheetView>
  </sheetViews>
  <sheetFormatPr defaultRowHeight="12.75" customHeight="1" x14ac:dyDescent="0.25"/>
  <cols>
    <col min="1" max="1" width="11.21875" bestFit="1" customWidth="1"/>
    <col min="2" max="33" width="3.77734375" customWidth="1"/>
    <col min="38" max="38" width="9.6640625" customWidth="1"/>
  </cols>
  <sheetData>
    <row r="1" spans="1:38" ht="36" customHeight="1" x14ac:dyDescent="0.4">
      <c r="A1" s="176" t="s">
        <v>276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97" t="s">
        <v>272</v>
      </c>
      <c r="AI1" s="198"/>
      <c r="AJ1" s="198"/>
      <c r="AK1" s="198"/>
      <c r="AL1" s="199"/>
    </row>
    <row r="2" spans="1:38" ht="22.8" x14ac:dyDescent="0.4">
      <c r="A2" s="178" t="s">
        <v>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4">
        <v>8</v>
      </c>
      <c r="K2" s="4">
        <v>9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AH2" s="200" t="s">
        <v>273</v>
      </c>
      <c r="AI2" s="193"/>
      <c r="AJ2" s="194"/>
      <c r="AK2" s="194"/>
      <c r="AL2" s="201"/>
    </row>
    <row r="3" spans="1:38" ht="18.600000000000001" customHeight="1" x14ac:dyDescent="0.4">
      <c r="A3" s="179" t="s">
        <v>1</v>
      </c>
      <c r="B3" s="1" t="s">
        <v>277</v>
      </c>
      <c r="C3" s="1" t="s">
        <v>278</v>
      </c>
      <c r="D3" s="1" t="s">
        <v>23</v>
      </c>
      <c r="E3" s="1" t="s">
        <v>279</v>
      </c>
      <c r="F3" s="1" t="s">
        <v>280</v>
      </c>
      <c r="G3" s="2" t="s">
        <v>283</v>
      </c>
      <c r="H3" s="1" t="s">
        <v>29</v>
      </c>
      <c r="I3" s="1" t="s">
        <v>234</v>
      </c>
      <c r="J3" s="2" t="s">
        <v>215</v>
      </c>
      <c r="K3" s="1" t="s">
        <v>281</v>
      </c>
      <c r="L3" s="1" t="s">
        <v>29</v>
      </c>
      <c r="M3" s="1" t="s">
        <v>25</v>
      </c>
      <c r="N3" s="1" t="s">
        <v>282</v>
      </c>
      <c r="O3" s="2" t="s">
        <v>26</v>
      </c>
      <c r="P3" s="2" t="s">
        <v>27</v>
      </c>
      <c r="Q3" s="2" t="s">
        <v>28</v>
      </c>
      <c r="AH3" s="200"/>
      <c r="AI3" s="193"/>
      <c r="AJ3" s="194"/>
      <c r="AK3" s="194"/>
      <c r="AL3" s="201"/>
    </row>
    <row r="4" spans="1:38" ht="17.399999999999999" customHeight="1" x14ac:dyDescent="0.4">
      <c r="A4" s="179" t="s">
        <v>21</v>
      </c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AH4" s="202" t="s">
        <v>256</v>
      </c>
      <c r="AI4" s="193"/>
      <c r="AJ4" s="194"/>
      <c r="AK4" s="194"/>
      <c r="AL4" s="201"/>
    </row>
    <row r="5" spans="1:38" ht="13.2" x14ac:dyDescent="0.25">
      <c r="A5" s="179" t="s">
        <v>22</v>
      </c>
      <c r="B5" s="1" t="s">
        <v>29</v>
      </c>
      <c r="C5" s="1" t="s">
        <v>29</v>
      </c>
      <c r="D5" s="1" t="s">
        <v>244</v>
      </c>
      <c r="E5" s="1" t="s">
        <v>29</v>
      </c>
      <c r="F5" s="1" t="s">
        <v>29</v>
      </c>
      <c r="G5" s="1" t="s">
        <v>29</v>
      </c>
      <c r="H5" s="1" t="s">
        <v>244</v>
      </c>
      <c r="I5" s="1" t="s">
        <v>29</v>
      </c>
      <c r="J5" s="1" t="s">
        <v>31</v>
      </c>
      <c r="K5" s="1" t="s">
        <v>27</v>
      </c>
      <c r="L5" s="1" t="s">
        <v>28</v>
      </c>
      <c r="M5" s="1" t="s">
        <v>29</v>
      </c>
      <c r="N5" s="1" t="s">
        <v>32</v>
      </c>
      <c r="O5" s="1" t="s">
        <v>282</v>
      </c>
      <c r="P5" s="1"/>
      <c r="Q5" s="1"/>
      <c r="AH5" s="203"/>
      <c r="AI5" s="194"/>
      <c r="AJ5" s="194"/>
      <c r="AK5" s="194"/>
      <c r="AL5" s="201"/>
    </row>
    <row r="6" spans="1:38" ht="12.75" customHeight="1" x14ac:dyDescent="0.25">
      <c r="A6" s="180"/>
      <c r="AH6" s="203"/>
      <c r="AI6" s="194"/>
      <c r="AJ6" s="194"/>
      <c r="AK6" s="194"/>
      <c r="AL6" s="201"/>
    </row>
    <row r="7" spans="1:38" ht="12.75" customHeight="1" x14ac:dyDescent="0.25">
      <c r="A7" s="180"/>
      <c r="AH7" s="203"/>
      <c r="AI7" s="194"/>
      <c r="AJ7" s="194"/>
      <c r="AK7" s="194"/>
      <c r="AL7" s="201"/>
    </row>
    <row r="8" spans="1:38" ht="12.75" customHeight="1" x14ac:dyDescent="0.25">
      <c r="A8" s="180"/>
      <c r="AH8" s="203"/>
      <c r="AI8" s="194"/>
      <c r="AJ8" s="194"/>
      <c r="AK8" s="194"/>
      <c r="AL8" s="201"/>
    </row>
    <row r="9" spans="1:38" ht="12.75" customHeight="1" thickBot="1" x14ac:dyDescent="0.3">
      <c r="A9" s="180"/>
      <c r="AH9" s="203"/>
      <c r="AI9" s="194"/>
      <c r="AJ9" s="194"/>
      <c r="AK9" s="194"/>
      <c r="AL9" s="201"/>
    </row>
    <row r="10" spans="1:38" ht="12.75" customHeight="1" x14ac:dyDescent="0.25">
      <c r="A10" s="178" t="s">
        <v>0</v>
      </c>
      <c r="B10" s="185" t="s">
        <v>33</v>
      </c>
      <c r="C10" s="186" t="s">
        <v>34</v>
      </c>
      <c r="D10" s="185" t="s">
        <v>35</v>
      </c>
      <c r="E10" s="186" t="s">
        <v>36</v>
      </c>
      <c r="F10" s="185" t="s">
        <v>37</v>
      </c>
      <c r="G10" s="191" t="s">
        <v>38</v>
      </c>
      <c r="H10" s="192" t="s">
        <v>39</v>
      </c>
      <c r="I10" s="186" t="s">
        <v>40</v>
      </c>
      <c r="J10" s="185" t="s">
        <v>41</v>
      </c>
      <c r="K10" s="186" t="s">
        <v>42</v>
      </c>
      <c r="L10" s="192" t="s">
        <v>43</v>
      </c>
      <c r="M10" s="191" t="s">
        <v>44</v>
      </c>
      <c r="N10" s="185" t="s">
        <v>45</v>
      </c>
      <c r="O10" s="191" t="s">
        <v>46</v>
      </c>
      <c r="P10" s="192" t="s">
        <v>47</v>
      </c>
      <c r="Q10" s="191" t="s">
        <v>48</v>
      </c>
      <c r="R10" s="192" t="s">
        <v>49</v>
      </c>
      <c r="S10" s="191" t="s">
        <v>50</v>
      </c>
      <c r="T10" s="192" t="s">
        <v>51</v>
      </c>
      <c r="U10" s="191" t="s">
        <v>52</v>
      </c>
      <c r="V10" s="192" t="s">
        <v>53</v>
      </c>
      <c r="W10" s="191" t="s">
        <v>54</v>
      </c>
      <c r="X10" s="192" t="s">
        <v>55</v>
      </c>
      <c r="Y10" s="191" t="s">
        <v>56</v>
      </c>
      <c r="Z10" s="192" t="s">
        <v>57</v>
      </c>
      <c r="AA10" s="191" t="s">
        <v>58</v>
      </c>
      <c r="AB10" s="192" t="s">
        <v>59</v>
      </c>
      <c r="AC10" s="191" t="s">
        <v>60</v>
      </c>
      <c r="AD10" s="192" t="s">
        <v>61</v>
      </c>
      <c r="AE10" s="191" t="s">
        <v>62</v>
      </c>
      <c r="AF10" s="192" t="s">
        <v>63</v>
      </c>
      <c r="AG10" s="195" t="s">
        <v>64</v>
      </c>
      <c r="AH10" s="203"/>
      <c r="AI10" s="194"/>
      <c r="AJ10" s="194"/>
      <c r="AK10" s="194"/>
      <c r="AL10" s="201"/>
    </row>
    <row r="11" spans="1:38" ht="12.75" customHeight="1" x14ac:dyDescent="0.25">
      <c r="A11" s="179" t="s">
        <v>1</v>
      </c>
      <c r="B11" s="187" t="str">
        <f>LEFT(B3,1)</f>
        <v>5</v>
      </c>
      <c r="C11" s="188" t="str">
        <f>RIGHT(B3,1)</f>
        <v>4</v>
      </c>
      <c r="D11" s="187" t="str">
        <f>LEFT(C3,1)</f>
        <v>3</v>
      </c>
      <c r="E11" s="188" t="str">
        <f>RIGHT(C3,1)</f>
        <v>5</v>
      </c>
      <c r="F11" s="187" t="str">
        <f>LEFT(D3,1)</f>
        <v>4</v>
      </c>
      <c r="G11" s="188" t="str">
        <f>RIGHT(D3,1)</f>
        <v>c</v>
      </c>
      <c r="H11" s="187" t="str">
        <f>LEFT(E3,1)</f>
        <v>4</v>
      </c>
      <c r="I11" s="188" t="str">
        <f>RIGHT(E3,1)</f>
        <v>3</v>
      </c>
      <c r="J11" s="187" t="str">
        <f>LEFT(F3,1)</f>
        <v>3</v>
      </c>
      <c r="K11" s="188" t="str">
        <f>RIGHT(F3,1)</f>
        <v>1</v>
      </c>
      <c r="L11" s="187" t="str">
        <f>LEFT(G3,1)</f>
        <v>3</v>
      </c>
      <c r="M11" s="188" t="str">
        <f>RIGHT(G3,1)</f>
        <v>f</v>
      </c>
      <c r="N11" s="187" t="str">
        <f>LEFT(H3,1)</f>
        <v>0</v>
      </c>
      <c r="O11" s="188" t="str">
        <f>RIGHT(H3,1)</f>
        <v>0</v>
      </c>
      <c r="P11" s="187" t="str">
        <f>LEFT(I3,1)</f>
        <v>1</v>
      </c>
      <c r="Q11" s="188" t="str">
        <f>RIGHT(I3,1)</f>
        <v>0</v>
      </c>
      <c r="R11" s="187" t="str">
        <f>LEFT(J3,1)</f>
        <v>2</v>
      </c>
      <c r="S11" s="188" t="str">
        <f>RIGHT(J3,1)</f>
        <v>0</v>
      </c>
      <c r="T11" s="187" t="str">
        <f>LEFT(K3,1)</f>
        <v>2</v>
      </c>
      <c r="U11" s="188" t="str">
        <f>RIGHT(K3,1)</f>
        <v>8</v>
      </c>
      <c r="V11" s="187" t="str">
        <f>LEFT(L3,1)</f>
        <v>0</v>
      </c>
      <c r="W11" s="188" t="str">
        <f>RIGHT(L3,1)</f>
        <v>0</v>
      </c>
      <c r="X11" s="187" t="str">
        <f>LEFT(M3,1)</f>
        <v>1</v>
      </c>
      <c r="Y11" s="188" t="str">
        <f>RIGHT(M3,1)</f>
        <v>c</v>
      </c>
      <c r="Z11" s="187" t="str">
        <f>LEFT(N3,1)</f>
        <v>6</v>
      </c>
      <c r="AA11" s="188" t="str">
        <f>RIGHT(N3,1)</f>
        <v>4</v>
      </c>
      <c r="AB11" s="187" t="str">
        <f>LEFT(O3,1)</f>
        <v>0</v>
      </c>
      <c r="AC11" s="188" t="str">
        <f>RIGHT(O3,1)</f>
        <v>a</v>
      </c>
      <c r="AD11" s="187" t="str">
        <f>LEFT(P3,1)</f>
        <v>0</v>
      </c>
      <c r="AE11" s="188" t="str">
        <f>RIGHT(P3,1)</f>
        <v>b</v>
      </c>
      <c r="AF11" s="187" t="str">
        <f>LEFT(Q3,1)</f>
        <v>b</v>
      </c>
      <c r="AG11" t="str">
        <f>RIGHT(Q3,1)</f>
        <v>8</v>
      </c>
      <c r="AH11" s="203"/>
      <c r="AI11" s="194"/>
      <c r="AJ11" s="194"/>
      <c r="AK11" s="194"/>
      <c r="AL11" s="201"/>
    </row>
    <row r="12" spans="1:38" ht="12.75" customHeight="1" x14ac:dyDescent="0.25">
      <c r="A12" s="179" t="s">
        <v>21</v>
      </c>
      <c r="B12" s="187" t="str">
        <f t="shared" ref="B12:B13" si="0">LEFT(B4,1)</f>
        <v>0</v>
      </c>
      <c r="C12" s="188" t="str">
        <f t="shared" ref="C12:C13" si="1">RIGHT(B4,1)</f>
        <v>0</v>
      </c>
      <c r="D12" s="187" t="str">
        <f t="shared" ref="D12:D13" si="2">LEFT(C4,1)</f>
        <v>0</v>
      </c>
      <c r="E12" s="188" t="str">
        <f t="shared" ref="E12:E13" si="3">RIGHT(C4,1)</f>
        <v>0</v>
      </c>
      <c r="F12" s="187" t="str">
        <f t="shared" ref="F12:F13" si="4">LEFT(D4,1)</f>
        <v>0</v>
      </c>
      <c r="G12" s="188" t="str">
        <f t="shared" ref="G12:G13" si="5">RIGHT(D4,1)</f>
        <v>0</v>
      </c>
      <c r="H12" s="187" t="str">
        <f t="shared" ref="H12:H13" si="6">LEFT(E4,1)</f>
        <v>0</v>
      </c>
      <c r="I12" s="188" t="str">
        <f t="shared" ref="I12:I13" si="7">RIGHT(E4,1)</f>
        <v>0</v>
      </c>
      <c r="J12" s="187" t="str">
        <f t="shared" ref="J12:J13" si="8">LEFT(F4,1)</f>
        <v>0</v>
      </c>
      <c r="K12" s="188" t="str">
        <f t="shared" ref="K12:K13" si="9">RIGHT(F4,1)</f>
        <v>0</v>
      </c>
      <c r="L12" s="187" t="str">
        <f t="shared" ref="L12:L13" si="10">LEFT(G4,1)</f>
        <v>0</v>
      </c>
      <c r="M12" s="188" t="str">
        <f t="shared" ref="M12:M13" si="11">RIGHT(G4,1)</f>
        <v>0</v>
      </c>
      <c r="N12" s="187" t="str">
        <f t="shared" ref="N12:N13" si="12">LEFT(H4,1)</f>
        <v>0</v>
      </c>
      <c r="O12" s="188" t="str">
        <f t="shared" ref="O12:O13" si="13">RIGHT(H4,1)</f>
        <v>0</v>
      </c>
      <c r="P12" s="187" t="str">
        <f t="shared" ref="P12:P13" si="14">LEFT(I4,1)</f>
        <v>0</v>
      </c>
      <c r="Q12" s="188" t="str">
        <f t="shared" ref="Q12:Q13" si="15">RIGHT(I4,1)</f>
        <v>0</v>
      </c>
      <c r="R12" s="187" t="str">
        <f t="shared" ref="R12:R13" si="16">LEFT(J4,1)</f>
        <v>0</v>
      </c>
      <c r="S12" s="188" t="str">
        <f t="shared" ref="S12:S13" si="17">RIGHT(J4,1)</f>
        <v>0</v>
      </c>
      <c r="T12" s="187" t="str">
        <f t="shared" ref="T12:T13" si="18">LEFT(K4,1)</f>
        <v>0</v>
      </c>
      <c r="U12" s="188" t="str">
        <f t="shared" ref="U12:U13" si="19">RIGHT(K4,1)</f>
        <v>0</v>
      </c>
      <c r="V12" s="187" t="str">
        <f t="shared" ref="V12:V13" si="20">LEFT(L4,1)</f>
        <v>0</v>
      </c>
      <c r="W12" s="188" t="str">
        <f t="shared" ref="W12:W13" si="21">RIGHT(L4,1)</f>
        <v>0</v>
      </c>
      <c r="X12" s="187" t="str">
        <f t="shared" ref="X12:X13" si="22">LEFT(M4,1)</f>
        <v>0</v>
      </c>
      <c r="Y12" s="188" t="str">
        <f t="shared" ref="Y12:Y13" si="23">RIGHT(M4,1)</f>
        <v>0</v>
      </c>
      <c r="Z12" s="187" t="str">
        <f t="shared" ref="Z12:Z13" si="24">LEFT(N4,1)</f>
        <v>0</v>
      </c>
      <c r="AA12" s="188" t="str">
        <f t="shared" ref="AA12:AA13" si="25">RIGHT(N4,1)</f>
        <v>0</v>
      </c>
      <c r="AB12" s="187" t="str">
        <f t="shared" ref="AB12:AB13" si="26">LEFT(O4,1)</f>
        <v>0</v>
      </c>
      <c r="AC12" s="188" t="str">
        <f t="shared" ref="AC12:AC13" si="27">RIGHT(O4,1)</f>
        <v>0</v>
      </c>
      <c r="AD12" s="187" t="str">
        <f>LEFT(P4,1)</f>
        <v>0</v>
      </c>
      <c r="AE12" s="188" t="str">
        <f>RIGHT(P4,1)</f>
        <v>0</v>
      </c>
      <c r="AF12" s="187" t="str">
        <f>LEFT(Q4,1)</f>
        <v>0</v>
      </c>
      <c r="AG12" t="str">
        <f>RIGHT(Q4,1)</f>
        <v>0</v>
      </c>
      <c r="AH12" s="203"/>
      <c r="AI12" s="194"/>
      <c r="AJ12" s="194"/>
      <c r="AK12" s="194"/>
      <c r="AL12" s="201"/>
    </row>
    <row r="13" spans="1:38" ht="12.75" customHeight="1" thickBot="1" x14ac:dyDescent="0.3">
      <c r="A13" s="181" t="s">
        <v>22</v>
      </c>
      <c r="B13" s="189" t="str">
        <f t="shared" si="0"/>
        <v>0</v>
      </c>
      <c r="C13" s="190" t="str">
        <f t="shared" si="1"/>
        <v>0</v>
      </c>
      <c r="D13" s="189" t="str">
        <f t="shared" si="2"/>
        <v>0</v>
      </c>
      <c r="E13" s="190" t="str">
        <f t="shared" si="3"/>
        <v>0</v>
      </c>
      <c r="F13" s="189" t="str">
        <f t="shared" si="4"/>
        <v>1</v>
      </c>
      <c r="G13" s="190" t="str">
        <f t="shared" si="5"/>
        <v>4</v>
      </c>
      <c r="H13" s="189" t="str">
        <f t="shared" si="6"/>
        <v>0</v>
      </c>
      <c r="I13" s="190" t="str">
        <f t="shared" si="7"/>
        <v>0</v>
      </c>
      <c r="J13" s="189" t="str">
        <f t="shared" si="8"/>
        <v>0</v>
      </c>
      <c r="K13" s="190" t="str">
        <f t="shared" si="9"/>
        <v>0</v>
      </c>
      <c r="L13" s="189" t="str">
        <f t="shared" si="10"/>
        <v>0</v>
      </c>
      <c r="M13" s="190" t="str">
        <f t="shared" si="11"/>
        <v>0</v>
      </c>
      <c r="N13" s="189" t="str">
        <f t="shared" si="12"/>
        <v>1</v>
      </c>
      <c r="O13" s="190" t="str">
        <f t="shared" si="13"/>
        <v>4</v>
      </c>
      <c r="P13" s="189" t="str">
        <f t="shared" si="14"/>
        <v>0</v>
      </c>
      <c r="Q13" s="190" t="str">
        <f t="shared" si="15"/>
        <v>0</v>
      </c>
      <c r="R13" s="189" t="str">
        <f t="shared" si="16"/>
        <v>6</v>
      </c>
      <c r="S13" s="190" t="str">
        <f t="shared" si="17"/>
        <v>e</v>
      </c>
      <c r="T13" s="189" t="str">
        <f t="shared" si="18"/>
        <v>0</v>
      </c>
      <c r="U13" s="190" t="str">
        <f t="shared" si="19"/>
        <v>b</v>
      </c>
      <c r="V13" s="189" t="str">
        <f t="shared" si="20"/>
        <v>b</v>
      </c>
      <c r="W13" s="190" t="str">
        <f t="shared" si="21"/>
        <v>8</v>
      </c>
      <c r="X13" s="189" t="str">
        <f t="shared" si="22"/>
        <v>0</v>
      </c>
      <c r="Y13" s="190" t="str">
        <f t="shared" si="23"/>
        <v>0</v>
      </c>
      <c r="Z13" s="189" t="str">
        <f t="shared" si="24"/>
        <v>f</v>
      </c>
      <c r="AA13" s="190" t="str">
        <f t="shared" si="25"/>
        <v>0</v>
      </c>
      <c r="AB13" s="189" t="str">
        <f t="shared" si="26"/>
        <v>6</v>
      </c>
      <c r="AC13" s="190" t="str">
        <f t="shared" si="27"/>
        <v>4</v>
      </c>
      <c r="AD13" s="189" t="s">
        <v>259</v>
      </c>
      <c r="AE13" s="190"/>
      <c r="AF13" s="189" t="s">
        <v>259</v>
      </c>
      <c r="AG13" s="196"/>
      <c r="AH13" s="204"/>
      <c r="AI13" s="205"/>
      <c r="AJ13" s="205"/>
      <c r="AK13" s="205"/>
      <c r="AL13" s="206"/>
    </row>
    <row r="14" spans="1:38" ht="12.75" customHeight="1" x14ac:dyDescent="0.25">
      <c r="A14" s="1"/>
    </row>
    <row r="15" spans="1:38" ht="40.799999999999997" customHeight="1" x14ac:dyDescent="0.4">
      <c r="A15" s="151" t="s">
        <v>214</v>
      </c>
    </row>
    <row r="16" spans="1:38" ht="12.75" customHeight="1" x14ac:dyDescent="0.25">
      <c r="A16" t="s">
        <v>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4">
        <v>8</v>
      </c>
      <c r="K16" s="4">
        <v>9</v>
      </c>
      <c r="L16" s="3" t="s">
        <v>15</v>
      </c>
      <c r="M16" s="3" t="s">
        <v>16</v>
      </c>
      <c r="N16" s="3" t="s">
        <v>17</v>
      </c>
      <c r="O16" s="3" t="s">
        <v>18</v>
      </c>
      <c r="P16" s="3" t="s">
        <v>19</v>
      </c>
      <c r="Q16" s="3" t="s">
        <v>20</v>
      </c>
    </row>
    <row r="17" spans="1:17" ht="12.75" customHeight="1" x14ac:dyDescent="0.25">
      <c r="A17" s="2" t="s">
        <v>1</v>
      </c>
      <c r="B17" s="1">
        <v>54</v>
      </c>
      <c r="C17" s="1">
        <v>35</v>
      </c>
      <c r="D17" s="1" t="s">
        <v>23</v>
      </c>
      <c r="E17" s="1">
        <v>43</v>
      </c>
      <c r="F17" s="1">
        <v>31</v>
      </c>
      <c r="G17" s="2" t="s">
        <v>212</v>
      </c>
      <c r="H17" s="1" t="s">
        <v>29</v>
      </c>
      <c r="I17" s="1">
        <v>10</v>
      </c>
      <c r="J17" s="2" t="s">
        <v>215</v>
      </c>
      <c r="K17" s="1">
        <v>28</v>
      </c>
      <c r="L17" s="1" t="s">
        <v>29</v>
      </c>
      <c r="M17" s="1" t="s">
        <v>25</v>
      </c>
      <c r="N17" s="1">
        <v>64</v>
      </c>
      <c r="O17" s="2" t="s">
        <v>29</v>
      </c>
      <c r="P17" s="1" t="s">
        <v>27</v>
      </c>
      <c r="Q17" s="1" t="s">
        <v>28</v>
      </c>
    </row>
    <row r="18" spans="1:17" ht="12.75" customHeight="1" x14ac:dyDescent="0.25">
      <c r="A18" s="2" t="s">
        <v>21</v>
      </c>
      <c r="B18" s="1" t="s">
        <v>29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</row>
    <row r="19" spans="1:17" ht="12.75" customHeight="1" x14ac:dyDescent="0.25">
      <c r="A19" s="2" t="s">
        <v>22</v>
      </c>
      <c r="B19" s="1" t="s">
        <v>29</v>
      </c>
      <c r="C19" s="1" t="s">
        <v>29</v>
      </c>
      <c r="D19" s="1">
        <v>14</v>
      </c>
      <c r="E19" s="1" t="s">
        <v>29</v>
      </c>
      <c r="F19" s="1" t="s">
        <v>29</v>
      </c>
      <c r="G19" s="1" t="s">
        <v>29</v>
      </c>
      <c r="H19" s="1" t="s">
        <v>30</v>
      </c>
      <c r="I19" s="1" t="s">
        <v>29</v>
      </c>
      <c r="J19" s="1" t="s">
        <v>31</v>
      </c>
      <c r="K19" s="1" t="s">
        <v>27</v>
      </c>
      <c r="L19" s="1" t="s">
        <v>28</v>
      </c>
      <c r="M19" s="1" t="s">
        <v>29</v>
      </c>
      <c r="N19" s="1" t="s">
        <v>32</v>
      </c>
      <c r="O19" s="1" t="s">
        <v>26</v>
      </c>
      <c r="P19" s="1"/>
      <c r="Q19" s="1"/>
    </row>
    <row r="20" spans="1:17" ht="12.75" customHeight="1" x14ac:dyDescent="0.25">
      <c r="A20" s="1"/>
    </row>
    <row r="21" spans="1:17" ht="12.75" customHeight="1" x14ac:dyDescent="0.25">
      <c r="A21" s="1"/>
    </row>
    <row r="23" spans="1:17" ht="28.2" customHeight="1" x14ac:dyDescent="0.4">
      <c r="A23" s="151" t="s">
        <v>216</v>
      </c>
    </row>
    <row r="24" spans="1:17" ht="12.75" customHeight="1" x14ac:dyDescent="0.25">
      <c r="A24" t="s">
        <v>0</v>
      </c>
      <c r="B24" s="3" t="s">
        <v>7</v>
      </c>
      <c r="C24" s="3" t="s">
        <v>8</v>
      </c>
      <c r="D24" s="3" t="s">
        <v>9</v>
      </c>
      <c r="E24" s="3" t="s">
        <v>10</v>
      </c>
      <c r="F24" s="3" t="s">
        <v>11</v>
      </c>
      <c r="G24" s="3" t="s">
        <v>12</v>
      </c>
      <c r="H24" s="3" t="s">
        <v>13</v>
      </c>
      <c r="I24" s="3" t="s">
        <v>14</v>
      </c>
      <c r="J24" s="4">
        <v>8</v>
      </c>
      <c r="K24" s="4">
        <v>9</v>
      </c>
      <c r="L24" s="3" t="s">
        <v>15</v>
      </c>
      <c r="M24" s="3" t="s">
        <v>16</v>
      </c>
      <c r="N24" s="3" t="s">
        <v>17</v>
      </c>
      <c r="O24" s="3" t="s">
        <v>18</v>
      </c>
      <c r="P24" s="3" t="s">
        <v>19</v>
      </c>
      <c r="Q24" s="3" t="s">
        <v>20</v>
      </c>
    </row>
    <row r="25" spans="1:17" ht="12.75" customHeight="1" x14ac:dyDescent="0.25">
      <c r="A25" s="2" t="s">
        <v>1</v>
      </c>
      <c r="B25" s="1">
        <v>54</v>
      </c>
      <c r="C25" s="1">
        <v>35</v>
      </c>
      <c r="D25" s="1" t="s">
        <v>23</v>
      </c>
      <c r="E25" s="1">
        <v>43</v>
      </c>
      <c r="F25" s="1">
        <v>31</v>
      </c>
      <c r="G25" s="2" t="s">
        <v>212</v>
      </c>
      <c r="H25" s="1" t="s">
        <v>29</v>
      </c>
      <c r="I25" s="1">
        <v>10</v>
      </c>
      <c r="J25" s="2" t="s">
        <v>215</v>
      </c>
      <c r="K25" s="1">
        <v>28</v>
      </c>
      <c r="L25" s="1" t="s">
        <v>29</v>
      </c>
      <c r="M25" s="1" t="s">
        <v>25</v>
      </c>
      <c r="N25" s="1">
        <v>64</v>
      </c>
      <c r="O25" s="2" t="s">
        <v>26</v>
      </c>
      <c r="P25" s="2" t="s">
        <v>210</v>
      </c>
      <c r="Q25" s="2" t="s">
        <v>211</v>
      </c>
    </row>
    <row r="26" spans="1:17" ht="12.75" customHeight="1" x14ac:dyDescent="0.25">
      <c r="A26" s="2" t="s">
        <v>21</v>
      </c>
      <c r="B26" s="1" t="s">
        <v>29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</row>
    <row r="27" spans="1:17" ht="12.75" customHeight="1" x14ac:dyDescent="0.25">
      <c r="A27" s="2" t="s">
        <v>22</v>
      </c>
      <c r="B27" s="1" t="s">
        <v>29</v>
      </c>
      <c r="C27" s="1" t="s">
        <v>29</v>
      </c>
      <c r="D27" s="1">
        <v>14</v>
      </c>
      <c r="E27" s="1" t="s">
        <v>29</v>
      </c>
      <c r="F27" s="1" t="s">
        <v>29</v>
      </c>
      <c r="G27" s="1" t="s">
        <v>29</v>
      </c>
      <c r="H27" s="1" t="s">
        <v>30</v>
      </c>
      <c r="I27" s="1" t="s">
        <v>29</v>
      </c>
      <c r="J27" s="1" t="s">
        <v>31</v>
      </c>
      <c r="K27" s="1" t="s">
        <v>27</v>
      </c>
      <c r="L27" s="1" t="s">
        <v>28</v>
      </c>
      <c r="M27" s="1" t="s">
        <v>29</v>
      </c>
      <c r="N27" s="1" t="s">
        <v>32</v>
      </c>
      <c r="O27" s="1" t="s">
        <v>26</v>
      </c>
      <c r="P27" s="1"/>
      <c r="Q27" s="1"/>
    </row>
    <row r="28" spans="1:17" ht="12.75" customHeight="1" x14ac:dyDescent="0.25">
      <c r="A28" s="1"/>
    </row>
    <row r="30" spans="1:17" ht="24" customHeight="1" x14ac:dyDescent="0.4">
      <c r="A30" s="150" t="s">
        <v>213</v>
      </c>
    </row>
    <row r="31" spans="1:17" ht="12.75" customHeight="1" x14ac:dyDescent="0.25">
      <c r="A31" t="s">
        <v>0</v>
      </c>
      <c r="B31" s="3" t="s">
        <v>7</v>
      </c>
      <c r="C31" s="3" t="s">
        <v>8</v>
      </c>
      <c r="D31" s="3" t="s">
        <v>9</v>
      </c>
      <c r="E31" s="3" t="s">
        <v>10</v>
      </c>
      <c r="F31" s="3" t="s">
        <v>11</v>
      </c>
      <c r="G31" s="3" t="s">
        <v>12</v>
      </c>
      <c r="H31" s="3" t="s">
        <v>13</v>
      </c>
      <c r="I31" s="3" t="s">
        <v>14</v>
      </c>
      <c r="J31" s="4">
        <v>8</v>
      </c>
      <c r="K31" s="4">
        <v>9</v>
      </c>
      <c r="L31" s="3" t="s">
        <v>15</v>
      </c>
      <c r="M31" s="3" t="s">
        <v>16</v>
      </c>
      <c r="N31" s="3" t="s">
        <v>17</v>
      </c>
      <c r="O31" s="3" t="s">
        <v>18</v>
      </c>
      <c r="P31" s="3" t="s">
        <v>19</v>
      </c>
      <c r="Q31" s="3" t="s">
        <v>20</v>
      </c>
    </row>
    <row r="32" spans="1:17" ht="12.75" customHeight="1" x14ac:dyDescent="0.25">
      <c r="A32" s="2" t="s">
        <v>1</v>
      </c>
      <c r="B32" s="1">
        <v>54</v>
      </c>
      <c r="C32" s="1">
        <v>35</v>
      </c>
      <c r="D32" s="1" t="s">
        <v>23</v>
      </c>
      <c r="E32" s="1">
        <v>43</v>
      </c>
      <c r="F32" s="1">
        <v>31</v>
      </c>
      <c r="G32" s="1" t="s">
        <v>24</v>
      </c>
      <c r="H32" s="1" t="s">
        <v>29</v>
      </c>
      <c r="I32" s="1">
        <v>10</v>
      </c>
      <c r="J32" s="1">
        <v>17</v>
      </c>
      <c r="K32" s="1">
        <v>28</v>
      </c>
      <c r="L32" s="1" t="s">
        <v>29</v>
      </c>
      <c r="M32" s="1" t="s">
        <v>25</v>
      </c>
      <c r="N32" s="1">
        <v>64</v>
      </c>
      <c r="O32" s="1" t="s">
        <v>26</v>
      </c>
      <c r="P32" s="1" t="s">
        <v>27</v>
      </c>
      <c r="Q32" s="1" t="s">
        <v>28</v>
      </c>
    </row>
    <row r="33" spans="1:17" ht="12.75" customHeight="1" x14ac:dyDescent="0.25">
      <c r="A33" s="2" t="s">
        <v>21</v>
      </c>
      <c r="B33" s="1" t="s">
        <v>29</v>
      </c>
      <c r="C33" s="1" t="s">
        <v>29</v>
      </c>
      <c r="D33" s="1" t="s">
        <v>29</v>
      </c>
      <c r="E33" s="1" t="s">
        <v>29</v>
      </c>
      <c r="F33" s="1" t="s">
        <v>29</v>
      </c>
      <c r="G33" s="1" t="s">
        <v>29</v>
      </c>
      <c r="H33" s="1" t="s">
        <v>29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1" t="s">
        <v>29</v>
      </c>
    </row>
    <row r="34" spans="1:17" ht="12.75" customHeight="1" x14ac:dyDescent="0.25">
      <c r="A34" s="2" t="s">
        <v>22</v>
      </c>
      <c r="B34" s="1" t="s">
        <v>29</v>
      </c>
      <c r="C34" s="1" t="s">
        <v>29</v>
      </c>
      <c r="D34" s="1">
        <v>14</v>
      </c>
      <c r="E34" s="1" t="s">
        <v>29</v>
      </c>
      <c r="F34" s="1" t="s">
        <v>29</v>
      </c>
      <c r="G34" s="1" t="s">
        <v>29</v>
      </c>
      <c r="H34" s="1" t="s">
        <v>30</v>
      </c>
      <c r="I34" s="1" t="s">
        <v>29</v>
      </c>
      <c r="J34" s="1" t="s">
        <v>31</v>
      </c>
      <c r="K34" s="1" t="s">
        <v>27</v>
      </c>
      <c r="L34" s="1" t="s">
        <v>28</v>
      </c>
      <c r="M34" s="1" t="s">
        <v>29</v>
      </c>
      <c r="N34" s="1" t="s">
        <v>32</v>
      </c>
      <c r="O34" s="1" t="s">
        <v>26</v>
      </c>
      <c r="P34" s="1"/>
      <c r="Q34" s="1"/>
    </row>
    <row r="35" spans="1:17" ht="12.75" customHeight="1" x14ac:dyDescent="0.25">
      <c r="A35" s="1"/>
    </row>
    <row r="36" spans="1:17" ht="12.75" customHeight="1" x14ac:dyDescent="0.25">
      <c r="A36" s="1"/>
    </row>
    <row r="37" spans="1:17" ht="12.75" customHeight="1" thickBot="1" x14ac:dyDescent="0.3"/>
    <row r="38" spans="1:17" ht="22.8" x14ac:dyDescent="0.4">
      <c r="A38" s="176" t="s">
        <v>275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</row>
    <row r="39" spans="1:17" ht="12.75" customHeight="1" x14ac:dyDescent="0.25">
      <c r="A39" s="178" t="s">
        <v>0</v>
      </c>
      <c r="B39" s="3" t="s">
        <v>7</v>
      </c>
      <c r="C39" s="3" t="s">
        <v>8</v>
      </c>
      <c r="D39" s="3" t="s">
        <v>9</v>
      </c>
      <c r="E39" s="3" t="s">
        <v>10</v>
      </c>
      <c r="F39" s="3" t="s">
        <v>11</v>
      </c>
      <c r="G39" s="3" t="s">
        <v>12</v>
      </c>
      <c r="H39" s="3" t="s">
        <v>13</v>
      </c>
      <c r="I39" s="3" t="s">
        <v>14</v>
      </c>
      <c r="J39" s="4">
        <v>8</v>
      </c>
      <c r="K39" s="4">
        <v>9</v>
      </c>
      <c r="L39" s="3" t="s">
        <v>15</v>
      </c>
      <c r="M39" s="3" t="s">
        <v>16</v>
      </c>
      <c r="N39" s="3" t="s">
        <v>17</v>
      </c>
      <c r="O39" s="3" t="s">
        <v>18</v>
      </c>
      <c r="P39" s="3" t="s">
        <v>19</v>
      </c>
      <c r="Q39" s="3" t="s">
        <v>20</v>
      </c>
    </row>
    <row r="40" spans="1:17" ht="12.75" customHeight="1" x14ac:dyDescent="0.25">
      <c r="A40" s="179" t="s">
        <v>1</v>
      </c>
      <c r="B40" s="1">
        <v>54</v>
      </c>
      <c r="C40" s="1">
        <v>35</v>
      </c>
      <c r="D40" s="1" t="s">
        <v>23</v>
      </c>
      <c r="E40" s="1">
        <v>43</v>
      </c>
      <c r="F40" s="1">
        <v>31</v>
      </c>
      <c r="G40" s="2" t="s">
        <v>271</v>
      </c>
      <c r="H40" s="1" t="s">
        <v>29</v>
      </c>
      <c r="I40" s="1">
        <v>10</v>
      </c>
      <c r="J40" s="2">
        <v>17</v>
      </c>
      <c r="K40" s="1">
        <v>28</v>
      </c>
      <c r="L40" s="1" t="s">
        <v>29</v>
      </c>
      <c r="M40" s="1" t="s">
        <v>25</v>
      </c>
      <c r="N40" s="1">
        <v>64</v>
      </c>
      <c r="O40" s="2" t="s">
        <v>26</v>
      </c>
      <c r="P40" s="2" t="s">
        <v>27</v>
      </c>
      <c r="Q40" s="2" t="s">
        <v>28</v>
      </c>
    </row>
    <row r="41" spans="1:17" ht="12.75" customHeight="1" x14ac:dyDescent="0.25">
      <c r="A41" s="179" t="s">
        <v>21</v>
      </c>
      <c r="B41" s="1" t="s">
        <v>29</v>
      </c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</row>
    <row r="42" spans="1:17" ht="12.75" customHeight="1" x14ac:dyDescent="0.25">
      <c r="A42" s="179" t="s">
        <v>22</v>
      </c>
      <c r="B42" s="1" t="s">
        <v>274</v>
      </c>
      <c r="C42" s="1" t="s">
        <v>27</v>
      </c>
      <c r="D42" s="1">
        <v>14</v>
      </c>
      <c r="E42" s="1" t="s">
        <v>29</v>
      </c>
      <c r="F42" s="1" t="s">
        <v>29</v>
      </c>
      <c r="G42" s="1" t="s">
        <v>29</v>
      </c>
      <c r="H42" s="1" t="s">
        <v>30</v>
      </c>
      <c r="I42" s="1" t="s">
        <v>29</v>
      </c>
      <c r="J42" s="1" t="s">
        <v>31</v>
      </c>
      <c r="K42" s="1" t="s">
        <v>27</v>
      </c>
      <c r="L42" s="1" t="s">
        <v>28</v>
      </c>
      <c r="M42" s="1" t="s">
        <v>29</v>
      </c>
      <c r="N42" s="1" t="s">
        <v>32</v>
      </c>
      <c r="O42" s="1" t="s">
        <v>26</v>
      </c>
      <c r="P42" s="1"/>
      <c r="Q42" s="1"/>
    </row>
    <row r="44" spans="1:17" ht="12.75" customHeight="1" thickBot="1" x14ac:dyDescent="0.3"/>
    <row r="45" spans="1:17" ht="23.4" customHeight="1" x14ac:dyDescent="0.4">
      <c r="A45" s="176" t="s">
        <v>276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</row>
    <row r="46" spans="1:17" ht="12.75" customHeight="1" x14ac:dyDescent="0.25">
      <c r="A46" s="178" t="s">
        <v>0</v>
      </c>
      <c r="B46" s="3" t="s">
        <v>7</v>
      </c>
      <c r="C46" s="3" t="s">
        <v>8</v>
      </c>
      <c r="D46" s="3" t="s">
        <v>9</v>
      </c>
      <c r="E46" s="3" t="s">
        <v>10</v>
      </c>
      <c r="F46" s="3" t="s">
        <v>11</v>
      </c>
      <c r="G46" s="3" t="s">
        <v>12</v>
      </c>
      <c r="H46" s="3" t="s">
        <v>13</v>
      </c>
      <c r="I46" s="3" t="s">
        <v>14</v>
      </c>
      <c r="J46" s="4">
        <v>8</v>
      </c>
      <c r="K46" s="4">
        <v>9</v>
      </c>
      <c r="L46" s="3" t="s">
        <v>15</v>
      </c>
      <c r="M46" s="3" t="s">
        <v>16</v>
      </c>
      <c r="N46" s="3" t="s">
        <v>17</v>
      </c>
      <c r="O46" s="3" t="s">
        <v>18</v>
      </c>
      <c r="P46" s="3" t="s">
        <v>19</v>
      </c>
      <c r="Q46" s="3" t="s">
        <v>20</v>
      </c>
    </row>
    <row r="47" spans="1:17" ht="12.75" customHeight="1" x14ac:dyDescent="0.25">
      <c r="A47" s="179" t="s">
        <v>1</v>
      </c>
      <c r="B47" s="1" t="s">
        <v>277</v>
      </c>
      <c r="C47" s="1" t="s">
        <v>278</v>
      </c>
      <c r="D47" s="1" t="s">
        <v>23</v>
      </c>
      <c r="E47" s="1" t="s">
        <v>279</v>
      </c>
      <c r="F47" s="1" t="s">
        <v>280</v>
      </c>
      <c r="G47" s="2" t="s">
        <v>283</v>
      </c>
      <c r="H47" s="1" t="s">
        <v>29</v>
      </c>
      <c r="I47" s="1" t="s">
        <v>234</v>
      </c>
      <c r="J47" s="2" t="s">
        <v>215</v>
      </c>
      <c r="K47" s="1" t="s">
        <v>281</v>
      </c>
      <c r="L47" s="1" t="s">
        <v>29</v>
      </c>
      <c r="M47" s="1" t="s">
        <v>25</v>
      </c>
      <c r="N47" s="1" t="s">
        <v>282</v>
      </c>
      <c r="O47" s="2" t="s">
        <v>26</v>
      </c>
      <c r="P47" s="2" t="s">
        <v>27</v>
      </c>
      <c r="Q47" s="2" t="s">
        <v>28</v>
      </c>
    </row>
    <row r="48" spans="1:17" ht="12.75" customHeight="1" x14ac:dyDescent="0.25">
      <c r="A48" s="179" t="s">
        <v>21</v>
      </c>
      <c r="B48" s="1" t="s">
        <v>29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</row>
    <row r="49" spans="1:17" ht="12.75" customHeight="1" x14ac:dyDescent="0.25">
      <c r="A49" s="179" t="s">
        <v>22</v>
      </c>
      <c r="B49" s="1" t="s">
        <v>29</v>
      </c>
      <c r="C49" s="1" t="s">
        <v>29</v>
      </c>
      <c r="D49" s="1" t="s">
        <v>244</v>
      </c>
      <c r="E49" s="1" t="s">
        <v>29</v>
      </c>
      <c r="F49" s="1" t="s">
        <v>29</v>
      </c>
      <c r="G49" s="1" t="s">
        <v>29</v>
      </c>
      <c r="H49" s="1" t="s">
        <v>244</v>
      </c>
      <c r="I49" s="1" t="s">
        <v>29</v>
      </c>
      <c r="J49" s="1" t="s">
        <v>31</v>
      </c>
      <c r="K49" s="1" t="s">
        <v>27</v>
      </c>
      <c r="L49" s="1" t="s">
        <v>28</v>
      </c>
      <c r="M49" s="1" t="s">
        <v>29</v>
      </c>
      <c r="N49" s="1" t="s">
        <v>32</v>
      </c>
      <c r="O49" s="1" t="s">
        <v>282</v>
      </c>
      <c r="P49" s="1"/>
      <c r="Q49" s="1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7" r:id="rId4">
          <objectPr defaultSize="0" autoPict="0" r:id="rId5">
            <anchor moveWithCells="1">
              <from>
                <xdr:col>17</xdr:col>
                <xdr:colOff>129540</xdr:colOff>
                <xdr:row>14</xdr:row>
                <xdr:rowOff>236220</xdr:rowOff>
              </from>
              <to>
                <xdr:col>39</xdr:col>
                <xdr:colOff>144780</xdr:colOff>
                <xdr:row>19</xdr:row>
                <xdr:rowOff>91440</xdr:rowOff>
              </to>
            </anchor>
          </objectPr>
        </oleObject>
      </mc:Choice>
      <mc:Fallback>
        <oleObject progId="Paint.Picture" shapeId="1027" r:id="rId4"/>
      </mc:Fallback>
    </mc:AlternateContent>
    <mc:AlternateContent xmlns:mc="http://schemas.openxmlformats.org/markup-compatibility/2006">
      <mc:Choice Requires="x14">
        <oleObject progId="Paint.Picture" shapeId="1028" r:id="rId6">
          <objectPr defaultSize="0" autoPict="0" r:id="rId7">
            <anchor moveWithCells="1">
              <from>
                <xdr:col>17</xdr:col>
                <xdr:colOff>175260</xdr:colOff>
                <xdr:row>21</xdr:row>
                <xdr:rowOff>53340</xdr:rowOff>
              </from>
              <to>
                <xdr:col>35</xdr:col>
                <xdr:colOff>190500</xdr:colOff>
                <xdr:row>27</xdr:row>
                <xdr:rowOff>106680</xdr:rowOff>
              </to>
            </anchor>
          </objectPr>
        </oleObject>
      </mc:Choice>
      <mc:Fallback>
        <oleObject progId="Paint.Picture" shapeId="1028" r:id="rId6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r:id="rId9">
            <anchor moveWithCells="1">
              <from>
                <xdr:col>17</xdr:col>
                <xdr:colOff>76200</xdr:colOff>
                <xdr:row>30</xdr:row>
                <xdr:rowOff>30480</xdr:rowOff>
              </from>
              <to>
                <xdr:col>35</xdr:col>
                <xdr:colOff>129540</xdr:colOff>
                <xdr:row>35</xdr:row>
                <xdr:rowOff>53340</xdr:rowOff>
              </to>
            </anchor>
          </objectPr>
        </oleObject>
      </mc:Choice>
      <mc:Fallback>
        <oleObject progId="Paint.Picture" shapeId="102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"/>
  <sheetViews>
    <sheetView tabSelected="1" topLeftCell="A36" zoomScale="87" zoomScaleNormal="87" workbookViewId="0">
      <selection sqref="A1:P62"/>
    </sheetView>
  </sheetViews>
  <sheetFormatPr defaultRowHeight="13.2" x14ac:dyDescent="0.25"/>
  <cols>
    <col min="1" max="1" width="39.77734375" bestFit="1" customWidth="1"/>
    <col min="2" max="2" width="15.5546875" customWidth="1"/>
    <col min="3" max="6" width="0" style="5" hidden="1" customWidth="1"/>
    <col min="7" max="7" width="1" hidden="1" customWidth="1"/>
    <col min="8" max="8" width="3.77734375" hidden="1" customWidth="1"/>
    <col min="9" max="12" width="3.77734375" style="5" hidden="1" customWidth="1"/>
    <col min="13" max="15" width="3.77734375" hidden="1" customWidth="1"/>
    <col min="16" max="16" width="52" customWidth="1"/>
    <col min="17" max="17" width="3.109375" customWidth="1"/>
    <col min="18" max="18" width="40.33203125" customWidth="1"/>
    <col min="19" max="19" width="40.44140625" customWidth="1"/>
    <col min="20" max="20" width="41.21875" bestFit="1" customWidth="1"/>
    <col min="21" max="21" width="87" bestFit="1" customWidth="1"/>
  </cols>
  <sheetData>
    <row r="1" spans="1:21" ht="13.8" thickBot="1" x14ac:dyDescent="0.3">
      <c r="C1" s="207" t="s">
        <v>76</v>
      </c>
      <c r="D1" s="208"/>
      <c r="E1" s="207" t="s">
        <v>75</v>
      </c>
      <c r="F1" s="208"/>
      <c r="G1" s="34"/>
      <c r="H1" s="207" t="s">
        <v>90</v>
      </c>
      <c r="I1" s="214"/>
      <c r="J1" s="214"/>
      <c r="K1" s="214"/>
      <c r="L1" s="214"/>
      <c r="M1" s="214"/>
      <c r="N1" s="214"/>
      <c r="O1" s="208"/>
      <c r="P1" s="182" t="s">
        <v>261</v>
      </c>
      <c r="R1" s="6" t="s">
        <v>247</v>
      </c>
      <c r="S1" s="6" t="s">
        <v>214</v>
      </c>
      <c r="T1" s="6" t="s">
        <v>216</v>
      </c>
      <c r="U1" s="6" t="s">
        <v>276</v>
      </c>
    </row>
    <row r="2" spans="1:21" ht="13.8" thickBot="1" x14ac:dyDescent="0.3">
      <c r="A2" s="35" t="s">
        <v>119</v>
      </c>
      <c r="B2" s="35" t="s">
        <v>0</v>
      </c>
      <c r="C2" s="18" t="s">
        <v>73</v>
      </c>
      <c r="D2" s="19" t="s">
        <v>74</v>
      </c>
      <c r="E2" s="18" t="s">
        <v>73</v>
      </c>
      <c r="F2" s="19" t="s">
        <v>74</v>
      </c>
      <c r="G2" s="31"/>
      <c r="H2" s="209" t="s">
        <v>73</v>
      </c>
      <c r="I2" s="210"/>
      <c r="J2" s="210"/>
      <c r="K2" s="211"/>
      <c r="L2" s="212" t="s">
        <v>74</v>
      </c>
      <c r="M2" s="213"/>
      <c r="N2" s="213"/>
      <c r="O2" s="213"/>
      <c r="P2" s="183" t="str">
        <f>'T5L CFG - HEX'!A1</f>
        <v>T5LCFG_272480K.CFG</v>
      </c>
      <c r="R2" s="44" t="s">
        <v>265</v>
      </c>
      <c r="S2" s="44" t="s">
        <v>265</v>
      </c>
    </row>
    <row r="3" spans="1:21" ht="13.2" customHeight="1" x14ac:dyDescent="0.25">
      <c r="A3" s="215" t="s">
        <v>118</v>
      </c>
      <c r="B3" s="130" t="s">
        <v>1</v>
      </c>
      <c r="C3" s="82" t="str">
        <f>IFERROR(VLOOKUP(VALUE('T5L CFG - HEX'!B$11),'Translation Lookup Tables'!$A$3:$B$19,2,FALSE),VLOOKUP('T5L CFG - HEX'!B$11,'Translation Lookup Tables'!$A$3:$B$19,2,FALSE))</f>
        <v>0101</v>
      </c>
      <c r="D3" s="83" t="str">
        <f>IFERROR(VLOOKUP(VALUE('T5L CFG - HEX'!C$11),'Translation Lookup Tables'!$A$3:$B$19,2,FALSE),VLOOKUP('T5L CFG - HEX'!C$11,'Translation Lookup Tables'!$A$3:$B$19,2,FALSE))</f>
        <v>0100</v>
      </c>
      <c r="E3" s="82">
        <f>VLOOKUP(C3,'Translation Lookup Tables'!$B$3:$C$19,2,FALSE)</f>
        <v>5</v>
      </c>
      <c r="F3" s="83">
        <f>VLOOKUP(D3,'Translation Lookup Tables'!$B$3:$C$19,2,FALSE)</f>
        <v>4</v>
      </c>
      <c r="G3" s="84"/>
      <c r="H3" s="85" t="str">
        <f>MID($C3,1,1)</f>
        <v>0</v>
      </c>
      <c r="I3" s="86" t="str">
        <f>MID($C3,2,1)</f>
        <v>1</v>
      </c>
      <c r="J3" s="86" t="str">
        <f>MID($C3,3,1)</f>
        <v>0</v>
      </c>
      <c r="K3" s="87" t="str">
        <f>MID($C3,4,1)</f>
        <v>1</v>
      </c>
      <c r="L3" s="88" t="str">
        <f>MID($D3,1,1)</f>
        <v>0</v>
      </c>
      <c r="M3" s="89" t="str">
        <f>MID($D3,2,1)</f>
        <v>1</v>
      </c>
      <c r="N3" s="89" t="str">
        <f>MID($D3,3,1)</f>
        <v>0</v>
      </c>
      <c r="O3" s="90" t="str">
        <f>MID($D3,4,1)</f>
        <v>0</v>
      </c>
      <c r="P3" s="114" t="s">
        <v>153</v>
      </c>
      <c r="S3" s="44" t="s">
        <v>266</v>
      </c>
    </row>
    <row r="4" spans="1:21" x14ac:dyDescent="0.25">
      <c r="A4" s="216"/>
      <c r="B4" s="131" t="s">
        <v>2</v>
      </c>
      <c r="C4" s="118" t="str">
        <f>IFERROR(VLOOKUP(VALUE('T5L CFG - HEX'!D$11),'Translation Lookup Tables'!$A$3:$B$19,2,FALSE),VLOOKUP('T5L CFG - HEX'!D$11,'Translation Lookup Tables'!$A$3:$B$19,2,FALSE))</f>
        <v>0011</v>
      </c>
      <c r="D4" s="119" t="str">
        <f>IFERROR(VLOOKUP(VALUE('T5L CFG - HEX'!E$11),'Translation Lookup Tables'!$A$3:$B$19,2,FALSE),VLOOKUP('T5L CFG - HEX'!E$11,'Translation Lookup Tables'!$A$3:$B$19,2,FALSE))</f>
        <v>0101</v>
      </c>
      <c r="E4" s="118">
        <f>VLOOKUP(C4,'Translation Lookup Tables'!$B$3:$C$19,2,FALSE)</f>
        <v>3</v>
      </c>
      <c r="F4" s="119">
        <f>VLOOKUP(D4,'Translation Lookup Tables'!$B$3:$C$19,2,FALSE)</f>
        <v>5</v>
      </c>
      <c r="G4" s="120"/>
      <c r="H4" s="121" t="str">
        <f t="shared" ref="H4:H30" si="0">MID($C4,1,1)</f>
        <v>0</v>
      </c>
      <c r="I4" s="122" t="str">
        <f t="shared" ref="I4:I30" si="1">MID($C4,2,1)</f>
        <v>0</v>
      </c>
      <c r="J4" s="122" t="str">
        <f t="shared" ref="J4:J30" si="2">MID($C4,3,1)</f>
        <v>1</v>
      </c>
      <c r="K4" s="123" t="str">
        <f t="shared" ref="K4:K30" si="3">MID($C4,4,1)</f>
        <v>1</v>
      </c>
      <c r="L4" s="124" t="str">
        <f>MID($D4,1,1)</f>
        <v>0</v>
      </c>
      <c r="M4" s="125" t="str">
        <f>MID($D4,2,1)</f>
        <v>1</v>
      </c>
      <c r="N4" s="125" t="str">
        <f>MID($D4,3,1)</f>
        <v>0</v>
      </c>
      <c r="O4" s="126" t="str">
        <f>MID($D4,4,1)</f>
        <v>1</v>
      </c>
      <c r="P4" s="114" t="s">
        <v>154</v>
      </c>
    </row>
    <row r="5" spans="1:21" x14ac:dyDescent="0.25">
      <c r="A5" s="216"/>
      <c r="B5" s="131" t="s">
        <v>3</v>
      </c>
      <c r="C5" s="118" t="str">
        <f>IFERROR(VLOOKUP(VALUE('T5L CFG - HEX'!F$11),'Translation Lookup Tables'!$A$3:$B$19,2,FALSE),VLOOKUP('T5L CFG - HEX'!F$11,'Translation Lookup Tables'!$A$3:$B$19,2,FALSE))</f>
        <v>0100</v>
      </c>
      <c r="D5" s="119" t="str">
        <f>IFERROR(VLOOKUP(VALUE('T5L CFG - HEX'!G$11),'Translation Lookup Tables'!$A$3:$B$19,2,FALSE),VLOOKUP('T5L CFG - HEX'!G$11,'Translation Lookup Tables'!$A$3:$B$19,2,FALSE))</f>
        <v>1100</v>
      </c>
      <c r="E5" s="118">
        <f>VLOOKUP(C5,'Translation Lookup Tables'!$B$3:$C$19,2,FALSE)</f>
        <v>4</v>
      </c>
      <c r="F5" s="119" t="str">
        <f>VLOOKUP(D5,'Translation Lookup Tables'!$B$3:$C$19,2,FALSE)</f>
        <v>c</v>
      </c>
      <c r="G5" s="120"/>
      <c r="H5" s="121" t="str">
        <f t="shared" si="0"/>
        <v>0</v>
      </c>
      <c r="I5" s="122" t="str">
        <f t="shared" si="1"/>
        <v>1</v>
      </c>
      <c r="J5" s="122" t="str">
        <f t="shared" si="2"/>
        <v>0</v>
      </c>
      <c r="K5" s="123" t="str">
        <f t="shared" si="3"/>
        <v>0</v>
      </c>
      <c r="L5" s="124" t="str">
        <f>MID($D5,1,1)</f>
        <v>1</v>
      </c>
      <c r="M5" s="125" t="str">
        <f>MID($D5,2,1)</f>
        <v>1</v>
      </c>
      <c r="N5" s="125" t="str">
        <f>MID($D5,3,1)</f>
        <v>0</v>
      </c>
      <c r="O5" s="126" t="str">
        <f>MID($D5,4,1)</f>
        <v>0</v>
      </c>
      <c r="P5" s="114" t="s">
        <v>155</v>
      </c>
    </row>
    <row r="6" spans="1:21" x14ac:dyDescent="0.25">
      <c r="A6" s="216"/>
      <c r="B6" s="131" t="s">
        <v>4</v>
      </c>
      <c r="C6" s="118" t="str">
        <f>IFERROR(VLOOKUP(VALUE('T5L CFG - HEX'!H$11),'Translation Lookup Tables'!$A$3:$B$19,2,FALSE),VLOOKUP('T5L CFG - HEX'!H$11,'Translation Lookup Tables'!$A$3:$B$19,2,FALSE))</f>
        <v>0100</v>
      </c>
      <c r="D6" s="119" t="str">
        <f>IFERROR(VLOOKUP(VALUE('T5L CFG - HEX'!I$11),'Translation Lookup Tables'!$A$3:$B$19,2,FALSE),VLOOKUP('T5L CFG - HEX'!I$11,'Translation Lookup Tables'!$A$3:$B$19,2,FALSE))</f>
        <v>0011</v>
      </c>
      <c r="E6" s="118">
        <f>VLOOKUP(C6,'Translation Lookup Tables'!$B$3:$C$19,2,FALSE)</f>
        <v>4</v>
      </c>
      <c r="F6" s="119">
        <f>VLOOKUP(D6,'Translation Lookup Tables'!$B$3:$C$19,2,FALSE)</f>
        <v>3</v>
      </c>
      <c r="G6" s="120"/>
      <c r="H6" s="121" t="str">
        <f t="shared" si="0"/>
        <v>0</v>
      </c>
      <c r="I6" s="122" t="str">
        <f t="shared" si="1"/>
        <v>1</v>
      </c>
      <c r="J6" s="122" t="str">
        <f t="shared" si="2"/>
        <v>0</v>
      </c>
      <c r="K6" s="123" t="str">
        <f t="shared" si="3"/>
        <v>0</v>
      </c>
      <c r="L6" s="124" t="str">
        <f>MID($D6,1,1)</f>
        <v>0</v>
      </c>
      <c r="M6" s="125" t="str">
        <f>MID($D6,2,1)</f>
        <v>0</v>
      </c>
      <c r="N6" s="125" t="str">
        <f>MID($D6,3,1)</f>
        <v>1</v>
      </c>
      <c r="O6" s="126" t="str">
        <f>MID($D6,4,1)</f>
        <v>1</v>
      </c>
      <c r="P6" s="114" t="s">
        <v>156</v>
      </c>
    </row>
    <row r="7" spans="1:21" ht="13.8" thickBot="1" x14ac:dyDescent="0.3">
      <c r="A7" s="216"/>
      <c r="B7" s="131" t="s">
        <v>5</v>
      </c>
      <c r="C7" s="118" t="str">
        <f>IFERROR(VLOOKUP(VALUE('T5L CFG - HEX'!J$11),'Translation Lookup Tables'!$A$3:$B$19,2,FALSE),VLOOKUP('T5L CFG - HEX'!J$11,'Translation Lookup Tables'!$A$3:$B$19,2,FALSE))</f>
        <v>0011</v>
      </c>
      <c r="D7" s="119" t="str">
        <f>IFERROR(VLOOKUP(VALUE('T5L CFG - HEX'!K$11),'Translation Lookup Tables'!$A$3:$B$19,2,FALSE),VLOOKUP('T5L CFG - HEX'!K$11,'Translation Lookup Tables'!$A$3:$B$19,2,FALSE))</f>
        <v>0001</v>
      </c>
      <c r="E7" s="118">
        <f>VLOOKUP(C7,'Translation Lookup Tables'!$B$3:$C$19,2,FALSE)</f>
        <v>3</v>
      </c>
      <c r="F7" s="119">
        <f>VLOOKUP(D7,'Translation Lookup Tables'!$B$3:$C$19,2,FALSE)</f>
        <v>1</v>
      </c>
      <c r="G7" s="120"/>
      <c r="H7" s="121" t="str">
        <f t="shared" si="0"/>
        <v>0</v>
      </c>
      <c r="I7" s="122" t="str">
        <f t="shared" si="1"/>
        <v>0</v>
      </c>
      <c r="J7" s="122" t="str">
        <f t="shared" si="2"/>
        <v>1</v>
      </c>
      <c r="K7" s="123" t="str">
        <f t="shared" si="3"/>
        <v>1</v>
      </c>
      <c r="L7" s="124" t="str">
        <f>MID($D7,1,1)</f>
        <v>0</v>
      </c>
      <c r="M7" s="125" t="str">
        <f>MID($D7,2,1)</f>
        <v>0</v>
      </c>
      <c r="N7" s="125" t="str">
        <f>MID($D7,3,1)</f>
        <v>0</v>
      </c>
      <c r="O7" s="126" t="str">
        <f>MID($D7,4,1)</f>
        <v>1</v>
      </c>
      <c r="P7" s="114" t="s">
        <v>157</v>
      </c>
    </row>
    <row r="8" spans="1:21" ht="13.8" thickBot="1" x14ac:dyDescent="0.3">
      <c r="A8" s="52" t="s">
        <v>144</v>
      </c>
      <c r="B8" s="53" t="s">
        <v>127</v>
      </c>
      <c r="C8" s="45" t="str">
        <f>IFERROR(VLOOKUP(VALUE('T5L CFG - HEX'!L$11),'Translation Lookup Tables'!$A$3:$B$19,2,FALSE),VLOOKUP('T5L CFG - HEX'!L$11,'Translation Lookup Tables'!$A$3:$B$19,2,FALSE))</f>
        <v>0011</v>
      </c>
      <c r="D8" s="46">
        <f>IFERROR(VLOOKUP(VALUE('T5L CFG - HEX'!M$11),'Translation Lookup Tables'!$A$3:$B$19,2,FALSE),VLOOKUP('T5L CFG - HEX'!M$11,'Translation Lookup Tables'!$A$3:$B$19,2,FALSE))</f>
        <v>1111</v>
      </c>
      <c r="E8" s="45">
        <f>VLOOKUP(C8,'Translation Lookup Tables'!$B$3:$C$19,2,FALSE)</f>
        <v>3</v>
      </c>
      <c r="F8" s="46" t="str">
        <f>VLOOKUP(D8,'Translation Lookup Tables'!$B$3:$C$19,2,FALSE)</f>
        <v>f</v>
      </c>
      <c r="G8" s="34"/>
      <c r="H8" s="47" t="str">
        <f t="shared" si="0"/>
        <v>0</v>
      </c>
      <c r="I8" s="48"/>
      <c r="J8" s="48"/>
      <c r="K8" s="49"/>
      <c r="L8" s="50"/>
      <c r="M8" s="58"/>
      <c r="N8" s="58"/>
      <c r="O8" s="58"/>
      <c r="P8" s="138" t="str">
        <f>VLOOKUP(CONCATENATE(B8," = ",H8),'Translation Lookup Tables'!$H$2:$I$18,2,FALSE)</f>
        <v>Serial Port CRC Check - Open</v>
      </c>
      <c r="R8" s="44" t="s">
        <v>220</v>
      </c>
      <c r="S8" s="44" t="s">
        <v>220</v>
      </c>
      <c r="T8" s="44" t="s">
        <v>220</v>
      </c>
      <c r="U8" s="44" t="s">
        <v>220</v>
      </c>
    </row>
    <row r="9" spans="1:21" ht="13.8" thickBot="1" x14ac:dyDescent="0.3">
      <c r="A9" s="52" t="s">
        <v>139</v>
      </c>
      <c r="B9" s="53" t="s">
        <v>130</v>
      </c>
      <c r="C9" s="45"/>
      <c r="D9" s="46"/>
      <c r="E9" s="45"/>
      <c r="F9" s="46"/>
      <c r="G9" s="34"/>
      <c r="H9" s="47"/>
      <c r="I9" s="48" t="str">
        <f>MID($C8,2,1)</f>
        <v>0</v>
      </c>
      <c r="J9" s="48"/>
      <c r="K9" s="49"/>
      <c r="L9" s="50"/>
      <c r="M9" s="51"/>
      <c r="N9" s="51"/>
      <c r="O9" s="51"/>
      <c r="P9" s="172" t="str">
        <f>VLOOKUP(CONCATENATE(B9," = ",I9),'Translation Lookup Tables'!$H$2:$I$18,2,FALSE)</f>
        <v>Play Buzzer</v>
      </c>
      <c r="R9" s="44" t="s">
        <v>140</v>
      </c>
      <c r="S9" s="44" t="s">
        <v>140</v>
      </c>
      <c r="T9" s="44" t="s">
        <v>140</v>
      </c>
      <c r="U9" s="44" t="s">
        <v>140</v>
      </c>
    </row>
    <row r="10" spans="1:21" ht="13.8" thickBot="1" x14ac:dyDescent="0.3">
      <c r="A10" s="52" t="s">
        <v>138</v>
      </c>
      <c r="B10" s="53" t="s">
        <v>132</v>
      </c>
      <c r="C10" s="45"/>
      <c r="D10" s="46"/>
      <c r="E10" s="45"/>
      <c r="F10" s="46"/>
      <c r="G10" s="34"/>
      <c r="H10" s="47"/>
      <c r="I10" s="48"/>
      <c r="J10" s="48" t="str">
        <f>MID($C8,3,1)</f>
        <v>1</v>
      </c>
      <c r="K10" s="49"/>
      <c r="L10" s="50"/>
      <c r="M10" s="51"/>
      <c r="N10" s="51"/>
      <c r="O10" s="51"/>
      <c r="P10" s="172" t="str">
        <f>VLOOKUP(CONCATENATE(B10," = ",J10),'Translation Lookup Tables'!$H$2:$I$18,2,FALSE)</f>
        <v>22 File initialization variable space - Load</v>
      </c>
      <c r="R10" s="44" t="s">
        <v>222</v>
      </c>
      <c r="S10" s="44" t="s">
        <v>223</v>
      </c>
      <c r="T10" s="44" t="s">
        <v>223</v>
      </c>
      <c r="U10" s="44" t="s">
        <v>222</v>
      </c>
    </row>
    <row r="11" spans="1:21" ht="13.8" thickBot="1" x14ac:dyDescent="0.3">
      <c r="A11" s="52" t="s">
        <v>145</v>
      </c>
      <c r="B11" s="53" t="s">
        <v>146</v>
      </c>
      <c r="C11" s="45"/>
      <c r="D11" s="46"/>
      <c r="E11" s="45"/>
      <c r="F11" s="46"/>
      <c r="G11" s="34"/>
      <c r="H11" s="47"/>
      <c r="I11" s="48"/>
      <c r="J11" s="48"/>
      <c r="K11" s="49" t="str">
        <f>MID($C8,4,1)</f>
        <v>1</v>
      </c>
      <c r="L11" s="50"/>
      <c r="M11" s="51"/>
      <c r="N11" s="51"/>
      <c r="O11" s="51"/>
      <c r="P11" s="172" t="str">
        <f>VLOOKUP(CONCATENATE(B11," = ",K11),'Translation Lookup Tables'!$H$2:$I$18,2,FALSE)</f>
        <v>Variable automatic upload setting - ON</v>
      </c>
      <c r="R11" s="44" t="s">
        <v>226</v>
      </c>
      <c r="S11" s="44" t="s">
        <v>226</v>
      </c>
      <c r="T11" s="44" t="s">
        <v>226</v>
      </c>
      <c r="U11" s="44" t="s">
        <v>226</v>
      </c>
    </row>
    <row r="12" spans="1:21" ht="13.8" thickBot="1" x14ac:dyDescent="0.3">
      <c r="A12" s="52" t="s">
        <v>149</v>
      </c>
      <c r="B12" s="53" t="s">
        <v>147</v>
      </c>
      <c r="C12" s="45"/>
      <c r="D12" s="46"/>
      <c r="E12" s="45"/>
      <c r="F12" s="46"/>
      <c r="G12" s="34"/>
      <c r="H12" s="47"/>
      <c r="I12" s="48"/>
      <c r="J12" s="48"/>
      <c r="K12" s="49"/>
      <c r="L12" s="50" t="str">
        <f>MID($D8,1,1)</f>
        <v>1</v>
      </c>
      <c r="M12" s="51"/>
      <c r="N12" s="51"/>
      <c r="O12" s="51"/>
      <c r="P12" s="172" t="str">
        <f>VLOOKUP(CONCATENATE(B12," = ",L12),'Translation Lookup Tables'!$H$2:$I$18,2,FALSE)</f>
        <v>Touchscreen Audio Control - Open</v>
      </c>
      <c r="R12" s="44" t="s">
        <v>227</v>
      </c>
      <c r="S12" s="44" t="s">
        <v>227</v>
      </c>
      <c r="T12" s="44" t="s">
        <v>227</v>
      </c>
      <c r="U12" s="44" t="s">
        <v>227</v>
      </c>
    </row>
    <row r="13" spans="1:21" ht="13.8" thickBot="1" x14ac:dyDescent="0.3">
      <c r="A13" s="60" t="s">
        <v>150</v>
      </c>
      <c r="B13" s="61" t="s">
        <v>148</v>
      </c>
      <c r="C13" s="39"/>
      <c r="D13" s="40"/>
      <c r="E13" s="39"/>
      <c r="F13" s="40"/>
      <c r="G13" s="31"/>
      <c r="H13" s="10"/>
      <c r="I13" s="11"/>
      <c r="J13" s="11"/>
      <c r="K13" s="12"/>
      <c r="L13" s="22"/>
      <c r="M13" s="23" t="str">
        <f>MID($D8,2,1)</f>
        <v>1</v>
      </c>
      <c r="N13" s="23"/>
      <c r="O13" s="23"/>
      <c r="P13" s="172" t="str">
        <f>VLOOKUP(CONCATENATE(B13," = ",M13),'Translation Lookup Tables'!$H$2:$I$18,2,FALSE)</f>
        <v>Touchscreen Backlight Standby Control - Open</v>
      </c>
      <c r="R13" s="44" t="s">
        <v>231</v>
      </c>
      <c r="S13" s="44" t="s">
        <v>230</v>
      </c>
      <c r="T13" s="44" t="s">
        <v>230</v>
      </c>
      <c r="U13" s="44" t="s">
        <v>230</v>
      </c>
    </row>
    <row r="14" spans="1:21" ht="13.8" thickBot="1" x14ac:dyDescent="0.3">
      <c r="A14" s="76" t="s">
        <v>151</v>
      </c>
      <c r="B14" s="77" t="s">
        <v>152</v>
      </c>
      <c r="C14" s="45"/>
      <c r="D14" s="46"/>
      <c r="E14" s="45"/>
      <c r="F14" s="46"/>
      <c r="G14" s="34"/>
      <c r="H14" s="47"/>
      <c r="I14" s="48"/>
      <c r="J14" s="48"/>
      <c r="K14" s="49"/>
      <c r="L14" s="50"/>
      <c r="M14" s="51"/>
      <c r="N14" s="51" t="str">
        <f>MID($D8,3,1)</f>
        <v>1</v>
      </c>
      <c r="O14" s="51" t="str">
        <f>MID($D8,4,1)</f>
        <v>1</v>
      </c>
      <c r="P14" s="173" t="str">
        <f>VLOOKUP(CONCATENATE(B14," = ",CONCATENATE(N14,O14)),'Translation Lookup Tables'!$H$2:$I$18,2,FALSE)</f>
        <v>Orient Display to 270 degrees</v>
      </c>
      <c r="R14" s="44" t="s">
        <v>238</v>
      </c>
      <c r="S14" s="44" t="s">
        <v>238</v>
      </c>
      <c r="T14" s="44" t="s">
        <v>238</v>
      </c>
      <c r="U14" s="44" t="s">
        <v>238</v>
      </c>
    </row>
    <row r="15" spans="1:21" ht="13.8" thickBot="1" x14ac:dyDescent="0.3">
      <c r="A15" s="62" t="s">
        <v>129</v>
      </c>
      <c r="B15" s="63" t="s">
        <v>128</v>
      </c>
      <c r="C15" s="9" t="str">
        <f>IFERROR(VLOOKUP(VALUE('T5L CFG - HEX'!N$11),'Translation Lookup Tables'!$A$3:$B$19,2,FALSE),VLOOKUP('T5L CFG - HEX'!N$11,'Translation Lookup Tables'!$A$3:$B$19,2,FALSE))</f>
        <v>0000</v>
      </c>
      <c r="D15" s="21" t="str">
        <f>IFERROR(VLOOKUP(VALUE('T5L CFG - HEX'!O$11),'Translation Lookup Tables'!$A$3:$B$19,2,FALSE),VLOOKUP('T5L CFG - HEX'!O$11,'Translation Lookup Tables'!$A$3:$B$19,2,FALSE))</f>
        <v>0000</v>
      </c>
      <c r="E15" s="9">
        <f>VLOOKUP(C15,'Translation Lookup Tables'!$B$3:$C$19,2,FALSE)</f>
        <v>0</v>
      </c>
      <c r="F15" s="21">
        <f>VLOOKUP(D15,'Translation Lookup Tables'!$B$3:$C$19,2,FALSE)</f>
        <v>0</v>
      </c>
      <c r="G15" s="33"/>
      <c r="H15" s="41" t="str">
        <f t="shared" si="0"/>
        <v>0</v>
      </c>
      <c r="I15" s="16"/>
      <c r="J15" s="16"/>
      <c r="K15" s="17"/>
      <c r="L15" s="28"/>
      <c r="M15" s="29"/>
      <c r="N15" s="29"/>
      <c r="O15" s="29"/>
      <c r="P15" s="138" t="str">
        <f>VLOOKUP(CONCATENATE(B15," = ",H15),'Translation Lookup Tables'!$H$2:$I$26,2,FALSE)</f>
        <v>PWMO output control for users</v>
      </c>
      <c r="R15" t="s">
        <v>248</v>
      </c>
      <c r="S15" s="44" t="s">
        <v>248</v>
      </c>
      <c r="T15" s="44" t="s">
        <v>248</v>
      </c>
      <c r="U15" s="44" t="s">
        <v>248</v>
      </c>
    </row>
    <row r="16" spans="1:21" ht="13.8" thickBot="1" x14ac:dyDescent="0.3">
      <c r="A16" s="59" t="s">
        <v>131</v>
      </c>
      <c r="B16" s="53" t="s">
        <v>133</v>
      </c>
      <c r="C16" s="45"/>
      <c r="D16" s="46"/>
      <c r="E16" s="45"/>
      <c r="F16" s="46"/>
      <c r="G16" s="34"/>
      <c r="H16" s="47"/>
      <c r="I16" s="48" t="str">
        <f>MID($C15,2,1)</f>
        <v>0</v>
      </c>
      <c r="J16" s="48"/>
      <c r="K16" s="49"/>
      <c r="L16" s="50"/>
      <c r="M16" s="51"/>
      <c r="N16" s="51"/>
      <c r="O16" s="51"/>
      <c r="P16" s="172" t="str">
        <f>VLOOKUP(CONCATENATE(B16," = ",I16),'Translation Lookup Tables'!$H$2:$I$26,2,FALSE)</f>
        <v>SPI NAND Flash NOT expanded</v>
      </c>
      <c r="R16" t="s">
        <v>250</v>
      </c>
      <c r="S16" s="44" t="s">
        <v>250</v>
      </c>
      <c r="T16" s="44" t="s">
        <v>250</v>
      </c>
      <c r="U16" s="44" t="s">
        <v>250</v>
      </c>
    </row>
    <row r="17" spans="1:21" ht="13.8" thickBot="1" x14ac:dyDescent="0.3">
      <c r="A17" s="59" t="s">
        <v>141</v>
      </c>
      <c r="B17" s="53" t="s">
        <v>134</v>
      </c>
      <c r="C17" s="45"/>
      <c r="D17" s="46"/>
      <c r="E17" s="45"/>
      <c r="F17" s="46"/>
      <c r="G17" s="34"/>
      <c r="H17" s="47"/>
      <c r="I17" s="48"/>
      <c r="J17" s="48" t="str">
        <f>MID($C15,3,1)</f>
        <v>0</v>
      </c>
      <c r="K17" s="49"/>
      <c r="L17" s="50"/>
      <c r="M17" s="51"/>
      <c r="N17" s="51"/>
      <c r="O17" s="51"/>
      <c r="P17" s="172" t="str">
        <f>VLOOKUP(CONCATENATE(B17," = ",J17),'Translation Lookup Tables'!$H$2:$I$26,2,FALSE)</f>
        <v>Do not reset SPI NAND Flash</v>
      </c>
      <c r="R17" t="s">
        <v>252</v>
      </c>
      <c r="S17" s="44" t="s">
        <v>252</v>
      </c>
      <c r="T17" s="44" t="s">
        <v>252</v>
      </c>
      <c r="U17" s="44" t="s">
        <v>252</v>
      </c>
    </row>
    <row r="18" spans="1:21" ht="13.8" thickBot="1" x14ac:dyDescent="0.3">
      <c r="A18" s="59" t="s">
        <v>137</v>
      </c>
      <c r="B18" s="53" t="s">
        <v>135</v>
      </c>
      <c r="C18" s="45"/>
      <c r="D18" s="46"/>
      <c r="E18" s="45"/>
      <c r="F18" s="46"/>
      <c r="G18" s="34"/>
      <c r="H18" s="47"/>
      <c r="I18" s="48"/>
      <c r="J18" s="48"/>
      <c r="K18" s="49" t="str">
        <f>MID($C15,4,1)</f>
        <v>0</v>
      </c>
      <c r="L18" s="50"/>
      <c r="M18" s="51"/>
      <c r="N18" s="51"/>
      <c r="O18" s="51"/>
      <c r="P18" s="173" t="str">
        <f>VLOOKUP(CONCATENATE(B18," = ",K18),'Translation Lookup Tables'!$H$2:$I$26,2,FALSE)</f>
        <v>SPI NAND Flash Memory size = 1Gbits</v>
      </c>
      <c r="R18" t="s">
        <v>254</v>
      </c>
      <c r="S18" s="44" t="s">
        <v>254</v>
      </c>
      <c r="T18" s="44" t="s">
        <v>254</v>
      </c>
      <c r="U18" s="44" t="s">
        <v>254</v>
      </c>
    </row>
    <row r="19" spans="1:21" ht="13.8" thickBot="1" x14ac:dyDescent="0.3">
      <c r="A19" s="78" t="s">
        <v>142</v>
      </c>
      <c r="B19" s="79" t="s">
        <v>136</v>
      </c>
      <c r="C19" s="66"/>
      <c r="D19" s="67"/>
      <c r="E19" s="66"/>
      <c r="F19" s="67"/>
      <c r="G19" s="68"/>
      <c r="H19" s="69"/>
      <c r="I19" s="70"/>
      <c r="J19" s="70"/>
      <c r="K19" s="71"/>
      <c r="L19" s="72" t="str">
        <f>MID($D15,1,1)</f>
        <v>0</v>
      </c>
      <c r="M19" s="73" t="str">
        <f>MID($D15,2,1)</f>
        <v>0</v>
      </c>
      <c r="N19" s="73" t="str">
        <f>MID($D15,3,1)</f>
        <v>0</v>
      </c>
      <c r="O19" s="74" t="str">
        <f>MID($D15,4,1)</f>
        <v>0</v>
      </c>
      <c r="P19" s="80" t="s">
        <v>143</v>
      </c>
      <c r="U19" t="s">
        <v>143</v>
      </c>
    </row>
    <row r="20" spans="1:21" ht="13.8" thickBot="1" x14ac:dyDescent="0.3">
      <c r="A20" s="103" t="s">
        <v>120</v>
      </c>
      <c r="B20" s="104" t="s">
        <v>6</v>
      </c>
      <c r="C20" s="105" t="str">
        <f>IFERROR(VLOOKUP(VALUE('T5L CFG - HEX'!P$11),'Translation Lookup Tables'!$A$3:$B$19,2,FALSE),VLOOKUP('T5L CFG - HEX'!P$11,'Translation Lookup Tables'!$A$3:$B$19,2,FALSE))</f>
        <v>0001</v>
      </c>
      <c r="D20" s="106" t="str">
        <f>IFERROR(VLOOKUP(VALUE('T5L CFG - HEX'!Q$11),'Translation Lookup Tables'!$A$3:$B$19,2,FALSE),VLOOKUP('T5L CFG - HEX'!Q$11,'Translation Lookup Tables'!$A$3:$B$19,2,FALSE))</f>
        <v>0000</v>
      </c>
      <c r="E20" s="105">
        <f>VLOOKUP(C20,'Translation Lookup Tables'!$B$3:$C$19,2,FALSE)</f>
        <v>1</v>
      </c>
      <c r="F20" s="106">
        <f>VLOOKUP(D20,'Translation Lookup Tables'!$B$3:$C$19,2,FALSE)</f>
        <v>0</v>
      </c>
      <c r="G20" s="107"/>
      <c r="H20" s="108" t="str">
        <f t="shared" si="0"/>
        <v>0</v>
      </c>
      <c r="I20" s="109" t="str">
        <f t="shared" si="1"/>
        <v>0</v>
      </c>
      <c r="J20" s="109" t="str">
        <f t="shared" si="2"/>
        <v>0</v>
      </c>
      <c r="K20" s="110" t="str">
        <f t="shared" si="3"/>
        <v>1</v>
      </c>
      <c r="L20" s="111" t="str">
        <f t="shared" ref="L20:L45" si="4">MID($D20,1,1)</f>
        <v>0</v>
      </c>
      <c r="M20" s="112" t="str">
        <f t="shared" ref="M20:M45" si="5">MID($D20,2,1)</f>
        <v>0</v>
      </c>
      <c r="N20" s="112" t="str">
        <f t="shared" ref="N20:N45" si="6">MID($D20,3,1)</f>
        <v>0</v>
      </c>
      <c r="O20" s="113" t="str">
        <f t="shared" ref="O20:O45" si="7">MID($D20,4,1)</f>
        <v>0</v>
      </c>
      <c r="P20" s="114"/>
    </row>
    <row r="21" spans="1:21" ht="13.8" thickBot="1" x14ac:dyDescent="0.3">
      <c r="A21" s="56" t="s">
        <v>123</v>
      </c>
      <c r="B21" s="57" t="s">
        <v>65</v>
      </c>
      <c r="C21" s="45" t="str">
        <f>IFERROR(VLOOKUP(VALUE('T5L CFG - HEX'!R$11),'Translation Lookup Tables'!$A$3:$B$19,2,FALSE),VLOOKUP('T5L CFG - HEX'!R$11,'Translation Lookup Tables'!$A$3:$B$19,2,FALSE))</f>
        <v>0010</v>
      </c>
      <c r="D21" s="46" t="str">
        <f>IFERROR(VLOOKUP(VALUE('T5L CFG - HEX'!S$11),'Translation Lookup Tables'!$A$3:$B$19,2,FALSE),VLOOKUP('T5L CFG - HEX'!S$11,'Translation Lookup Tables'!$A$3:$B$19,2,FALSE))</f>
        <v>0000</v>
      </c>
      <c r="E21" s="45">
        <f>VLOOKUP(C21,'Translation Lookup Tables'!$B$3:$C$19,2,FALSE)</f>
        <v>2</v>
      </c>
      <c r="F21" s="46">
        <f>VLOOKUP(D21,'Translation Lookup Tables'!$B$3:$C$19,2,FALSE)</f>
        <v>0</v>
      </c>
      <c r="G21" s="34"/>
      <c r="H21" s="47" t="str">
        <f t="shared" si="0"/>
        <v>0</v>
      </c>
      <c r="I21" s="48" t="str">
        <f t="shared" si="1"/>
        <v>0</v>
      </c>
      <c r="J21" s="48" t="str">
        <f t="shared" si="2"/>
        <v>1</v>
      </c>
      <c r="K21" s="49" t="str">
        <f t="shared" si="3"/>
        <v>0</v>
      </c>
      <c r="L21" s="50" t="str">
        <f t="shared" si="4"/>
        <v>0</v>
      </c>
      <c r="M21" s="51" t="str">
        <f t="shared" si="5"/>
        <v>0</v>
      </c>
      <c r="N21" s="51" t="str">
        <f t="shared" si="6"/>
        <v>0</v>
      </c>
      <c r="O21" s="51" t="str">
        <f t="shared" si="7"/>
        <v>0</v>
      </c>
      <c r="P21" s="148" t="str">
        <f>CONCATENATE("Screens.ICL file number = ",VLOOKUP('T5L CFG - Interpretation'!E21,'Translation Lookup Tables'!C3:D19,2,FALSE)*16+VLOOKUP('T5L CFG - Interpretation'!F21,'Translation Lookup Tables'!C3:D19,2,FALSE))</f>
        <v>Screens.ICL file number = 32</v>
      </c>
      <c r="R21" t="s">
        <v>262</v>
      </c>
      <c r="S21" s="44" t="s">
        <v>263</v>
      </c>
      <c r="T21" s="44" t="s">
        <v>263</v>
      </c>
      <c r="U21" s="44" t="s">
        <v>263</v>
      </c>
    </row>
    <row r="22" spans="1:21" ht="13.8" thickBot="1" x14ac:dyDescent="0.3">
      <c r="A22" s="147" t="s">
        <v>121</v>
      </c>
      <c r="B22" s="149" t="s">
        <v>66</v>
      </c>
      <c r="C22" s="20" t="str">
        <f>IFERROR(VLOOKUP(VALUE('T5L CFG - HEX'!T$11),'Translation Lookup Tables'!$A$3:$B$19,2,FALSE),VLOOKUP('T5L CFG - HEX'!T$11,'Translation Lookup Tables'!$A$3:$B$19,2,FALSE))</f>
        <v>0010</v>
      </c>
      <c r="D22" s="20" t="str">
        <f>IFERROR(VLOOKUP(VALUE('T5L CFG - HEX'!U$11),'Translation Lookup Tables'!$A$3:$B$19,2,FALSE),VLOOKUP('T5L CFG - HEX'!U$11,'Translation Lookup Tables'!$A$3:$B$19,2,FALSE))</f>
        <v>1000</v>
      </c>
      <c r="E22" s="20">
        <f>VLOOKUP(C22,'Translation Lookup Tables'!$B$3:$C$19,2,FALSE)</f>
        <v>2</v>
      </c>
      <c r="F22" s="20">
        <f>VLOOKUP(D22,'Translation Lookup Tables'!$B$3:$C$19,2,FALSE)</f>
        <v>8</v>
      </c>
      <c r="G22" s="30"/>
      <c r="H22" s="25" t="str">
        <f t="shared" si="0"/>
        <v>0</v>
      </c>
      <c r="I22" s="26" t="str">
        <f t="shared" si="1"/>
        <v>0</v>
      </c>
      <c r="J22" s="26" t="str">
        <f t="shared" si="2"/>
        <v>1</v>
      </c>
      <c r="K22" s="27" t="str">
        <f t="shared" si="3"/>
        <v>0</v>
      </c>
      <c r="L22" s="25" t="str">
        <f t="shared" si="4"/>
        <v>1</v>
      </c>
      <c r="M22" s="26" t="str">
        <f t="shared" si="5"/>
        <v>0</v>
      </c>
      <c r="N22" s="26" t="str">
        <f t="shared" si="6"/>
        <v>0</v>
      </c>
      <c r="O22" s="27" t="str">
        <f t="shared" si="7"/>
        <v>0</v>
      </c>
      <c r="P22" s="147" t="str">
        <f>CONCATENATE("Touchscreen reporting point rate = ",400/(VLOOKUP(E22,'Translation Lookup Tables'!C4:D19,2,FALSE)*16+VLOOKUP('T5L CFG - Interpretation'!F22,'Translation Lookup Tables'!C4:D19,2,FALSE)),"Hz")</f>
        <v>Touchscreen reporting point rate = 10Hz</v>
      </c>
      <c r="R22" t="s">
        <v>264</v>
      </c>
      <c r="S22" s="44" t="s">
        <v>264</v>
      </c>
      <c r="T22" s="44" t="s">
        <v>264</v>
      </c>
      <c r="U22" s="44" t="s">
        <v>264</v>
      </c>
    </row>
    <row r="23" spans="1:21" x14ac:dyDescent="0.25">
      <c r="A23" s="217" t="s">
        <v>122</v>
      </c>
      <c r="B23" s="54" t="s">
        <v>67</v>
      </c>
      <c r="C23" s="39" t="str">
        <f>IFERROR(VLOOKUP(VALUE('T5L CFG - HEX'!V$11),'Translation Lookup Tables'!$A$3:$B$19,2,FALSE),VLOOKUP('T5L CFG - HEX'!V$11,'Translation Lookup Tables'!$A$3:$B$19,2,FALSE))</f>
        <v>0000</v>
      </c>
      <c r="D23" s="40" t="str">
        <f>IFERROR(VLOOKUP(VALUE('T5L CFG - HEX'!W$11),'Translation Lookup Tables'!$A$3:$B$19,2,FALSE),VLOOKUP('T5L CFG - HEX'!W$11,'Translation Lookup Tables'!$A$3:$B$19,2,FALSE))</f>
        <v>0000</v>
      </c>
      <c r="E23" s="39">
        <f>VLOOKUP(C23,'Translation Lookup Tables'!$B$3:$C$19,2,FALSE)</f>
        <v>0</v>
      </c>
      <c r="F23" s="40">
        <f>VLOOKUP(D23,'Translation Lookup Tables'!$B$3:$C$19,2,FALSE)</f>
        <v>0</v>
      </c>
      <c r="G23" s="31"/>
      <c r="H23" s="10" t="str">
        <f t="shared" si="0"/>
        <v>0</v>
      </c>
      <c r="I23" s="11" t="str">
        <f t="shared" si="1"/>
        <v>0</v>
      </c>
      <c r="J23" s="11" t="str">
        <f t="shared" si="2"/>
        <v>0</v>
      </c>
      <c r="K23" s="12" t="str">
        <f t="shared" si="3"/>
        <v>0</v>
      </c>
      <c r="L23" s="22" t="str">
        <f t="shared" si="4"/>
        <v>0</v>
      </c>
      <c r="M23" s="23" t="str">
        <f t="shared" si="5"/>
        <v>0</v>
      </c>
      <c r="N23" s="23" t="str">
        <f t="shared" si="6"/>
        <v>0</v>
      </c>
      <c r="O23" s="23" t="str">
        <f t="shared" si="7"/>
        <v>0</v>
      </c>
      <c r="P23" s="139" t="str">
        <f>CONCATENATE("Serial Interface Baud Rate = ",3225600/(VLOOKUP(E23,'Translation Lookup Tables'!C4:D19,2,FALSE)*64+VLOOKUP('T5L CFG - Interpretation'!F23,'Translation Lookup Tables'!C4:D19,2,FALSE)*32+VLOOKUP('T5L CFG - Interpretation'!E24,'Translation Lookup Tables'!C4:D19,2,FALSE)*16+VLOOKUP('T5L CFG - Interpretation'!F24,'Translation Lookup Tables'!C4:D19,2,FALSE)),"bps")</f>
        <v>Serial Interface Baud Rate = 115200bps</v>
      </c>
      <c r="R23" t="s">
        <v>269</v>
      </c>
      <c r="S23" s="44" t="s">
        <v>269</v>
      </c>
      <c r="T23" s="44" t="s">
        <v>269</v>
      </c>
      <c r="U23" s="44" t="s">
        <v>269</v>
      </c>
    </row>
    <row r="24" spans="1:21" ht="13.8" thickBot="1" x14ac:dyDescent="0.3">
      <c r="A24" s="218"/>
      <c r="B24" s="55" t="s">
        <v>68</v>
      </c>
      <c r="C24" s="9" t="str">
        <f>IFERROR(VLOOKUP(VALUE('T5L CFG - HEX'!X$11),'Translation Lookup Tables'!$A$3:$B$19,2,FALSE),VLOOKUP('T5L CFG - HEX'!X$11,'Translation Lookup Tables'!$A$3:$B$19,2,FALSE))</f>
        <v>0001</v>
      </c>
      <c r="D24" s="21" t="str">
        <f>IFERROR(VLOOKUP(VALUE('T5L CFG - HEX'!Y$11),'Translation Lookup Tables'!$A$3:$B$19,2,FALSE),VLOOKUP('T5L CFG - HEX'!Y$11,'Translation Lookup Tables'!$A$3:$B$19,2,FALSE))</f>
        <v>1100</v>
      </c>
      <c r="E24" s="9">
        <f>VLOOKUP(C24,'Translation Lookup Tables'!$B$3:$C$19,2,FALSE)</f>
        <v>1</v>
      </c>
      <c r="F24" s="21" t="str">
        <f>VLOOKUP(D24,'Translation Lookup Tables'!$B$3:$C$19,2,FALSE)</f>
        <v>c</v>
      </c>
      <c r="G24" s="33"/>
      <c r="H24" s="41" t="str">
        <f t="shared" si="0"/>
        <v>0</v>
      </c>
      <c r="I24" s="16" t="str">
        <f t="shared" si="1"/>
        <v>0</v>
      </c>
      <c r="J24" s="16" t="str">
        <f t="shared" si="2"/>
        <v>0</v>
      </c>
      <c r="K24" s="17" t="str">
        <f t="shared" si="3"/>
        <v>1</v>
      </c>
      <c r="L24" s="28" t="str">
        <f t="shared" si="4"/>
        <v>1</v>
      </c>
      <c r="M24" s="42" t="str">
        <f t="shared" si="5"/>
        <v>1</v>
      </c>
      <c r="N24" s="42" t="str">
        <f t="shared" si="6"/>
        <v>0</v>
      </c>
      <c r="O24" s="42" t="str">
        <f t="shared" si="7"/>
        <v>0</v>
      </c>
      <c r="P24" s="140"/>
    </row>
    <row r="25" spans="1:21" x14ac:dyDescent="0.25">
      <c r="A25" s="44" t="s">
        <v>124</v>
      </c>
      <c r="B25" s="37" t="s">
        <v>69</v>
      </c>
      <c r="C25" s="8" t="str">
        <f>IFERROR(VLOOKUP(VALUE('T5L CFG - HEX'!Z$11),'Translation Lookup Tables'!$A$3:$B$19,2,FALSE),VLOOKUP('T5L CFG - HEX'!Z$11,'Translation Lookup Tables'!$A$3:$B$19,2,FALSE))</f>
        <v>0110</v>
      </c>
      <c r="D25" s="20" t="str">
        <f>IFERROR(VLOOKUP(VALUE('T5L CFG - HEX'!AA$11),'Translation Lookup Tables'!$A$3:$B$19,2,FALSE),VLOOKUP('T5L CFG - HEX'!AA$11,'Translation Lookup Tables'!$A$3:$B$19,2,FALSE))</f>
        <v>0100</v>
      </c>
      <c r="E25" s="8">
        <f>VLOOKUP(C25,'Translation Lookup Tables'!$B$3:$C$19,2,FALSE)</f>
        <v>6</v>
      </c>
      <c r="F25" s="20">
        <f>VLOOKUP(D25,'Translation Lookup Tables'!$B$3:$C$19,2,FALSE)</f>
        <v>4</v>
      </c>
      <c r="G25" s="32"/>
      <c r="H25" s="13" t="str">
        <f t="shared" si="0"/>
        <v>0</v>
      </c>
      <c r="I25" s="14" t="str">
        <f t="shared" si="1"/>
        <v>1</v>
      </c>
      <c r="J25" s="14" t="str">
        <f t="shared" si="2"/>
        <v>1</v>
      </c>
      <c r="K25" s="15" t="str">
        <f t="shared" si="3"/>
        <v>0</v>
      </c>
      <c r="L25" s="25" t="str">
        <f t="shared" si="4"/>
        <v>0</v>
      </c>
      <c r="M25" s="26" t="str">
        <f t="shared" si="5"/>
        <v>1</v>
      </c>
      <c r="N25" s="26" t="str">
        <f t="shared" si="6"/>
        <v>0</v>
      </c>
      <c r="O25" s="27" t="str">
        <f t="shared" si="7"/>
        <v>0</v>
      </c>
      <c r="P25" t="str">
        <f>CONCATENATE("Normal + Startup backlight brightness = ",'T5L CFG - Interpretation'!E25*16+'T5L CFG - Interpretation'!F25,"%")</f>
        <v>Normal + Startup backlight brightness = 100%</v>
      </c>
      <c r="R25" t="s">
        <v>257</v>
      </c>
      <c r="S25" s="44" t="s">
        <v>257</v>
      </c>
      <c r="T25" s="44" t="s">
        <v>257</v>
      </c>
      <c r="U25" s="44" t="s">
        <v>257</v>
      </c>
    </row>
    <row r="26" spans="1:21" ht="13.8" thickBot="1" x14ac:dyDescent="0.3">
      <c r="A26" s="44" t="s">
        <v>125</v>
      </c>
      <c r="B26" s="37" t="s">
        <v>70</v>
      </c>
      <c r="C26" s="8" t="str">
        <f>IFERROR(VLOOKUP(VALUE('T5L CFG - HEX'!AB$11),'Translation Lookup Tables'!$A$3:$B$19,2,FALSE),VLOOKUP('T5L CFG - HEX'!AB$11,'Translation Lookup Tables'!$A$3:$B$19,2,FALSE))</f>
        <v>0000</v>
      </c>
      <c r="D26" s="20" t="str">
        <f>IFERROR(VLOOKUP(VALUE('T5L CFG - HEX'!AC$11),'Translation Lookup Tables'!$A$3:$B$19,2,FALSE),VLOOKUP('T5L CFG - HEX'!AC$11,'Translation Lookup Tables'!$A$3:$B$19,2,FALSE))</f>
        <v>1010</v>
      </c>
      <c r="E26" s="8">
        <f>VLOOKUP(C26,'Translation Lookup Tables'!$B$3:$C$19,2,FALSE)</f>
        <v>0</v>
      </c>
      <c r="F26" s="20" t="str">
        <f>VLOOKUP(D26,'Translation Lookup Tables'!$B$3:$C$19,2,FALSE)</f>
        <v>a</v>
      </c>
      <c r="G26" s="32"/>
      <c r="H26" s="13" t="str">
        <f t="shared" si="0"/>
        <v>0</v>
      </c>
      <c r="I26" s="14" t="str">
        <f t="shared" si="1"/>
        <v>0</v>
      </c>
      <c r="J26" s="14" t="str">
        <f t="shared" si="2"/>
        <v>0</v>
      </c>
      <c r="K26" s="15" t="str">
        <f t="shared" si="3"/>
        <v>0</v>
      </c>
      <c r="L26" s="25" t="str">
        <f t="shared" si="4"/>
        <v>1</v>
      </c>
      <c r="M26" s="26" t="str">
        <f t="shared" si="5"/>
        <v>0</v>
      </c>
      <c r="N26" s="26" t="str">
        <f t="shared" si="6"/>
        <v>1</v>
      </c>
      <c r="O26" s="27" t="str">
        <f t="shared" si="7"/>
        <v>0</v>
      </c>
      <c r="P26" t="str">
        <f>CONCATENATE("Standby backlight brightness = ",'T5L CFG - Interpretation'!E26*16+VLOOKUP('T5L CFG - Interpretation'!F26,'Translation Lookup Tables'!$C$3:$D$19,2,FALSE),"%")</f>
        <v>Standby backlight brightness = 10%</v>
      </c>
      <c r="R26" t="s">
        <v>258</v>
      </c>
      <c r="S26" s="44" t="s">
        <v>260</v>
      </c>
      <c r="T26" s="44" t="s">
        <v>258</v>
      </c>
      <c r="U26" s="44" t="s">
        <v>258</v>
      </c>
    </row>
    <row r="27" spans="1:21" x14ac:dyDescent="0.25">
      <c r="A27" s="219" t="s">
        <v>126</v>
      </c>
      <c r="B27" s="36" t="s">
        <v>71</v>
      </c>
      <c r="C27" s="39" t="str">
        <f>IFERROR(VLOOKUP(VALUE('T5L CFG - HEX'!AD$11),'Translation Lookup Tables'!$A$3:$B$19,2,FALSE),VLOOKUP('T5L CFG - HEX'!AD$11,'Translation Lookup Tables'!$A$3:$B$19,2,FALSE))</f>
        <v>0000</v>
      </c>
      <c r="D27" s="40" t="str">
        <f>IFERROR(VLOOKUP(VALUE('T5L CFG - HEX'!AE$11),'Translation Lookup Tables'!$A$3:$B$19,2,FALSE),VLOOKUP('T5L CFG - HEX'!AE$11,'Translation Lookup Tables'!$A$3:$B$19,2,FALSE))</f>
        <v>1011</v>
      </c>
      <c r="E27" s="39">
        <f>VLOOKUP(C27,'Translation Lookup Tables'!$B$3:$C$19,2,FALSE)</f>
        <v>0</v>
      </c>
      <c r="F27" s="40" t="str">
        <f>VLOOKUP(D27,'Translation Lookup Tables'!$B$3:$C$19,2,FALSE)</f>
        <v>b</v>
      </c>
      <c r="G27" s="31"/>
      <c r="H27" s="10" t="str">
        <f t="shared" si="0"/>
        <v>0</v>
      </c>
      <c r="I27" s="11" t="str">
        <f t="shared" si="1"/>
        <v>0</v>
      </c>
      <c r="J27" s="11" t="str">
        <f t="shared" si="2"/>
        <v>0</v>
      </c>
      <c r="K27" s="12" t="str">
        <f t="shared" si="3"/>
        <v>0</v>
      </c>
      <c r="L27" s="22" t="str">
        <f t="shared" si="4"/>
        <v>1</v>
      </c>
      <c r="M27" s="23" t="str">
        <f t="shared" si="5"/>
        <v>0</v>
      </c>
      <c r="N27" s="23" t="str">
        <f t="shared" si="6"/>
        <v>1</v>
      </c>
      <c r="O27" s="24" t="str">
        <f t="shared" si="7"/>
        <v>1</v>
      </c>
      <c r="P27" t="str">
        <f>CONCATENATE("Backlight wakeup time after standby = ",(VLOOKUP(E27,'Translation Lookup Tables'!C4:D19,2,FALSE)*64+VLOOKUP('T5L CFG - Interpretation'!F27,'Translation Lookup Tables'!C4:D19,2,FALSE)*32+VLOOKUP('T5L CFG - Interpretation'!E28,'Translation Lookup Tables'!C4:D19,2,FALSE)*16+VLOOKUP('T5L CFG - Interpretation'!F28,'Translation Lookup Tables'!C4:D19,2,FALSE))*10,"ms")</f>
        <v>Backlight wakeup time after standby = 5360ms</v>
      </c>
      <c r="R27" t="s">
        <v>267</v>
      </c>
      <c r="S27" s="44" t="s">
        <v>267</v>
      </c>
      <c r="T27" s="44" t="s">
        <v>268</v>
      </c>
      <c r="U27" s="44" t="s">
        <v>267</v>
      </c>
    </row>
    <row r="28" spans="1:21" ht="13.8" thickBot="1" x14ac:dyDescent="0.3">
      <c r="A28" s="220"/>
      <c r="B28" s="38" t="s">
        <v>72</v>
      </c>
      <c r="C28" s="9" t="str">
        <f>IFERROR(VLOOKUP(VALUE('T5L CFG - HEX'!AF$11),'Translation Lookup Tables'!$A$3:$B$19,2,FALSE),VLOOKUP('T5L CFG - HEX'!AF$11,'Translation Lookup Tables'!$A$3:$B$19,2,FALSE))</f>
        <v>1011</v>
      </c>
      <c r="D28" s="21" t="str">
        <f>IFERROR(VLOOKUP(VALUE('T5L CFG - HEX'!AG$11),'Translation Lookup Tables'!$A$3:$B$19,2,FALSE),VLOOKUP('T5L CFG - HEX'!AG$11,'Translation Lookup Tables'!$A$3:$B$19,2,FALSE))</f>
        <v>1000</v>
      </c>
      <c r="E28" s="9" t="str">
        <f>VLOOKUP(C28,'Translation Lookup Tables'!$B$3:$C$19,2,FALSE)</f>
        <v>b</v>
      </c>
      <c r="F28" s="21">
        <f>VLOOKUP(D28,'Translation Lookup Tables'!$B$3:$C$19,2,FALSE)</f>
        <v>8</v>
      </c>
      <c r="G28" s="33"/>
      <c r="H28" s="41" t="str">
        <f t="shared" si="0"/>
        <v>1</v>
      </c>
      <c r="I28" s="16" t="str">
        <f t="shared" si="1"/>
        <v>0</v>
      </c>
      <c r="J28" s="16" t="str">
        <f t="shared" si="2"/>
        <v>1</v>
      </c>
      <c r="K28" s="17" t="str">
        <f t="shared" si="3"/>
        <v>1</v>
      </c>
      <c r="L28" s="28" t="str">
        <f t="shared" si="4"/>
        <v>1</v>
      </c>
      <c r="M28" s="42" t="str">
        <f t="shared" si="5"/>
        <v>0</v>
      </c>
      <c r="N28" s="42" t="str">
        <f t="shared" si="6"/>
        <v>0</v>
      </c>
      <c r="O28" s="43" t="str">
        <f t="shared" si="7"/>
        <v>0</v>
      </c>
      <c r="P28" s="184" t="s">
        <v>270</v>
      </c>
    </row>
    <row r="29" spans="1:21" ht="13.8" thickBot="1" x14ac:dyDescent="0.3">
      <c r="A29" s="221" t="s">
        <v>158</v>
      </c>
      <c r="B29" s="81" t="s">
        <v>21</v>
      </c>
      <c r="C29" s="82" t="str">
        <f>IFERROR(VLOOKUP(VALUE('T5L CFG - HEX'!B$12),'Translation Lookup Tables'!$A$3:$B$19,2,FALSE),VLOOKUP('T5L CFG - HEX'!B$12,'Translation Lookup Tables'!$A$3:$B$19,2,FALSE))</f>
        <v>0000</v>
      </c>
      <c r="D29" s="83" t="str">
        <f>IFERROR(VLOOKUP(VALUE('T5L CFG - HEX'!C$12),'Translation Lookup Tables'!$A$3:$B$19,2,FALSE),VLOOKUP('T5L CFG - HEX'!C$12,'Translation Lookup Tables'!$A$3:$B$19,2,FALSE))</f>
        <v>0000</v>
      </c>
      <c r="E29" s="82">
        <f>VLOOKUP(C29,'Translation Lookup Tables'!$B$3:$C$19,2,FALSE)</f>
        <v>0</v>
      </c>
      <c r="F29" s="83">
        <f>VLOOKUP(D29,'Translation Lookup Tables'!$B$3:$C$19,2,FALSE)</f>
        <v>0</v>
      </c>
      <c r="G29" s="84"/>
      <c r="H29" s="85" t="str">
        <f>MID($C29,1,1)</f>
        <v>0</v>
      </c>
      <c r="I29" s="86" t="str">
        <f>MID($C29,2,1)</f>
        <v>0</v>
      </c>
      <c r="J29" s="86" t="str">
        <f>MID($C29,3,1)</f>
        <v>0</v>
      </c>
      <c r="K29" s="87" t="str">
        <f>MID($C29,4,1)</f>
        <v>0</v>
      </c>
      <c r="L29" s="88" t="str">
        <f t="shared" si="4"/>
        <v>0</v>
      </c>
      <c r="M29" s="89" t="str">
        <f t="shared" si="5"/>
        <v>0</v>
      </c>
      <c r="N29" s="89" t="str">
        <f t="shared" si="6"/>
        <v>0</v>
      </c>
      <c r="O29" s="90" t="str">
        <f t="shared" si="7"/>
        <v>0</v>
      </c>
      <c r="P29" s="91" t="s">
        <v>198</v>
      </c>
    </row>
    <row r="30" spans="1:21" ht="13.8" thickBot="1" x14ac:dyDescent="0.3">
      <c r="A30" s="222"/>
      <c r="B30" s="92" t="s">
        <v>91</v>
      </c>
      <c r="C30" s="93" t="str">
        <f>IFERROR(VLOOKUP(VALUE('T5L CFG - HEX'!D$12),'Translation Lookup Tables'!$A$3:$B$19,2,FALSE),VLOOKUP('T5L CFG - HEX'!D$12,'Translation Lookup Tables'!$A$3:$B$19,2,FALSE))</f>
        <v>0000</v>
      </c>
      <c r="D30" s="94" t="str">
        <f>IFERROR(VLOOKUP(VALUE('T5L CFG - HEX'!E$12),'Translation Lookup Tables'!$A$3:$B$19,2,FALSE),VLOOKUP('T5L CFG - HEX'!E$12,'Translation Lookup Tables'!$A$3:$B$19,2,FALSE))</f>
        <v>0000</v>
      </c>
      <c r="E30" s="93">
        <f>VLOOKUP(C30,'Translation Lookup Tables'!$B$3:$C$19,2,FALSE)</f>
        <v>0</v>
      </c>
      <c r="F30" s="94">
        <f>VLOOKUP(D30,'Translation Lookup Tables'!$B$3:$C$19,2,FALSE)</f>
        <v>0</v>
      </c>
      <c r="G30" s="95"/>
      <c r="H30" s="96" t="str">
        <f t="shared" si="0"/>
        <v>0</v>
      </c>
      <c r="I30" s="97" t="str">
        <f t="shared" si="1"/>
        <v>0</v>
      </c>
      <c r="J30" s="97" t="str">
        <f t="shared" si="2"/>
        <v>0</v>
      </c>
      <c r="K30" s="98" t="str">
        <f t="shared" si="3"/>
        <v>0</v>
      </c>
      <c r="L30" s="99" t="str">
        <f t="shared" si="4"/>
        <v>0</v>
      </c>
      <c r="M30" s="100" t="str">
        <f t="shared" si="5"/>
        <v>0</v>
      </c>
      <c r="N30" s="100" t="str">
        <f t="shared" si="6"/>
        <v>0</v>
      </c>
      <c r="O30" s="101" t="str">
        <f t="shared" si="7"/>
        <v>0</v>
      </c>
      <c r="P30" s="102" t="s">
        <v>199</v>
      </c>
    </row>
    <row r="31" spans="1:21" ht="13.8" thickBot="1" x14ac:dyDescent="0.3">
      <c r="A31" s="103" t="s">
        <v>200</v>
      </c>
      <c r="B31" s="104" t="s">
        <v>92</v>
      </c>
      <c r="C31" s="105" t="str">
        <f>IFERROR(VLOOKUP(VALUE('T5L CFG - HEX'!F$12),'Translation Lookup Tables'!$A$3:$B$19,2,FALSE),VLOOKUP('T5L CFG - HEX'!F$12,'Translation Lookup Tables'!$A$3:$B$19,2,FALSE))</f>
        <v>0000</v>
      </c>
      <c r="D31" s="106" t="str">
        <f>IFERROR(VLOOKUP(VALUE('T5L CFG - HEX'!G$12),'Translation Lookup Tables'!$A$3:$B$19,2,FALSE),VLOOKUP('T5L CFG - HEX'!G$12,'Translation Lookup Tables'!$A$3:$B$19,2,FALSE))</f>
        <v>0000</v>
      </c>
      <c r="E31" s="105">
        <f>VLOOKUP(C31,'Translation Lookup Tables'!$B$3:$C$19,2,FALSE)</f>
        <v>0</v>
      </c>
      <c r="F31" s="106">
        <f>VLOOKUP(D31,'Translation Lookup Tables'!$B$3:$C$19,2,FALSE)</f>
        <v>0</v>
      </c>
      <c r="G31" s="107"/>
      <c r="H31" s="108" t="str">
        <f t="shared" ref="H31:H44" si="8">MID($C31,1,1)</f>
        <v>0</v>
      </c>
      <c r="I31" s="109" t="str">
        <f t="shared" ref="I31:I44" si="9">MID($C31,2,1)</f>
        <v>0</v>
      </c>
      <c r="J31" s="109" t="str">
        <f t="shared" ref="J31:J44" si="10">MID($C31,3,1)</f>
        <v>0</v>
      </c>
      <c r="K31" s="110" t="str">
        <f t="shared" ref="K31:K44" si="11">MID($C31,4,1)</f>
        <v>0</v>
      </c>
      <c r="L31" s="111" t="str">
        <f t="shared" si="4"/>
        <v>0</v>
      </c>
      <c r="M31" s="112" t="str">
        <f t="shared" si="5"/>
        <v>0</v>
      </c>
      <c r="N31" s="112" t="str">
        <f t="shared" si="6"/>
        <v>0</v>
      </c>
      <c r="O31" s="113" t="str">
        <f t="shared" si="7"/>
        <v>0</v>
      </c>
      <c r="P31" s="114"/>
    </row>
    <row r="32" spans="1:21" ht="13.8" thickBot="1" x14ac:dyDescent="0.3">
      <c r="A32" s="103" t="s">
        <v>201</v>
      </c>
      <c r="B32" s="104" t="s">
        <v>93</v>
      </c>
      <c r="C32" s="105" t="str">
        <f>IFERROR(VLOOKUP(VALUE('T5L CFG - HEX'!H$12),'Translation Lookup Tables'!$A$3:$B$19,2,FALSE),VLOOKUP('T5L CFG - HEX'!H$12,'Translation Lookup Tables'!$A$3:$B$19,2,FALSE))</f>
        <v>0000</v>
      </c>
      <c r="D32" s="106" t="str">
        <f>IFERROR(VLOOKUP(VALUE('T5L CFG - HEX'!I$12),'Translation Lookup Tables'!$A$3:$B$19,2,FALSE),VLOOKUP('T5L CFG - HEX'!I$12,'Translation Lookup Tables'!$A$3:$B$19,2,FALSE))</f>
        <v>0000</v>
      </c>
      <c r="E32" s="105">
        <f>VLOOKUP(C32,'Translation Lookup Tables'!$B$3:$C$19,2,FALSE)</f>
        <v>0</v>
      </c>
      <c r="F32" s="106">
        <f>VLOOKUP(D32,'Translation Lookup Tables'!$B$3:$C$19,2,FALSE)</f>
        <v>0</v>
      </c>
      <c r="G32" s="107"/>
      <c r="H32" s="108" t="str">
        <f t="shared" si="8"/>
        <v>0</v>
      </c>
      <c r="I32" s="109" t="str">
        <f t="shared" si="9"/>
        <v>0</v>
      </c>
      <c r="J32" s="109" t="str">
        <f t="shared" si="10"/>
        <v>0</v>
      </c>
      <c r="K32" s="110" t="str">
        <f t="shared" si="11"/>
        <v>0</v>
      </c>
      <c r="L32" s="111" t="str">
        <f t="shared" si="4"/>
        <v>0</v>
      </c>
      <c r="M32" s="112" t="str">
        <f t="shared" si="5"/>
        <v>0</v>
      </c>
      <c r="N32" s="112" t="str">
        <f t="shared" si="6"/>
        <v>0</v>
      </c>
      <c r="O32" s="113" t="str">
        <f t="shared" si="7"/>
        <v>0</v>
      </c>
      <c r="P32" s="114"/>
    </row>
    <row r="33" spans="1:16" x14ac:dyDescent="0.25">
      <c r="A33" s="115" t="s">
        <v>202</v>
      </c>
      <c r="B33" s="81" t="s">
        <v>94</v>
      </c>
      <c r="C33" s="82" t="str">
        <f>IFERROR(VLOOKUP(VALUE('T5L CFG - HEX'!J$12),'Translation Lookup Tables'!$A$3:$B$19,2,FALSE),VLOOKUP('T5L CFG - HEX'!J$12,'Translation Lookup Tables'!$A$3:$B$19,2,FALSE))</f>
        <v>0000</v>
      </c>
      <c r="D33" s="83" t="str">
        <f>IFERROR(VLOOKUP(VALUE('T5L CFG - HEX'!K$12),'Translation Lookup Tables'!$A$3:$B$19,2,FALSE),VLOOKUP('T5L CFG - HEX'!K$12,'Translation Lookup Tables'!$A$3:$B$19,2,FALSE))</f>
        <v>0000</v>
      </c>
      <c r="E33" s="82">
        <f>VLOOKUP(C33,'Translation Lookup Tables'!$B$3:$C$19,2,FALSE)</f>
        <v>0</v>
      </c>
      <c r="F33" s="83">
        <f>VLOOKUP(D33,'Translation Lookup Tables'!$B$3:$C$19,2,FALSE)</f>
        <v>0</v>
      </c>
      <c r="G33" s="84"/>
      <c r="H33" s="85" t="str">
        <f t="shared" si="8"/>
        <v>0</v>
      </c>
      <c r="I33" s="86" t="str">
        <f t="shared" si="9"/>
        <v>0</v>
      </c>
      <c r="J33" s="86" t="str">
        <f t="shared" si="10"/>
        <v>0</v>
      </c>
      <c r="K33" s="87" t="str">
        <f t="shared" si="11"/>
        <v>0</v>
      </c>
      <c r="L33" s="88" t="str">
        <f t="shared" si="4"/>
        <v>0</v>
      </c>
      <c r="M33" s="89" t="str">
        <f t="shared" si="5"/>
        <v>0</v>
      </c>
      <c r="N33" s="89" t="str">
        <f t="shared" si="6"/>
        <v>0</v>
      </c>
      <c r="O33" s="90" t="str">
        <f t="shared" si="7"/>
        <v>0</v>
      </c>
      <c r="P33" s="114"/>
    </row>
    <row r="34" spans="1:16" x14ac:dyDescent="0.25">
      <c r="A34" s="116" t="s">
        <v>203</v>
      </c>
      <c r="B34" s="117" t="s">
        <v>95</v>
      </c>
      <c r="C34" s="118" t="str">
        <f>IFERROR(VLOOKUP(VALUE('T5L CFG - HEX'!L$12),'Translation Lookup Tables'!$A$3:$B$19,2,FALSE),VLOOKUP('T5L CFG - HEX'!L$12,'Translation Lookup Tables'!$A$3:$B$19,2,FALSE))</f>
        <v>0000</v>
      </c>
      <c r="D34" s="119" t="str">
        <f>IFERROR(VLOOKUP(VALUE('T5L CFG - HEX'!M$12),'Translation Lookup Tables'!$A$3:$B$19,2,FALSE),VLOOKUP('T5L CFG - HEX'!M$12,'Translation Lookup Tables'!$A$3:$B$19,2,FALSE))</f>
        <v>0000</v>
      </c>
      <c r="E34" s="118">
        <f>VLOOKUP(C34,'Translation Lookup Tables'!$B$3:$C$19,2,FALSE)</f>
        <v>0</v>
      </c>
      <c r="F34" s="119">
        <f>VLOOKUP(D34,'Translation Lookup Tables'!$B$3:$C$19,2,FALSE)</f>
        <v>0</v>
      </c>
      <c r="G34" s="120"/>
      <c r="H34" s="121" t="str">
        <f t="shared" si="8"/>
        <v>0</v>
      </c>
      <c r="I34" s="122" t="str">
        <f t="shared" si="9"/>
        <v>0</v>
      </c>
      <c r="J34" s="122" t="str">
        <f t="shared" si="10"/>
        <v>0</v>
      </c>
      <c r="K34" s="123" t="str">
        <f t="shared" si="11"/>
        <v>0</v>
      </c>
      <c r="L34" s="124" t="str">
        <f t="shared" si="4"/>
        <v>0</v>
      </c>
      <c r="M34" s="125" t="str">
        <f t="shared" si="5"/>
        <v>0</v>
      </c>
      <c r="N34" s="125" t="str">
        <f t="shared" si="6"/>
        <v>0</v>
      </c>
      <c r="O34" s="126" t="str">
        <f t="shared" si="7"/>
        <v>0</v>
      </c>
      <c r="P34" s="114"/>
    </row>
    <row r="35" spans="1:16" x14ac:dyDescent="0.25">
      <c r="A35" s="223" t="s">
        <v>204</v>
      </c>
      <c r="B35" s="117" t="s">
        <v>96</v>
      </c>
      <c r="C35" s="118" t="str">
        <f>IFERROR(VLOOKUP(VALUE('T5L CFG - HEX'!N$12),'Translation Lookup Tables'!$A$3:$B$19,2,FALSE),VLOOKUP('T5L CFG - HEX'!N$12,'Translation Lookup Tables'!$A$3:$B$19,2,FALSE))</f>
        <v>0000</v>
      </c>
      <c r="D35" s="119" t="str">
        <f>IFERROR(VLOOKUP(VALUE('T5L CFG - HEX'!O$12),'Translation Lookup Tables'!$A$3:$B$19,2,FALSE),VLOOKUP('T5L CFG - HEX'!O$12,'Translation Lookup Tables'!$A$3:$B$19,2,FALSE))</f>
        <v>0000</v>
      </c>
      <c r="E35" s="118">
        <f>VLOOKUP(C35,'Translation Lookup Tables'!$B$3:$C$19,2,FALSE)</f>
        <v>0</v>
      </c>
      <c r="F35" s="119">
        <f>VLOOKUP(D35,'Translation Lookup Tables'!$B$3:$C$19,2,FALSE)</f>
        <v>0</v>
      </c>
      <c r="G35" s="120"/>
      <c r="H35" s="121" t="str">
        <f t="shared" si="8"/>
        <v>0</v>
      </c>
      <c r="I35" s="122" t="str">
        <f t="shared" si="9"/>
        <v>0</v>
      </c>
      <c r="J35" s="122" t="str">
        <f t="shared" si="10"/>
        <v>0</v>
      </c>
      <c r="K35" s="123" t="str">
        <f t="shared" si="11"/>
        <v>0</v>
      </c>
      <c r="L35" s="124" t="str">
        <f t="shared" si="4"/>
        <v>0</v>
      </c>
      <c r="M35" s="125" t="str">
        <f t="shared" si="5"/>
        <v>0</v>
      </c>
      <c r="N35" s="125" t="str">
        <f t="shared" si="6"/>
        <v>0</v>
      </c>
      <c r="O35" s="126" t="str">
        <f t="shared" si="7"/>
        <v>0</v>
      </c>
      <c r="P35" s="224"/>
    </row>
    <row r="36" spans="1:16" x14ac:dyDescent="0.25">
      <c r="A36" s="223"/>
      <c r="B36" s="117" t="s">
        <v>97</v>
      </c>
      <c r="C36" s="118" t="str">
        <f>IFERROR(VLOOKUP(VALUE('T5L CFG - HEX'!P$12),'Translation Lookup Tables'!$A$3:$B$19,2,FALSE),VLOOKUP('T5L CFG - HEX'!P$12,'Translation Lookup Tables'!$A$3:$B$19,2,FALSE))</f>
        <v>0000</v>
      </c>
      <c r="D36" s="119" t="str">
        <f>IFERROR(VLOOKUP(VALUE('T5L CFG - HEX'!Q$12),'Translation Lookup Tables'!$A$3:$B$19,2,FALSE),VLOOKUP('T5L CFG - HEX'!Q$12,'Translation Lookup Tables'!$A$3:$B$19,2,FALSE))</f>
        <v>0000</v>
      </c>
      <c r="E36" s="118">
        <f>VLOOKUP(C36,'Translation Lookup Tables'!$B$3:$C$19,2,FALSE)</f>
        <v>0</v>
      </c>
      <c r="F36" s="119">
        <f>VLOOKUP(D36,'Translation Lookup Tables'!$B$3:$C$19,2,FALSE)</f>
        <v>0</v>
      </c>
      <c r="G36" s="120"/>
      <c r="H36" s="121" t="str">
        <f t="shared" si="8"/>
        <v>0</v>
      </c>
      <c r="I36" s="122" t="str">
        <f t="shared" si="9"/>
        <v>0</v>
      </c>
      <c r="J36" s="122" t="str">
        <f t="shared" si="10"/>
        <v>0</v>
      </c>
      <c r="K36" s="123" t="str">
        <f t="shared" si="11"/>
        <v>0</v>
      </c>
      <c r="L36" s="124" t="str">
        <f t="shared" si="4"/>
        <v>0</v>
      </c>
      <c r="M36" s="125" t="str">
        <f t="shared" si="5"/>
        <v>0</v>
      </c>
      <c r="N36" s="125" t="str">
        <f t="shared" si="6"/>
        <v>0</v>
      </c>
      <c r="O36" s="126" t="str">
        <f t="shared" si="7"/>
        <v>0</v>
      </c>
      <c r="P36" s="224"/>
    </row>
    <row r="37" spans="1:16" ht="13.8" thickBot="1" x14ac:dyDescent="0.3">
      <c r="A37" s="127" t="s">
        <v>205</v>
      </c>
      <c r="B37" s="92" t="s">
        <v>98</v>
      </c>
      <c r="C37" s="93" t="str">
        <f>IFERROR(VLOOKUP(VALUE('T5L CFG - HEX'!R$12),'Translation Lookup Tables'!$A$3:$B$19,2,FALSE),VLOOKUP('T5L CFG - HEX'!R$12,'Translation Lookup Tables'!$A$3:$B$19,2,FALSE))</f>
        <v>0000</v>
      </c>
      <c r="D37" s="94" t="str">
        <f>IFERROR(VLOOKUP(VALUE('T5L CFG - HEX'!S$12),'Translation Lookup Tables'!$A$3:$B$19,2,FALSE),VLOOKUP('T5L CFG - HEX'!S$12,'Translation Lookup Tables'!$A$3:$B$19,2,FALSE))</f>
        <v>0000</v>
      </c>
      <c r="E37" s="93">
        <f>VLOOKUP(C37,'Translation Lookup Tables'!$B$3:$C$19,2,FALSE)</f>
        <v>0</v>
      </c>
      <c r="F37" s="94">
        <f>VLOOKUP(D37,'Translation Lookup Tables'!$B$3:$C$19,2,FALSE)</f>
        <v>0</v>
      </c>
      <c r="G37" s="95"/>
      <c r="H37" s="96" t="str">
        <f t="shared" si="8"/>
        <v>0</v>
      </c>
      <c r="I37" s="97" t="str">
        <f t="shared" si="9"/>
        <v>0</v>
      </c>
      <c r="J37" s="97" t="str">
        <f t="shared" si="10"/>
        <v>0</v>
      </c>
      <c r="K37" s="98" t="str">
        <f t="shared" si="11"/>
        <v>0</v>
      </c>
      <c r="L37" s="99" t="str">
        <f t="shared" si="4"/>
        <v>0</v>
      </c>
      <c r="M37" s="100" t="str">
        <f t="shared" si="5"/>
        <v>0</v>
      </c>
      <c r="N37" s="100" t="str">
        <f t="shared" si="6"/>
        <v>0</v>
      </c>
      <c r="O37" s="101" t="str">
        <f t="shared" si="7"/>
        <v>0</v>
      </c>
      <c r="P37" s="114"/>
    </row>
    <row r="38" spans="1:16" x14ac:dyDescent="0.25">
      <c r="A38" s="116" t="s">
        <v>206</v>
      </c>
      <c r="B38" s="117" t="s">
        <v>99</v>
      </c>
      <c r="C38" s="118" t="str">
        <f>IFERROR(VLOOKUP(VALUE('T5L CFG - HEX'!T$12),'Translation Lookup Tables'!$A$3:$B$19,2,FALSE),VLOOKUP('T5L CFG - HEX'!T$12,'Translation Lookup Tables'!$A$3:$B$19,2,FALSE))</f>
        <v>0000</v>
      </c>
      <c r="D38" s="119" t="str">
        <f>IFERROR(VLOOKUP(VALUE('T5L CFG - HEX'!U$12),'Translation Lookup Tables'!$A$3:$B$19,2,FALSE),VLOOKUP('T5L CFG - HEX'!U$12,'Translation Lookup Tables'!$A$3:$B$19,2,FALSE))</f>
        <v>0000</v>
      </c>
      <c r="E38" s="118">
        <f>VLOOKUP(C38,'Translation Lookup Tables'!$B$3:$C$19,2,FALSE)</f>
        <v>0</v>
      </c>
      <c r="F38" s="119">
        <f>VLOOKUP(D38,'Translation Lookup Tables'!$B$3:$C$19,2,FALSE)</f>
        <v>0</v>
      </c>
      <c r="G38" s="120"/>
      <c r="H38" s="121" t="str">
        <f t="shared" si="8"/>
        <v>0</v>
      </c>
      <c r="I38" s="122" t="str">
        <f t="shared" si="9"/>
        <v>0</v>
      </c>
      <c r="J38" s="122" t="str">
        <f t="shared" si="10"/>
        <v>0</v>
      </c>
      <c r="K38" s="123" t="str">
        <f t="shared" si="11"/>
        <v>0</v>
      </c>
      <c r="L38" s="124" t="str">
        <f t="shared" si="4"/>
        <v>0</v>
      </c>
      <c r="M38" s="125" t="str">
        <f t="shared" si="5"/>
        <v>0</v>
      </c>
      <c r="N38" s="125" t="str">
        <f t="shared" si="6"/>
        <v>0</v>
      </c>
      <c r="O38" s="126" t="str">
        <f t="shared" si="7"/>
        <v>0</v>
      </c>
      <c r="P38" s="114"/>
    </row>
    <row r="39" spans="1:16" x14ac:dyDescent="0.25">
      <c r="A39" s="116" t="s">
        <v>207</v>
      </c>
      <c r="B39" s="117" t="s">
        <v>100</v>
      </c>
      <c r="C39" s="118" t="str">
        <f>IFERROR(VLOOKUP(VALUE('T5L CFG - HEX'!V$12),'Translation Lookup Tables'!$A$3:$B$19,2,FALSE),VLOOKUP('T5L CFG - HEX'!V$12,'Translation Lookup Tables'!$A$3:$B$19,2,FALSE))</f>
        <v>0000</v>
      </c>
      <c r="D39" s="119" t="str">
        <f>IFERROR(VLOOKUP(VALUE('T5L CFG - HEX'!W$12),'Translation Lookup Tables'!$A$3:$B$19,2,FALSE),VLOOKUP('T5L CFG - HEX'!W$12,'Translation Lookup Tables'!$A$3:$B$19,2,FALSE))</f>
        <v>0000</v>
      </c>
      <c r="E39" s="118">
        <f>VLOOKUP(C39,'Translation Lookup Tables'!$B$3:$C$19,2,FALSE)</f>
        <v>0</v>
      </c>
      <c r="F39" s="119">
        <f>VLOOKUP(D39,'Translation Lookup Tables'!$B$3:$C$19,2,FALSE)</f>
        <v>0</v>
      </c>
      <c r="G39" s="120"/>
      <c r="H39" s="121" t="str">
        <f t="shared" si="8"/>
        <v>0</v>
      </c>
      <c r="I39" s="122" t="str">
        <f t="shared" si="9"/>
        <v>0</v>
      </c>
      <c r="J39" s="122" t="str">
        <f t="shared" si="10"/>
        <v>0</v>
      </c>
      <c r="K39" s="123" t="str">
        <f t="shared" si="11"/>
        <v>0</v>
      </c>
      <c r="L39" s="124" t="str">
        <f t="shared" si="4"/>
        <v>0</v>
      </c>
      <c r="M39" s="125" t="str">
        <f t="shared" si="5"/>
        <v>0</v>
      </c>
      <c r="N39" s="125" t="str">
        <f t="shared" si="6"/>
        <v>0</v>
      </c>
      <c r="O39" s="126" t="str">
        <f t="shared" si="7"/>
        <v>0</v>
      </c>
      <c r="P39" s="114"/>
    </row>
    <row r="40" spans="1:16" x14ac:dyDescent="0.25">
      <c r="A40" s="223" t="s">
        <v>208</v>
      </c>
      <c r="B40" s="117" t="s">
        <v>101</v>
      </c>
      <c r="C40" s="118" t="str">
        <f>IFERROR(VLOOKUP(VALUE('T5L CFG - HEX'!X$12),'Translation Lookup Tables'!$A$3:$B$19,2,FALSE),VLOOKUP('T5L CFG - HEX'!X$12,'Translation Lookup Tables'!$A$3:$B$19,2,FALSE))</f>
        <v>0000</v>
      </c>
      <c r="D40" s="119" t="str">
        <f>IFERROR(VLOOKUP(VALUE('T5L CFG - HEX'!Y$12),'Translation Lookup Tables'!$A$3:$B$19,2,FALSE),VLOOKUP('T5L CFG - HEX'!Y$12,'Translation Lookup Tables'!$A$3:$B$19,2,FALSE))</f>
        <v>0000</v>
      </c>
      <c r="E40" s="118">
        <f>VLOOKUP(C40,'Translation Lookup Tables'!$B$3:$C$19,2,FALSE)</f>
        <v>0</v>
      </c>
      <c r="F40" s="119">
        <f>VLOOKUP(D40,'Translation Lookup Tables'!$B$3:$C$19,2,FALSE)</f>
        <v>0</v>
      </c>
      <c r="G40" s="120"/>
      <c r="H40" s="121" t="str">
        <f t="shared" si="8"/>
        <v>0</v>
      </c>
      <c r="I40" s="122" t="str">
        <f t="shared" si="9"/>
        <v>0</v>
      </c>
      <c r="J40" s="122" t="str">
        <f t="shared" si="10"/>
        <v>0</v>
      </c>
      <c r="K40" s="123" t="str">
        <f t="shared" si="11"/>
        <v>0</v>
      </c>
      <c r="L40" s="124" t="str">
        <f t="shared" si="4"/>
        <v>0</v>
      </c>
      <c r="M40" s="125" t="str">
        <f t="shared" si="5"/>
        <v>0</v>
      </c>
      <c r="N40" s="125" t="str">
        <f t="shared" si="6"/>
        <v>0</v>
      </c>
      <c r="O40" s="126" t="str">
        <f t="shared" si="7"/>
        <v>0</v>
      </c>
      <c r="P40" s="224"/>
    </row>
    <row r="41" spans="1:16" x14ac:dyDescent="0.25">
      <c r="A41" s="223"/>
      <c r="B41" s="117" t="s">
        <v>102</v>
      </c>
      <c r="C41" s="118" t="str">
        <f>IFERROR(VLOOKUP(VALUE('T5L CFG - HEX'!Z$12),'Translation Lookup Tables'!$A$3:$B$19,2,FALSE),VLOOKUP('T5L CFG - HEX'!Z$12,'Translation Lookup Tables'!$A$3:$B$19,2,FALSE))</f>
        <v>0000</v>
      </c>
      <c r="D41" s="119" t="str">
        <f>IFERROR(VLOOKUP(VALUE('T5L CFG - HEX'!AA$12),'Translation Lookup Tables'!$A$3:$B$19,2,FALSE),VLOOKUP('T5L CFG - HEX'!AA$12,'Translation Lookup Tables'!$A$3:$B$19,2,FALSE))</f>
        <v>0000</v>
      </c>
      <c r="E41" s="118">
        <f>VLOOKUP(C41,'Translation Lookup Tables'!$B$3:$C$19,2,FALSE)</f>
        <v>0</v>
      </c>
      <c r="F41" s="119">
        <f>VLOOKUP(D41,'Translation Lookup Tables'!$B$3:$C$19,2,FALSE)</f>
        <v>0</v>
      </c>
      <c r="G41" s="120"/>
      <c r="H41" s="121" t="str">
        <f t="shared" si="8"/>
        <v>0</v>
      </c>
      <c r="I41" s="122" t="str">
        <f t="shared" si="9"/>
        <v>0</v>
      </c>
      <c r="J41" s="122" t="str">
        <f t="shared" si="10"/>
        <v>0</v>
      </c>
      <c r="K41" s="123" t="str">
        <f t="shared" si="11"/>
        <v>0</v>
      </c>
      <c r="L41" s="124" t="str">
        <f t="shared" si="4"/>
        <v>0</v>
      </c>
      <c r="M41" s="125" t="str">
        <f t="shared" si="5"/>
        <v>0</v>
      </c>
      <c r="N41" s="125" t="str">
        <f t="shared" si="6"/>
        <v>0</v>
      </c>
      <c r="O41" s="126" t="str">
        <f t="shared" si="7"/>
        <v>0</v>
      </c>
      <c r="P41" s="224"/>
    </row>
    <row r="42" spans="1:16" ht="13.8" thickBot="1" x14ac:dyDescent="0.3">
      <c r="A42" s="116" t="s">
        <v>209</v>
      </c>
      <c r="B42" s="117" t="s">
        <v>103</v>
      </c>
      <c r="C42" s="118" t="str">
        <f>IFERROR(VLOOKUP(VALUE('T5L CFG - HEX'!AB$12),'Translation Lookup Tables'!$A$3:$B$19,2,FALSE),VLOOKUP('T5L CFG - HEX'!AB$12,'Translation Lookup Tables'!$A$3:$B$19,2,FALSE))</f>
        <v>0000</v>
      </c>
      <c r="D42" s="119" t="str">
        <f>IFERROR(VLOOKUP(VALUE('T5L CFG - HEX'!AC$12),'Translation Lookup Tables'!$A$3:$B$19,2,FALSE),VLOOKUP('T5L CFG - HEX'!AC$12,'Translation Lookup Tables'!$A$3:$B$19,2,FALSE))</f>
        <v>0000</v>
      </c>
      <c r="E42" s="118">
        <f>VLOOKUP(C42,'Translation Lookup Tables'!$B$3:$C$19,2,FALSE)</f>
        <v>0</v>
      </c>
      <c r="F42" s="119">
        <f>VLOOKUP(D42,'Translation Lookup Tables'!$B$3:$C$19,2,FALSE)</f>
        <v>0</v>
      </c>
      <c r="G42" s="120"/>
      <c r="H42" s="121" t="str">
        <f t="shared" si="8"/>
        <v>0</v>
      </c>
      <c r="I42" s="122" t="str">
        <f t="shared" si="9"/>
        <v>0</v>
      </c>
      <c r="J42" s="122" t="str">
        <f t="shared" si="10"/>
        <v>0</v>
      </c>
      <c r="K42" s="123" t="str">
        <f t="shared" si="11"/>
        <v>0</v>
      </c>
      <c r="L42" s="124" t="str">
        <f t="shared" si="4"/>
        <v>0</v>
      </c>
      <c r="M42" s="125" t="str">
        <f t="shared" si="5"/>
        <v>0</v>
      </c>
      <c r="N42" s="125" t="str">
        <f t="shared" si="6"/>
        <v>0</v>
      </c>
      <c r="O42" s="126" t="str">
        <f t="shared" si="7"/>
        <v>0</v>
      </c>
      <c r="P42" s="114"/>
    </row>
    <row r="43" spans="1:16" ht="13.8" thickBot="1" x14ac:dyDescent="0.3">
      <c r="A43" s="128" t="s">
        <v>159</v>
      </c>
      <c r="B43" s="129" t="s">
        <v>104</v>
      </c>
      <c r="C43" s="105" t="str">
        <f>IFERROR(VLOOKUP(VALUE('T5L CFG - HEX'!AD$12),'Translation Lookup Tables'!$A$3:$B$19,2,FALSE),VLOOKUP('T5L CFG - HEX'!AD$12,'Translation Lookup Tables'!$A$3:$B$19,2,FALSE))</f>
        <v>0000</v>
      </c>
      <c r="D43" s="106" t="str">
        <f>IFERROR(VLOOKUP(VALUE('T5L CFG - HEX'!AE$12),'Translation Lookup Tables'!$A$3:$B$19,2,FALSE),VLOOKUP('T5L CFG - HEX'!AE$12,'Translation Lookup Tables'!$A$3:$B$19,2,FALSE))</f>
        <v>0000</v>
      </c>
      <c r="E43" s="105">
        <f>VLOOKUP(C43,'Translation Lookup Tables'!$B$3:$C$19,2,FALSE)</f>
        <v>0</v>
      </c>
      <c r="F43" s="106">
        <f>VLOOKUP(D43,'Translation Lookup Tables'!$B$3:$C$19,2,FALSE)</f>
        <v>0</v>
      </c>
      <c r="G43" s="107"/>
      <c r="H43" s="108" t="str">
        <f t="shared" si="8"/>
        <v>0</v>
      </c>
      <c r="I43" s="109" t="str">
        <f t="shared" si="9"/>
        <v>0</v>
      </c>
      <c r="J43" s="109" t="str">
        <f t="shared" si="10"/>
        <v>0</v>
      </c>
      <c r="K43" s="110" t="str">
        <f t="shared" si="11"/>
        <v>0</v>
      </c>
      <c r="L43" s="111" t="str">
        <f t="shared" si="4"/>
        <v>0</v>
      </c>
      <c r="M43" s="112" t="str">
        <f t="shared" si="5"/>
        <v>0</v>
      </c>
      <c r="N43" s="112" t="str">
        <f t="shared" si="6"/>
        <v>0</v>
      </c>
      <c r="O43" s="113" t="str">
        <f t="shared" si="7"/>
        <v>0</v>
      </c>
      <c r="P43" s="91" t="s">
        <v>160</v>
      </c>
    </row>
    <row r="44" spans="1:16" ht="13.8" thickBot="1" x14ac:dyDescent="0.3">
      <c r="A44" s="64" t="s">
        <v>161</v>
      </c>
      <c r="B44" s="65" t="s">
        <v>105</v>
      </c>
      <c r="C44" s="66" t="str">
        <f>IFERROR(VLOOKUP(VALUE('T5L CFG - HEX'!AF$12),'Translation Lookup Tables'!$A$3:$B$19,2,FALSE),VLOOKUP('T5L CFG - HEX'!AF$12,'Translation Lookup Tables'!$A$3:$B$19,2,FALSE))</f>
        <v>0000</v>
      </c>
      <c r="D44" s="67" t="str">
        <f>IFERROR(VLOOKUP(VALUE('T5L CFG - HEX'!AG$12),'Translation Lookup Tables'!$A$3:$B$19,2,FALSE),VLOOKUP('T5L CFG - HEX'!AG$12,'Translation Lookup Tables'!$A$3:$B$19,2,FALSE))</f>
        <v>0000</v>
      </c>
      <c r="E44" s="66">
        <f>VLOOKUP(C44,'Translation Lookup Tables'!$B$3:$C$19,2,FALSE)</f>
        <v>0</v>
      </c>
      <c r="F44" s="67">
        <f>VLOOKUP(D44,'Translation Lookup Tables'!$B$3:$C$19,2,FALSE)</f>
        <v>0</v>
      </c>
      <c r="G44" s="68"/>
      <c r="H44" s="69" t="str">
        <f t="shared" si="8"/>
        <v>0</v>
      </c>
      <c r="I44" s="70" t="str">
        <f t="shared" si="9"/>
        <v>0</v>
      </c>
      <c r="J44" s="70" t="str">
        <f t="shared" si="10"/>
        <v>0</v>
      </c>
      <c r="K44" s="71" t="str">
        <f t="shared" si="11"/>
        <v>0</v>
      </c>
      <c r="L44" s="72" t="str">
        <f t="shared" si="4"/>
        <v>0</v>
      </c>
      <c r="M44" s="73" t="str">
        <f t="shared" si="5"/>
        <v>0</v>
      </c>
      <c r="N44" s="73" t="str">
        <f t="shared" si="6"/>
        <v>0</v>
      </c>
      <c r="O44" s="74" t="str">
        <f t="shared" si="7"/>
        <v>0</v>
      </c>
      <c r="P44" s="75" t="s">
        <v>162</v>
      </c>
    </row>
    <row r="45" spans="1:16" ht="13.8" thickBot="1" x14ac:dyDescent="0.3">
      <c r="A45" s="134" t="s">
        <v>163</v>
      </c>
      <c r="B45" s="104" t="s">
        <v>22</v>
      </c>
      <c r="C45" s="105" t="str">
        <f>IFERROR(VLOOKUP(VALUE('T5L CFG - HEX'!B$13),'Translation Lookup Tables'!$A$3:$B$19,2,FALSE),VLOOKUP('T5L CFG - HEX'!B$13,'Translation Lookup Tables'!$A$3:$B$19,2,FALSE))</f>
        <v>0000</v>
      </c>
      <c r="D45" s="106" t="str">
        <f>IFERROR(VLOOKUP(VALUE('T5L CFG - HEX'!C$12),'Translation Lookup Tables'!$A$3:$B$19,2,FALSE),VLOOKUP('T5L CFG - HEX'!C$12,'Translation Lookup Tables'!$A$3:$B$19,2,FALSE))</f>
        <v>0000</v>
      </c>
      <c r="E45" s="105">
        <f>VLOOKUP(C45,'Translation Lookup Tables'!$B$3:$C$19,2,FALSE)</f>
        <v>0</v>
      </c>
      <c r="F45" s="106">
        <f>VLOOKUP(D45,'Translation Lookup Tables'!$B$3:$C$19,2,FALSE)</f>
        <v>0</v>
      </c>
      <c r="G45" s="107"/>
      <c r="H45" s="108" t="str">
        <f>MID($C45,1,1)</f>
        <v>0</v>
      </c>
      <c r="I45" s="109" t="str">
        <f>MID($C45,2,1)</f>
        <v>0</v>
      </c>
      <c r="J45" s="109" t="str">
        <f>MID($C45,3,1)</f>
        <v>0</v>
      </c>
      <c r="K45" s="110" t="str">
        <f>MID($C45,4,1)</f>
        <v>0</v>
      </c>
      <c r="L45" s="88" t="str">
        <f t="shared" si="4"/>
        <v>0</v>
      </c>
      <c r="M45" s="89" t="str">
        <f t="shared" si="5"/>
        <v>0</v>
      </c>
      <c r="N45" s="89" t="str">
        <f t="shared" si="6"/>
        <v>0</v>
      </c>
      <c r="O45" s="90" t="str">
        <f t="shared" si="7"/>
        <v>0</v>
      </c>
      <c r="P45" s="91" t="s">
        <v>164</v>
      </c>
    </row>
    <row r="46" spans="1:16" ht="13.8" thickBot="1" x14ac:dyDescent="0.3">
      <c r="A46" s="115" t="s">
        <v>166</v>
      </c>
      <c r="B46" s="81" t="s">
        <v>167</v>
      </c>
      <c r="C46" s="87" t="str">
        <f>IFERROR(VLOOKUP(VALUE('T5L CFG - HEX'!D$13),'Translation Lookup Tables'!$A$3:$B$19,2,FALSE),VLOOKUP('T5L CFG - HEX'!D$13,'Translation Lookup Tables'!$A$3:$B$19,2,FALSE))</f>
        <v>0000</v>
      </c>
      <c r="D46" s="83" t="str">
        <f>IFERROR(VLOOKUP(VALUE('T5L CFG - HEX'!E$12),'Translation Lookup Tables'!$A$3:$B$19,2,FALSE),VLOOKUP('T5L CFG - HEX'!E$12,'Translation Lookup Tables'!$A$3:$B$19,2,FALSE))</f>
        <v>0000</v>
      </c>
      <c r="E46" s="82">
        <f>VLOOKUP(C46,'Translation Lookup Tables'!$B$3:$C$19,2,FALSE)</f>
        <v>0</v>
      </c>
      <c r="F46" s="83">
        <f>VLOOKUP(D46,'Translation Lookup Tables'!$B$3:$C$19,2,FALSE)</f>
        <v>0</v>
      </c>
      <c r="G46" s="84"/>
      <c r="H46" s="85" t="str">
        <f>MID($C46,1,1)</f>
        <v>0</v>
      </c>
      <c r="I46" s="86" t="str">
        <f>MID($C46,2,1)</f>
        <v>0</v>
      </c>
      <c r="J46" s="86" t="str">
        <f>MID($C46,3,1)</f>
        <v>0</v>
      </c>
      <c r="K46" s="86" t="str">
        <f>MID($C46,4,1)</f>
        <v>0</v>
      </c>
      <c r="L46" s="88"/>
      <c r="M46" s="141"/>
      <c r="N46" s="141"/>
      <c r="O46" s="142"/>
      <c r="P46" s="143" t="s">
        <v>172</v>
      </c>
    </row>
    <row r="47" spans="1:16" ht="13.8" thickBot="1" x14ac:dyDescent="0.3">
      <c r="A47" s="116" t="s">
        <v>174</v>
      </c>
      <c r="B47" s="81" t="s">
        <v>168</v>
      </c>
      <c r="C47" s="123"/>
      <c r="D47" s="119"/>
      <c r="E47" s="118"/>
      <c r="F47" s="119"/>
      <c r="G47" s="120"/>
      <c r="H47" s="121"/>
      <c r="I47" s="122"/>
      <c r="J47" s="122"/>
      <c r="K47" s="122"/>
      <c r="L47" s="124" t="str">
        <f>MID($D46,1,1)</f>
        <v>0</v>
      </c>
      <c r="M47" s="144"/>
      <c r="N47" s="125"/>
      <c r="O47" s="126"/>
      <c r="P47" s="145" t="s">
        <v>173</v>
      </c>
    </row>
    <row r="48" spans="1:16" ht="13.8" thickBot="1" x14ac:dyDescent="0.3">
      <c r="A48" s="116" t="s">
        <v>175</v>
      </c>
      <c r="B48" s="81" t="s">
        <v>169</v>
      </c>
      <c r="C48" s="123"/>
      <c r="D48" s="119"/>
      <c r="E48" s="118"/>
      <c r="F48" s="119"/>
      <c r="G48" s="120"/>
      <c r="H48" s="121"/>
      <c r="I48" s="122"/>
      <c r="J48" s="122"/>
      <c r="K48" s="122"/>
      <c r="L48" s="124"/>
      <c r="M48" s="125" t="str">
        <f>MID($D46,2,1)</f>
        <v>0</v>
      </c>
      <c r="N48" s="144"/>
      <c r="O48" s="126"/>
      <c r="P48" s="145" t="s">
        <v>176</v>
      </c>
    </row>
    <row r="49" spans="1:16" ht="13.8" thickBot="1" x14ac:dyDescent="0.3">
      <c r="A49" s="116" t="s">
        <v>177</v>
      </c>
      <c r="B49" s="81" t="s">
        <v>171</v>
      </c>
      <c r="C49" s="123"/>
      <c r="D49" s="119"/>
      <c r="E49" s="118"/>
      <c r="F49" s="119"/>
      <c r="G49" s="120"/>
      <c r="H49" s="121"/>
      <c r="I49" s="122"/>
      <c r="J49" s="122"/>
      <c r="K49" s="122"/>
      <c r="L49" s="124"/>
      <c r="M49" s="125"/>
      <c r="N49" s="125" t="str">
        <f>MID($D46,3,1)</f>
        <v>0</v>
      </c>
      <c r="O49" s="126"/>
      <c r="P49" s="145" t="s">
        <v>178</v>
      </c>
    </row>
    <row r="50" spans="1:16" ht="13.8" thickBot="1" x14ac:dyDescent="0.3">
      <c r="A50" s="127" t="s">
        <v>179</v>
      </c>
      <c r="B50" s="104" t="s">
        <v>170</v>
      </c>
      <c r="C50" s="98"/>
      <c r="D50" s="94"/>
      <c r="E50" s="93"/>
      <c r="F50" s="94"/>
      <c r="G50" s="95"/>
      <c r="H50" s="96"/>
      <c r="I50" s="97"/>
      <c r="J50" s="97"/>
      <c r="K50" s="97"/>
      <c r="L50" s="99"/>
      <c r="M50" s="100"/>
      <c r="N50" s="100"/>
      <c r="O50" s="101" t="str">
        <f>MID($D46,4,1)</f>
        <v>0</v>
      </c>
      <c r="P50" s="136" t="s">
        <v>180</v>
      </c>
    </row>
    <row r="51" spans="1:16" ht="13.8" thickBot="1" x14ac:dyDescent="0.3">
      <c r="A51" s="128" t="s">
        <v>181</v>
      </c>
      <c r="B51" s="104" t="s">
        <v>106</v>
      </c>
      <c r="C51" s="105" t="str">
        <f>IFERROR(VLOOKUP(VALUE('T5L CFG - HEX'!F$13),'Translation Lookup Tables'!$A$3:$B$19,2,FALSE),VLOOKUP('T5L CFG - HEX'!F$13,'Translation Lookup Tables'!$A$3:$B$19,2,FALSE))</f>
        <v>0001</v>
      </c>
      <c r="D51" s="106" t="str">
        <f>IFERROR(VLOOKUP(VALUE('T5L CFG - HEX'!G$12),'Translation Lookup Tables'!$A$3:$B$19,2,FALSE),VLOOKUP('T5L CFG - HEX'!G$12,'Translation Lookup Tables'!$A$3:$B$19,2,FALSE))</f>
        <v>0000</v>
      </c>
      <c r="E51" s="105">
        <f>VLOOKUP(C51,'Translation Lookup Tables'!$B$3:$C$19,2,FALSE)</f>
        <v>1</v>
      </c>
      <c r="F51" s="106">
        <f>VLOOKUP(D51,'Translation Lookup Tables'!$B$3:$C$19,2,FALSE)</f>
        <v>0</v>
      </c>
      <c r="G51" s="107"/>
      <c r="H51" s="108" t="str">
        <f t="shared" ref="H51:H62" si="12">MID($C51,1,1)</f>
        <v>0</v>
      </c>
      <c r="I51" s="109" t="str">
        <f t="shared" ref="I51:I62" si="13">MID($C51,2,1)</f>
        <v>0</v>
      </c>
      <c r="J51" s="109" t="str">
        <f t="shared" ref="J51:J62" si="14">MID($C51,3,1)</f>
        <v>0</v>
      </c>
      <c r="K51" s="110" t="str">
        <f t="shared" ref="K51:K62" si="15">MID($C51,4,1)</f>
        <v>1</v>
      </c>
      <c r="L51" s="111" t="str">
        <f t="shared" ref="L51:L62" si="16">MID($D51,1,1)</f>
        <v>0</v>
      </c>
      <c r="M51" s="112" t="str">
        <f t="shared" ref="M51:M62" si="17">MID($D51,2,1)</f>
        <v>0</v>
      </c>
      <c r="N51" s="112" t="str">
        <f t="shared" ref="N51:N62" si="18">MID($D51,3,1)</f>
        <v>0</v>
      </c>
      <c r="O51" s="113" t="str">
        <f t="shared" ref="O51:O62" si="19">MID($D51,4,1)</f>
        <v>0</v>
      </c>
      <c r="P51" s="146" t="s">
        <v>182</v>
      </c>
    </row>
    <row r="52" spans="1:16" ht="13.8" thickBot="1" x14ac:dyDescent="0.3">
      <c r="A52" s="103" t="s">
        <v>183</v>
      </c>
      <c r="B52" s="104" t="s">
        <v>107</v>
      </c>
      <c r="C52" s="105" t="str">
        <f>IFERROR(VLOOKUP(VALUE('T5L CFG - HEX'!H$13),'Translation Lookup Tables'!$A$3:$B$19,2,FALSE),VLOOKUP('T5L CFG - HEX'!H$13,'Translation Lookup Tables'!$A$3:$B$19,2,FALSE))</f>
        <v>0000</v>
      </c>
      <c r="D52" s="106" t="str">
        <f>IFERROR(VLOOKUP(VALUE('T5L CFG - HEX'!I$12),'Translation Lookup Tables'!$A$3:$B$19,2,FALSE),VLOOKUP('T5L CFG - HEX'!I$12,'Translation Lookup Tables'!$A$3:$B$19,2,FALSE))</f>
        <v>0000</v>
      </c>
      <c r="E52" s="105">
        <f>VLOOKUP(C52,'Translation Lookup Tables'!$B$3:$C$19,2,FALSE)</f>
        <v>0</v>
      </c>
      <c r="F52" s="106">
        <f>VLOOKUP(D52,'Translation Lookup Tables'!$B$3:$C$19,2,FALSE)</f>
        <v>0</v>
      </c>
      <c r="G52" s="107"/>
      <c r="H52" s="108" t="str">
        <f t="shared" si="12"/>
        <v>0</v>
      </c>
      <c r="I52" s="109" t="str">
        <f t="shared" si="13"/>
        <v>0</v>
      </c>
      <c r="J52" s="109" t="str">
        <f t="shared" si="14"/>
        <v>0</v>
      </c>
      <c r="K52" s="110" t="str">
        <f t="shared" si="15"/>
        <v>0</v>
      </c>
      <c r="L52" s="111" t="str">
        <f t="shared" si="16"/>
        <v>0</v>
      </c>
      <c r="M52" s="112" t="str">
        <f t="shared" si="17"/>
        <v>0</v>
      </c>
      <c r="N52" s="112" t="str">
        <f t="shared" si="18"/>
        <v>0</v>
      </c>
      <c r="O52" s="113" t="str">
        <f t="shared" si="19"/>
        <v>0</v>
      </c>
      <c r="P52" s="137" t="s">
        <v>184</v>
      </c>
    </row>
    <row r="53" spans="1:16" ht="13.8" thickBot="1" x14ac:dyDescent="0.3">
      <c r="A53" s="132" t="s">
        <v>185</v>
      </c>
      <c r="B53" s="81" t="s">
        <v>108</v>
      </c>
      <c r="C53" s="82" t="str">
        <f>IFERROR(VLOOKUP(VALUE('T5L CFG - HEX'!J$13),'Translation Lookup Tables'!$A$3:$B$19,2,FALSE),VLOOKUP('T5L CFG - HEX'!J$13,'Translation Lookup Tables'!$A$3:$B$19,2,FALSE))</f>
        <v>0000</v>
      </c>
      <c r="D53" s="83" t="str">
        <f>IFERROR(VLOOKUP(VALUE('T5L CFG - HEX'!K$12),'Translation Lookup Tables'!$A$3:$B$19,2,FALSE),VLOOKUP('T5L CFG - HEX'!K$12,'Translation Lookup Tables'!$A$3:$B$19,2,FALSE))</f>
        <v>0000</v>
      </c>
      <c r="E53" s="82">
        <f>VLOOKUP(C53,'Translation Lookup Tables'!$B$3:$C$19,2,FALSE)</f>
        <v>0</v>
      </c>
      <c r="F53" s="83">
        <f>VLOOKUP(D53,'Translation Lookup Tables'!$B$3:$C$19,2,FALSE)</f>
        <v>0</v>
      </c>
      <c r="G53" s="84"/>
      <c r="H53" s="85" t="str">
        <f t="shared" si="12"/>
        <v>0</v>
      </c>
      <c r="I53" s="86" t="str">
        <f t="shared" si="13"/>
        <v>0</v>
      </c>
      <c r="J53" s="86" t="str">
        <f t="shared" si="14"/>
        <v>0</v>
      </c>
      <c r="K53" s="87" t="str">
        <f t="shared" si="15"/>
        <v>0</v>
      </c>
      <c r="L53" s="88" t="str">
        <f t="shared" si="16"/>
        <v>0</v>
      </c>
      <c r="M53" s="89" t="str">
        <f t="shared" si="17"/>
        <v>0</v>
      </c>
      <c r="N53" s="89" t="str">
        <f t="shared" si="18"/>
        <v>0</v>
      </c>
      <c r="O53" s="90" t="str">
        <f t="shared" si="19"/>
        <v>0</v>
      </c>
      <c r="P53" s="133" t="s">
        <v>165</v>
      </c>
    </row>
    <row r="54" spans="1:16" ht="13.8" thickBot="1" x14ac:dyDescent="0.3">
      <c r="A54" s="103" t="s">
        <v>186</v>
      </c>
      <c r="B54" s="104" t="s">
        <v>109</v>
      </c>
      <c r="C54" s="105" t="str">
        <f>IFERROR(VLOOKUP(VALUE('T5L CFG - HEX'!L$13),'Translation Lookup Tables'!$A$3:$B$19,2,FALSE),VLOOKUP('T5L CFG - HEX'!L$13,'Translation Lookup Tables'!$A$3:$B$19,2,FALSE))</f>
        <v>0000</v>
      </c>
      <c r="D54" s="106" t="str">
        <f>IFERROR(VLOOKUP(VALUE('T5L CFG - HEX'!M$12),'Translation Lookup Tables'!$A$3:$B$19,2,FALSE),VLOOKUP('T5L CFG - HEX'!M$12,'Translation Lookup Tables'!$A$3:$B$19,2,FALSE))</f>
        <v>0000</v>
      </c>
      <c r="E54" s="105">
        <f>VLOOKUP(C54,'Translation Lookup Tables'!$B$3:$C$19,2,FALSE)</f>
        <v>0</v>
      </c>
      <c r="F54" s="106">
        <f>VLOOKUP(D54,'Translation Lookup Tables'!$B$3:$C$19,2,FALSE)</f>
        <v>0</v>
      </c>
      <c r="G54" s="107"/>
      <c r="H54" s="108" t="str">
        <f t="shared" si="12"/>
        <v>0</v>
      </c>
      <c r="I54" s="109" t="str">
        <f t="shared" si="13"/>
        <v>0</v>
      </c>
      <c r="J54" s="109" t="str">
        <f t="shared" si="14"/>
        <v>0</v>
      </c>
      <c r="K54" s="110" t="str">
        <f t="shared" si="15"/>
        <v>0</v>
      </c>
      <c r="L54" s="111" t="str">
        <f t="shared" si="16"/>
        <v>0</v>
      </c>
      <c r="M54" s="112" t="str">
        <f t="shared" si="17"/>
        <v>0</v>
      </c>
      <c r="N54" s="112" t="str">
        <f t="shared" si="18"/>
        <v>0</v>
      </c>
      <c r="O54" s="113" t="str">
        <f t="shared" si="19"/>
        <v>0</v>
      </c>
      <c r="P54" s="107" t="s">
        <v>165</v>
      </c>
    </row>
    <row r="55" spans="1:16" ht="13.8" thickBot="1" x14ac:dyDescent="0.3">
      <c r="A55" s="103" t="s">
        <v>187</v>
      </c>
      <c r="B55" s="104" t="s">
        <v>110</v>
      </c>
      <c r="C55" s="105" t="str">
        <f>IFERROR(VLOOKUP(VALUE('T5L CFG - HEX'!N$13),'Translation Lookup Tables'!$A$3:$B$19,2,FALSE),VLOOKUP('T5L CFG - HEX'!N$13,'Translation Lookup Tables'!$A$3:$B$19,2,FALSE))</f>
        <v>0001</v>
      </c>
      <c r="D55" s="106" t="str">
        <f>IFERROR(VLOOKUP(VALUE('T5L CFG - HEX'!O$12),'Translation Lookup Tables'!$A$3:$B$19,2,FALSE),VLOOKUP('T5L CFG - HEX'!O$12,'Translation Lookup Tables'!$A$3:$B$19,2,FALSE))</f>
        <v>0000</v>
      </c>
      <c r="E55" s="105">
        <f>VLOOKUP(C55,'Translation Lookup Tables'!$B$3:$C$19,2,FALSE)</f>
        <v>1</v>
      </c>
      <c r="F55" s="106">
        <f>VLOOKUP(D55,'Translation Lookup Tables'!$B$3:$C$19,2,FALSE)</f>
        <v>0</v>
      </c>
      <c r="G55" s="107"/>
      <c r="H55" s="108" t="str">
        <f t="shared" si="12"/>
        <v>0</v>
      </c>
      <c r="I55" s="109" t="str">
        <f t="shared" si="13"/>
        <v>0</v>
      </c>
      <c r="J55" s="109" t="str">
        <f t="shared" si="14"/>
        <v>0</v>
      </c>
      <c r="K55" s="110" t="str">
        <f t="shared" si="15"/>
        <v>1</v>
      </c>
      <c r="L55" s="111" t="str">
        <f t="shared" si="16"/>
        <v>0</v>
      </c>
      <c r="M55" s="112" t="str">
        <f t="shared" si="17"/>
        <v>0</v>
      </c>
      <c r="N55" s="112" t="str">
        <f t="shared" si="18"/>
        <v>0</v>
      </c>
      <c r="O55" s="113" t="str">
        <f t="shared" si="19"/>
        <v>0</v>
      </c>
      <c r="P55" s="107" t="s">
        <v>188</v>
      </c>
    </row>
    <row r="56" spans="1:16" x14ac:dyDescent="0.25">
      <c r="A56" s="134" t="s">
        <v>189</v>
      </c>
      <c r="B56" s="117" t="s">
        <v>111</v>
      </c>
      <c r="C56" s="118" t="str">
        <f>IFERROR(VLOOKUP(VALUE('T5L CFG - HEX'!P$13),'Translation Lookup Tables'!$A$3:$B$19,2,FALSE),VLOOKUP('T5L CFG - HEX'!P$13,'Translation Lookup Tables'!$A$3:$B$19,2,FALSE))</f>
        <v>0000</v>
      </c>
      <c r="D56" s="119" t="str">
        <f>IFERROR(VLOOKUP(VALUE('T5L CFG - HEX'!Q$12),'Translation Lookup Tables'!$A$3:$B$19,2,FALSE),VLOOKUP('T5L CFG - HEX'!Q$12,'Translation Lookup Tables'!$A$3:$B$19,2,FALSE))</f>
        <v>0000</v>
      </c>
      <c r="E56" s="118">
        <f>VLOOKUP(C56,'Translation Lookup Tables'!$B$3:$C$19,2,FALSE)</f>
        <v>0</v>
      </c>
      <c r="F56" s="119">
        <f>VLOOKUP(D56,'Translation Lookup Tables'!$B$3:$C$19,2,FALSE)</f>
        <v>0</v>
      </c>
      <c r="G56" s="120"/>
      <c r="H56" s="121" t="str">
        <f t="shared" si="12"/>
        <v>0</v>
      </c>
      <c r="I56" s="122" t="str">
        <f t="shared" si="13"/>
        <v>0</v>
      </c>
      <c r="J56" s="122" t="str">
        <f t="shared" si="14"/>
        <v>0</v>
      </c>
      <c r="K56" s="123" t="str">
        <f t="shared" si="15"/>
        <v>0</v>
      </c>
      <c r="L56" s="124" t="str">
        <f t="shared" si="16"/>
        <v>0</v>
      </c>
      <c r="M56" s="125" t="str">
        <f t="shared" si="17"/>
        <v>0</v>
      </c>
      <c r="N56" s="125" t="str">
        <f t="shared" si="18"/>
        <v>0</v>
      </c>
      <c r="O56" s="126" t="str">
        <f t="shared" si="19"/>
        <v>0</v>
      </c>
      <c r="P56" s="135" t="s">
        <v>165</v>
      </c>
    </row>
    <row r="57" spans="1:16" ht="13.8" thickBot="1" x14ac:dyDescent="0.3">
      <c r="A57" s="116" t="s">
        <v>191</v>
      </c>
      <c r="B57" s="117" t="s">
        <v>112</v>
      </c>
      <c r="C57" s="118" t="str">
        <f>IFERROR(VLOOKUP(VALUE('T5L CFG - HEX'!R$13),'Translation Lookup Tables'!$A$3:$B$19,2,FALSE),VLOOKUP('T5L CFG - HEX'!R$13,'Translation Lookup Tables'!$A$3:$B$19,2,FALSE))</f>
        <v>0110</v>
      </c>
      <c r="D57" s="119" t="str">
        <f>IFERROR(VLOOKUP(VALUE('T5L CFG - HEX'!S$12),'Translation Lookup Tables'!$A$3:$B$19,2,FALSE),VLOOKUP('T5L CFG - HEX'!S$12,'Translation Lookup Tables'!$A$3:$B$19,2,FALSE))</f>
        <v>0000</v>
      </c>
      <c r="E57" s="118">
        <f>VLOOKUP(C57,'Translation Lookup Tables'!$B$3:$C$19,2,FALSE)</f>
        <v>6</v>
      </c>
      <c r="F57" s="119">
        <f>VLOOKUP(D57,'Translation Lookup Tables'!$B$3:$C$19,2,FALSE)</f>
        <v>0</v>
      </c>
      <c r="G57" s="120"/>
      <c r="H57" s="121" t="str">
        <f t="shared" si="12"/>
        <v>0</v>
      </c>
      <c r="I57" s="122" t="str">
        <f t="shared" si="13"/>
        <v>1</v>
      </c>
      <c r="J57" s="122" t="str">
        <f t="shared" si="14"/>
        <v>1</v>
      </c>
      <c r="K57" s="123" t="str">
        <f t="shared" si="15"/>
        <v>0</v>
      </c>
      <c r="L57" s="124" t="str">
        <f t="shared" si="16"/>
        <v>0</v>
      </c>
      <c r="M57" s="125" t="str">
        <f t="shared" si="17"/>
        <v>0</v>
      </c>
      <c r="N57" s="125" t="str">
        <f t="shared" si="18"/>
        <v>0</v>
      </c>
      <c r="O57" s="126" t="str">
        <f t="shared" si="19"/>
        <v>0</v>
      </c>
      <c r="P57" s="120" t="s">
        <v>190</v>
      </c>
    </row>
    <row r="58" spans="1:16" x14ac:dyDescent="0.25">
      <c r="A58" s="115" t="s">
        <v>192</v>
      </c>
      <c r="B58" s="81" t="s">
        <v>113</v>
      </c>
      <c r="C58" s="82" t="str">
        <f>IFERROR(VLOOKUP(VALUE('T5L CFG - HEX'!T$13),'Translation Lookup Tables'!$A$3:$B$19,2,FALSE),VLOOKUP('T5L CFG - HEX'!T$13,'Translation Lookup Tables'!$A$3:$B$19,2,FALSE))</f>
        <v>0000</v>
      </c>
      <c r="D58" s="83" t="str">
        <f>IFERROR(VLOOKUP(VALUE('T5L CFG - HEX'!U$12),'Translation Lookup Tables'!$A$3:$B$19,2,FALSE),VLOOKUP('T5L CFG - HEX'!U$12,'Translation Lookup Tables'!$A$3:$B$19,2,FALSE))</f>
        <v>0000</v>
      </c>
      <c r="E58" s="82">
        <f>VLOOKUP(C58,'Translation Lookup Tables'!$B$3:$C$19,2,FALSE)</f>
        <v>0</v>
      </c>
      <c r="F58" s="83">
        <f>VLOOKUP(D58,'Translation Lookup Tables'!$B$3:$C$19,2,FALSE)</f>
        <v>0</v>
      </c>
      <c r="G58" s="84"/>
      <c r="H58" s="85" t="str">
        <f t="shared" si="12"/>
        <v>0</v>
      </c>
      <c r="I58" s="86" t="str">
        <f t="shared" si="13"/>
        <v>0</v>
      </c>
      <c r="J58" s="86" t="str">
        <f t="shared" si="14"/>
        <v>0</v>
      </c>
      <c r="K58" s="87" t="str">
        <f t="shared" si="15"/>
        <v>0</v>
      </c>
      <c r="L58" s="88" t="str">
        <f t="shared" si="16"/>
        <v>0</v>
      </c>
      <c r="M58" s="89" t="str">
        <f t="shared" si="17"/>
        <v>0</v>
      </c>
      <c r="N58" s="89" t="str">
        <f t="shared" si="18"/>
        <v>0</v>
      </c>
      <c r="O58" s="90" t="str">
        <f t="shared" si="19"/>
        <v>0</v>
      </c>
      <c r="P58" s="84" t="s">
        <v>193</v>
      </c>
    </row>
    <row r="59" spans="1:16" ht="13.8" thickBot="1" x14ac:dyDescent="0.3">
      <c r="A59" s="127"/>
      <c r="B59" s="92" t="s">
        <v>114</v>
      </c>
      <c r="C59" s="93" t="str">
        <f>IFERROR(VLOOKUP(VALUE('T5L CFG - HEX'!V$13),'Translation Lookup Tables'!$A$3:$B$19,2,FALSE),VLOOKUP('T5L CFG - HEX'!V$13,'Translation Lookup Tables'!$A$3:$B$19,2,FALSE))</f>
        <v>1011</v>
      </c>
      <c r="D59" s="94" t="str">
        <f>IFERROR(VLOOKUP(VALUE('T5L CFG - HEX'!W$12),'Translation Lookup Tables'!$A$3:$B$19,2,FALSE),VLOOKUP('T5L CFG - HEX'!W$12,'Translation Lookup Tables'!$A$3:$B$19,2,FALSE))</f>
        <v>0000</v>
      </c>
      <c r="E59" s="93" t="str">
        <f>VLOOKUP(C59,'Translation Lookup Tables'!$B$3:$C$19,2,FALSE)</f>
        <v>b</v>
      </c>
      <c r="F59" s="94">
        <f>VLOOKUP(D59,'Translation Lookup Tables'!$B$3:$C$19,2,FALSE)</f>
        <v>0</v>
      </c>
      <c r="G59" s="95"/>
      <c r="H59" s="96" t="str">
        <f t="shared" si="12"/>
        <v>1</v>
      </c>
      <c r="I59" s="97" t="str">
        <f t="shared" si="13"/>
        <v>0</v>
      </c>
      <c r="J59" s="97" t="str">
        <f t="shared" si="14"/>
        <v>1</v>
      </c>
      <c r="K59" s="98" t="str">
        <f t="shared" si="15"/>
        <v>1</v>
      </c>
      <c r="L59" s="99" t="str">
        <f t="shared" si="16"/>
        <v>0</v>
      </c>
      <c r="M59" s="100" t="str">
        <f t="shared" si="17"/>
        <v>0</v>
      </c>
      <c r="N59" s="100" t="str">
        <f t="shared" si="18"/>
        <v>0</v>
      </c>
      <c r="O59" s="101" t="str">
        <f t="shared" si="19"/>
        <v>0</v>
      </c>
      <c r="P59" s="136"/>
    </row>
    <row r="60" spans="1:16" x14ac:dyDescent="0.25">
      <c r="A60" s="115" t="s">
        <v>194</v>
      </c>
      <c r="B60" s="81" t="s">
        <v>115</v>
      </c>
      <c r="C60" s="82" t="str">
        <f>IFERROR(VLOOKUP(VALUE('T5L CFG - HEX'!X$13),'Translation Lookup Tables'!$A$3:$B$19,2,FALSE),VLOOKUP('T5L CFG - HEX'!X$13,'Translation Lookup Tables'!$A$3:$B$19,2,FALSE))</f>
        <v>0000</v>
      </c>
      <c r="D60" s="83" t="str">
        <f>IFERROR(VLOOKUP(VALUE('T5L CFG - HEX'!Y$12),'Translation Lookup Tables'!$A$3:$B$19,2,FALSE),VLOOKUP('T5L CFG - HEX'!Y$12,'Translation Lookup Tables'!$A$3:$B$19,2,FALSE))</f>
        <v>0000</v>
      </c>
      <c r="E60" s="82">
        <f>VLOOKUP(C60,'Translation Lookup Tables'!$B$3:$C$19,2,FALSE)</f>
        <v>0</v>
      </c>
      <c r="F60" s="83">
        <f>VLOOKUP(D60,'Translation Lookup Tables'!$B$3:$C$19,2,FALSE)</f>
        <v>0</v>
      </c>
      <c r="G60" s="84"/>
      <c r="H60" s="85" t="str">
        <f t="shared" si="12"/>
        <v>0</v>
      </c>
      <c r="I60" s="86" t="str">
        <f t="shared" si="13"/>
        <v>0</v>
      </c>
      <c r="J60" s="86" t="str">
        <f t="shared" si="14"/>
        <v>0</v>
      </c>
      <c r="K60" s="87" t="str">
        <f t="shared" si="15"/>
        <v>0</v>
      </c>
      <c r="L60" s="88" t="str">
        <f t="shared" si="16"/>
        <v>0</v>
      </c>
      <c r="M60" s="89" t="str">
        <f t="shared" si="17"/>
        <v>0</v>
      </c>
      <c r="N60" s="89" t="str">
        <f t="shared" si="18"/>
        <v>0</v>
      </c>
      <c r="O60" s="90" t="str">
        <f t="shared" si="19"/>
        <v>0</v>
      </c>
      <c r="P60" s="84" t="s">
        <v>195</v>
      </c>
    </row>
    <row r="61" spans="1:16" ht="13.8" thickBot="1" x14ac:dyDescent="0.3">
      <c r="A61" s="127"/>
      <c r="B61" s="92" t="s">
        <v>116</v>
      </c>
      <c r="C61" s="93">
        <f>IFERROR(VLOOKUP(VALUE('T5L CFG - HEX'!Z$13),'Translation Lookup Tables'!$A$3:$B$19,2,FALSE),VLOOKUP('T5L CFG - HEX'!Z$13,'Translation Lookup Tables'!$A$3:$B$19,2,FALSE))</f>
        <v>1111</v>
      </c>
      <c r="D61" s="94" t="str">
        <f>IFERROR(VLOOKUP(VALUE('T5L CFG - HEX'!AA$12),'Translation Lookup Tables'!$A$3:$B$19,2,FALSE),VLOOKUP('T5L CFG - HEX'!AA$12,'Translation Lookup Tables'!$A$3:$B$19,2,FALSE))</f>
        <v>0000</v>
      </c>
      <c r="E61" s="93" t="str">
        <f>VLOOKUP(C61,'Translation Lookup Tables'!$B$3:$C$19,2,FALSE)</f>
        <v>f</v>
      </c>
      <c r="F61" s="94">
        <f>VLOOKUP(D61,'Translation Lookup Tables'!$B$3:$C$19,2,FALSE)</f>
        <v>0</v>
      </c>
      <c r="G61" s="95"/>
      <c r="H61" s="96" t="str">
        <f t="shared" si="12"/>
        <v>1</v>
      </c>
      <c r="I61" s="97" t="str">
        <f t="shared" si="13"/>
        <v>1</v>
      </c>
      <c r="J61" s="97" t="str">
        <f t="shared" si="14"/>
        <v>1</v>
      </c>
      <c r="K61" s="98" t="str">
        <f t="shared" si="15"/>
        <v>1</v>
      </c>
      <c r="L61" s="99" t="str">
        <f t="shared" si="16"/>
        <v>0</v>
      </c>
      <c r="M61" s="100" t="str">
        <f t="shared" si="17"/>
        <v>0</v>
      </c>
      <c r="N61" s="100" t="str">
        <f t="shared" si="18"/>
        <v>0</v>
      </c>
      <c r="O61" s="101" t="str">
        <f t="shared" si="19"/>
        <v>0</v>
      </c>
      <c r="P61" s="136"/>
    </row>
    <row r="62" spans="1:16" ht="13.8" thickBot="1" x14ac:dyDescent="0.3">
      <c r="A62" s="103" t="s">
        <v>196</v>
      </c>
      <c r="B62" s="104" t="s">
        <v>117</v>
      </c>
      <c r="C62" s="105" t="str">
        <f>IFERROR(VLOOKUP(VALUE('T5L CFG - HEX'!AB$13),'Translation Lookup Tables'!$A$3:$B$19,2,FALSE),VLOOKUP('T5L CFG - HEX'!AB$13,'Translation Lookup Tables'!$A$3:$B$19,2,FALSE))</f>
        <v>0110</v>
      </c>
      <c r="D62" s="106" t="str">
        <f>IFERROR(VLOOKUP(VALUE('T5L CFG - HEX'!AC$12),'Translation Lookup Tables'!$A$3:$B$19,2,FALSE),VLOOKUP('T5L CFG - HEX'!AC$12,'Translation Lookup Tables'!$A$3:$B$19,2,FALSE))</f>
        <v>0000</v>
      </c>
      <c r="E62" s="105">
        <f>VLOOKUP(C62,'Translation Lookup Tables'!$B$3:$C$19,2,FALSE)</f>
        <v>6</v>
      </c>
      <c r="F62" s="106">
        <f>VLOOKUP(D62,'Translation Lookup Tables'!$B$3:$C$19,2,FALSE)</f>
        <v>0</v>
      </c>
      <c r="G62" s="107"/>
      <c r="H62" s="108" t="str">
        <f t="shared" si="12"/>
        <v>0</v>
      </c>
      <c r="I62" s="109" t="str">
        <f t="shared" si="13"/>
        <v>1</v>
      </c>
      <c r="J62" s="109" t="str">
        <f t="shared" si="14"/>
        <v>1</v>
      </c>
      <c r="K62" s="110" t="str">
        <f t="shared" si="15"/>
        <v>0</v>
      </c>
      <c r="L62" s="111" t="str">
        <f t="shared" si="16"/>
        <v>0</v>
      </c>
      <c r="M62" s="112" t="str">
        <f t="shared" si="17"/>
        <v>0</v>
      </c>
      <c r="N62" s="112" t="str">
        <f t="shared" si="18"/>
        <v>0</v>
      </c>
      <c r="O62" s="113" t="str">
        <f t="shared" si="19"/>
        <v>0</v>
      </c>
      <c r="P62" s="137" t="s">
        <v>197</v>
      </c>
    </row>
    <row r="63" spans="1:16" x14ac:dyDescent="0.25">
      <c r="C63"/>
      <c r="D63"/>
      <c r="E63"/>
      <c r="F63"/>
      <c r="I63"/>
      <c r="J63"/>
      <c r="K63"/>
      <c r="L63"/>
    </row>
    <row r="64" spans="1:16" x14ac:dyDescent="0.25">
      <c r="C64"/>
      <c r="D64"/>
      <c r="E64"/>
      <c r="F64"/>
      <c r="I64"/>
      <c r="J64"/>
      <c r="K64"/>
      <c r="L64"/>
    </row>
  </sheetData>
  <mergeCells count="13">
    <mergeCell ref="A40:A41"/>
    <mergeCell ref="P40:P41"/>
    <mergeCell ref="P35:P36"/>
    <mergeCell ref="A3:A7"/>
    <mergeCell ref="A23:A24"/>
    <mergeCell ref="A27:A28"/>
    <mergeCell ref="A29:A30"/>
    <mergeCell ref="A35:A36"/>
    <mergeCell ref="C1:D1"/>
    <mergeCell ref="E1:F1"/>
    <mergeCell ref="H2:K2"/>
    <mergeCell ref="L2:O2"/>
    <mergeCell ref="H1:O1"/>
  </mergeCells>
  <phoneticPr fontId="2" type="noConversion"/>
  <conditionalFormatting sqref="S25:T26">
    <cfRule type="cellIs" dxfId="17" priority="15" stopIfTrue="1" operator="notEqual">
      <formula>$R25</formula>
    </cfRule>
    <cfRule type="cellIs" dxfId="16" priority="16" stopIfTrue="1" operator="equal">
      <formula>$R25</formula>
    </cfRule>
  </conditionalFormatting>
  <conditionalFormatting sqref="S21:U21">
    <cfRule type="cellIs" dxfId="15" priority="13" stopIfTrue="1" operator="notEqual">
      <formula>$R21</formula>
    </cfRule>
    <cfRule type="cellIs" dxfId="14" priority="14" stopIfTrue="1" operator="equal">
      <formula>$R21</formula>
    </cfRule>
  </conditionalFormatting>
  <conditionalFormatting sqref="S22:U22">
    <cfRule type="cellIs" dxfId="13" priority="11" stopIfTrue="1" operator="notEqual">
      <formula>$R22</formula>
    </cfRule>
    <cfRule type="cellIs" dxfId="12" priority="12" stopIfTrue="1" operator="equal">
      <formula>$R22</formula>
    </cfRule>
  </conditionalFormatting>
  <conditionalFormatting sqref="S2:S3">
    <cfRule type="cellIs" dxfId="11" priority="9" stopIfTrue="1" operator="notEqual">
      <formula>$R2</formula>
    </cfRule>
    <cfRule type="cellIs" dxfId="10" priority="10" stopIfTrue="1" operator="equal">
      <formula>$R2</formula>
    </cfRule>
  </conditionalFormatting>
  <conditionalFormatting sqref="S27:U27">
    <cfRule type="cellIs" dxfId="9" priority="7" stopIfTrue="1" operator="notEqual">
      <formula>$R27</formula>
    </cfRule>
    <cfRule type="cellIs" dxfId="8" priority="8" stopIfTrue="1" operator="equal">
      <formula>$R27</formula>
    </cfRule>
  </conditionalFormatting>
  <conditionalFormatting sqref="S23:U23">
    <cfRule type="cellIs" dxfId="7" priority="5" stopIfTrue="1" operator="notEqual">
      <formula>$R23</formula>
    </cfRule>
    <cfRule type="cellIs" dxfId="6" priority="6" stopIfTrue="1" operator="equal">
      <formula>$R23</formula>
    </cfRule>
  </conditionalFormatting>
  <conditionalFormatting sqref="R8:T28">
    <cfRule type="cellIs" dxfId="5" priority="17" stopIfTrue="1" operator="notEqual">
      <formula>$P8</formula>
    </cfRule>
    <cfRule type="cellIs" dxfId="4" priority="18" stopIfTrue="1" operator="equal">
      <formula>$P8</formula>
    </cfRule>
  </conditionalFormatting>
  <conditionalFormatting sqref="U25:U26">
    <cfRule type="cellIs" dxfId="3" priority="1" stopIfTrue="1" operator="notEqual">
      <formula>$R25</formula>
    </cfRule>
    <cfRule type="cellIs" dxfId="2" priority="2" stopIfTrue="1" operator="equal">
      <formula>$R25</formula>
    </cfRule>
  </conditionalFormatting>
  <conditionalFormatting sqref="U8:U28">
    <cfRule type="cellIs" dxfId="1" priority="3" stopIfTrue="1" operator="notEqual">
      <formula>$P8</formula>
    </cfRule>
    <cfRule type="cellIs" dxfId="0" priority="4" stopIfTrue="1" operator="equal">
      <formula>$P8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V27" sqref="V27"/>
    </sheetView>
  </sheetViews>
  <sheetFormatPr defaultRowHeight="13.2" x14ac:dyDescent="0.25"/>
  <sheetData/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411480</xdr:colOff>
                <xdr:row>36</xdr:row>
                <xdr:rowOff>22860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r:id="rId7">
            <anchor moveWithCells="1">
              <from>
                <xdr:col>9</xdr:col>
                <xdr:colOff>342900</xdr:colOff>
                <xdr:row>15</xdr:row>
                <xdr:rowOff>144780</xdr:rowOff>
              </from>
              <to>
                <xdr:col>19</xdr:col>
                <xdr:colOff>60960</xdr:colOff>
                <xdr:row>46</xdr:row>
                <xdr:rowOff>30480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8">
          <objectPr defaultSize="0" r:id="rId9">
            <anchor moveWithCells="1">
              <from>
                <xdr:col>9</xdr:col>
                <xdr:colOff>342900</xdr:colOff>
                <xdr:row>0</xdr:row>
                <xdr:rowOff>15240</xdr:rowOff>
              </from>
              <to>
                <xdr:col>19</xdr:col>
                <xdr:colOff>60960</xdr:colOff>
                <xdr:row>16</xdr:row>
                <xdr:rowOff>15240</xdr:rowOff>
              </to>
            </anchor>
          </objectPr>
        </oleObject>
      </mc:Choice>
      <mc:Fallback>
        <oleObject progId="Paint.Picture" shapeId="4099" r:id="rId8"/>
      </mc:Fallback>
    </mc:AlternateContent>
    <mc:AlternateContent xmlns:mc="http://schemas.openxmlformats.org/markup-compatibility/2006">
      <mc:Choice Requires="x14">
        <oleObject progId="Paint.Picture" shapeId="4100" r:id="rId10">
          <objectPr defaultSize="0" r:id="rId11">
            <anchor moveWithCells="1">
              <from>
                <xdr:col>19</xdr:col>
                <xdr:colOff>53340</xdr:colOff>
                <xdr:row>0</xdr:row>
                <xdr:rowOff>0</xdr:rowOff>
              </from>
              <to>
                <xdr:col>28</xdr:col>
                <xdr:colOff>388620</xdr:colOff>
                <xdr:row>24</xdr:row>
                <xdr:rowOff>91440</xdr:rowOff>
              </to>
            </anchor>
          </objectPr>
        </oleObject>
      </mc:Choice>
      <mc:Fallback>
        <oleObject progId="Paint.Picture" shapeId="4100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K24" sqref="K24"/>
    </sheetView>
  </sheetViews>
  <sheetFormatPr defaultRowHeight="13.2" x14ac:dyDescent="0.25"/>
  <cols>
    <col min="1" max="1" width="4.6640625" bestFit="1" customWidth="1"/>
    <col min="2" max="2" width="8" style="5" customWidth="1"/>
    <col min="3" max="3" width="4.6640625" bestFit="1" customWidth="1"/>
    <col min="4" max="4" width="7.88671875" customWidth="1"/>
    <col min="6" max="6" width="14.44140625" customWidth="1"/>
    <col min="7" max="7" width="7.109375" style="5" customWidth="1"/>
    <col min="8" max="8" width="18.44140625" style="5" bestFit="1" customWidth="1"/>
    <col min="9" max="9" width="58" customWidth="1"/>
  </cols>
  <sheetData>
    <row r="1" spans="1:9" x14ac:dyDescent="0.25">
      <c r="F1" s="6" t="s">
        <v>224</v>
      </c>
    </row>
    <row r="2" spans="1:9" ht="13.8" thickBot="1" x14ac:dyDescent="0.3">
      <c r="F2" s="7" t="s">
        <v>217</v>
      </c>
      <c r="G2" s="7" t="s">
        <v>218</v>
      </c>
      <c r="H2" s="7" t="s">
        <v>246</v>
      </c>
      <c r="I2" s="161" t="s">
        <v>219</v>
      </c>
    </row>
    <row r="3" spans="1:9" ht="13.8" thickBot="1" x14ac:dyDescent="0.3">
      <c r="A3" s="152" t="s">
        <v>75</v>
      </c>
      <c r="B3" s="157" t="s">
        <v>76</v>
      </c>
      <c r="C3" s="156" t="s">
        <v>75</v>
      </c>
      <c r="D3" s="167" t="s">
        <v>239</v>
      </c>
      <c r="F3" s="53" t="s">
        <v>127</v>
      </c>
      <c r="G3" s="4">
        <v>0</v>
      </c>
      <c r="H3" s="171" t="str">
        <f>CONCATENATE(F3," = ",G3)</f>
        <v>0000 0005 - 7 = 0</v>
      </c>
      <c r="I3" s="44" t="s">
        <v>220</v>
      </c>
    </row>
    <row r="4" spans="1:9" ht="13.8" thickBot="1" x14ac:dyDescent="0.3">
      <c r="A4" s="153">
        <v>0</v>
      </c>
      <c r="B4" s="158" t="s">
        <v>77</v>
      </c>
      <c r="C4" s="164">
        <f>A4</f>
        <v>0</v>
      </c>
      <c r="D4" s="168" t="s">
        <v>7</v>
      </c>
      <c r="F4" s="53" t="s">
        <v>127</v>
      </c>
      <c r="G4" s="4">
        <v>1</v>
      </c>
      <c r="H4" s="171" t="str">
        <f t="shared" ref="H4:H26" si="0">CONCATENATE(F4," = ",G4)</f>
        <v>0000 0005 - 7 = 1</v>
      </c>
      <c r="I4" s="44" t="s">
        <v>229</v>
      </c>
    </row>
    <row r="5" spans="1:9" ht="13.8" thickBot="1" x14ac:dyDescent="0.3">
      <c r="A5" s="154">
        <v>1</v>
      </c>
      <c r="B5" s="159" t="s">
        <v>78</v>
      </c>
      <c r="C5" s="165">
        <f t="shared" ref="C5:C19" si="1">A5</f>
        <v>1</v>
      </c>
      <c r="D5" s="169" t="s">
        <v>8</v>
      </c>
      <c r="F5" s="53" t="s">
        <v>130</v>
      </c>
      <c r="G5" s="4">
        <v>0</v>
      </c>
      <c r="H5" s="171" t="str">
        <f t="shared" si="0"/>
        <v>0000 0005 - 6 = 0</v>
      </c>
      <c r="I5" s="44" t="s">
        <v>140</v>
      </c>
    </row>
    <row r="6" spans="1:9" ht="13.8" thickBot="1" x14ac:dyDescent="0.3">
      <c r="A6" s="154">
        <v>2</v>
      </c>
      <c r="B6" s="159" t="s">
        <v>79</v>
      </c>
      <c r="C6" s="165">
        <f t="shared" si="1"/>
        <v>2</v>
      </c>
      <c r="D6" s="169" t="s">
        <v>9</v>
      </c>
      <c r="F6" s="53" t="s">
        <v>130</v>
      </c>
      <c r="G6" s="4">
        <v>1</v>
      </c>
      <c r="H6" s="171" t="str">
        <f t="shared" si="0"/>
        <v>0000 0005 - 6 = 1</v>
      </c>
      <c r="I6" s="44" t="s">
        <v>221</v>
      </c>
    </row>
    <row r="7" spans="1:9" ht="13.8" thickBot="1" x14ac:dyDescent="0.3">
      <c r="A7" s="154">
        <v>3</v>
      </c>
      <c r="B7" s="159" t="s">
        <v>80</v>
      </c>
      <c r="C7" s="165">
        <f t="shared" si="1"/>
        <v>3</v>
      </c>
      <c r="D7" s="169" t="s">
        <v>10</v>
      </c>
      <c r="F7" s="53" t="s">
        <v>132</v>
      </c>
      <c r="G7" s="4">
        <v>0</v>
      </c>
      <c r="H7" s="171" t="str">
        <f t="shared" si="0"/>
        <v>0000 0005 - 5 = 0</v>
      </c>
      <c r="I7" s="44" t="s">
        <v>223</v>
      </c>
    </row>
    <row r="8" spans="1:9" ht="13.8" thickBot="1" x14ac:dyDescent="0.3">
      <c r="A8" s="154">
        <v>4</v>
      </c>
      <c r="B8" s="159" t="s">
        <v>81</v>
      </c>
      <c r="C8" s="165">
        <f t="shared" si="1"/>
        <v>4</v>
      </c>
      <c r="D8" s="169" t="s">
        <v>11</v>
      </c>
      <c r="F8" s="53" t="s">
        <v>132</v>
      </c>
      <c r="G8" s="4">
        <v>1</v>
      </c>
      <c r="H8" s="171" t="str">
        <f t="shared" si="0"/>
        <v>0000 0005 - 5 = 1</v>
      </c>
      <c r="I8" s="44" t="s">
        <v>222</v>
      </c>
    </row>
    <row r="9" spans="1:9" ht="13.8" thickBot="1" x14ac:dyDescent="0.3">
      <c r="A9" s="154">
        <v>5</v>
      </c>
      <c r="B9" s="159" t="s">
        <v>82</v>
      </c>
      <c r="C9" s="165">
        <f t="shared" si="1"/>
        <v>5</v>
      </c>
      <c r="D9" s="169" t="s">
        <v>12</v>
      </c>
      <c r="F9" s="53" t="s">
        <v>146</v>
      </c>
      <c r="G9" s="4">
        <v>0</v>
      </c>
      <c r="H9" s="171" t="str">
        <f t="shared" si="0"/>
        <v>0000 0005 - 4 = 0</v>
      </c>
      <c r="I9" s="44" t="s">
        <v>225</v>
      </c>
    </row>
    <row r="10" spans="1:9" ht="13.8" thickBot="1" x14ac:dyDescent="0.3">
      <c r="A10" s="154">
        <v>6</v>
      </c>
      <c r="B10" s="159" t="s">
        <v>83</v>
      </c>
      <c r="C10" s="165">
        <f t="shared" si="1"/>
        <v>6</v>
      </c>
      <c r="D10" s="169" t="s">
        <v>13</v>
      </c>
      <c r="F10" s="53" t="s">
        <v>146</v>
      </c>
      <c r="G10" s="4">
        <v>1</v>
      </c>
      <c r="H10" s="171" t="str">
        <f t="shared" si="0"/>
        <v>0000 0005 - 4 = 1</v>
      </c>
      <c r="I10" s="44" t="s">
        <v>226</v>
      </c>
    </row>
    <row r="11" spans="1:9" ht="13.8" thickBot="1" x14ac:dyDescent="0.3">
      <c r="A11" s="154">
        <v>7</v>
      </c>
      <c r="B11" s="159" t="s">
        <v>84</v>
      </c>
      <c r="C11" s="165">
        <f t="shared" si="1"/>
        <v>7</v>
      </c>
      <c r="D11" s="169" t="s">
        <v>14</v>
      </c>
      <c r="F11" s="53" t="s">
        <v>147</v>
      </c>
      <c r="G11" s="4">
        <v>0</v>
      </c>
      <c r="H11" s="171" t="str">
        <f t="shared" si="0"/>
        <v>0000 0005 - 3 = 0</v>
      </c>
      <c r="I11" s="44" t="s">
        <v>228</v>
      </c>
    </row>
    <row r="12" spans="1:9" ht="13.8" thickBot="1" x14ac:dyDescent="0.3">
      <c r="A12" s="154">
        <v>8</v>
      </c>
      <c r="B12" s="159" t="s">
        <v>85</v>
      </c>
      <c r="C12" s="165">
        <f t="shared" si="1"/>
        <v>8</v>
      </c>
      <c r="D12" s="169" t="s">
        <v>240</v>
      </c>
      <c r="F12" s="53" t="s">
        <v>147</v>
      </c>
      <c r="G12" s="4">
        <v>1</v>
      </c>
      <c r="H12" s="171" t="str">
        <f t="shared" si="0"/>
        <v>0000 0005 - 3 = 1</v>
      </c>
      <c r="I12" s="44" t="s">
        <v>227</v>
      </c>
    </row>
    <row r="13" spans="1:9" ht="13.8" thickBot="1" x14ac:dyDescent="0.3">
      <c r="A13" s="154">
        <v>9</v>
      </c>
      <c r="B13" s="159" t="s">
        <v>86</v>
      </c>
      <c r="C13" s="165">
        <f t="shared" si="1"/>
        <v>9</v>
      </c>
      <c r="D13" s="169" t="s">
        <v>241</v>
      </c>
      <c r="F13" s="61" t="s">
        <v>148</v>
      </c>
      <c r="G13" s="4">
        <v>0</v>
      </c>
      <c r="H13" s="171" t="str">
        <f t="shared" si="0"/>
        <v>0000 0005 - 2 = 0</v>
      </c>
      <c r="I13" s="44" t="s">
        <v>231</v>
      </c>
    </row>
    <row r="14" spans="1:9" ht="13.8" thickBot="1" x14ac:dyDescent="0.3">
      <c r="A14" s="154" t="s">
        <v>15</v>
      </c>
      <c r="B14" s="159" t="s">
        <v>87</v>
      </c>
      <c r="C14" s="165" t="str">
        <f t="shared" si="1"/>
        <v>a</v>
      </c>
      <c r="D14" s="169" t="s">
        <v>234</v>
      </c>
      <c r="F14" s="162" t="s">
        <v>148</v>
      </c>
      <c r="G14" s="4">
        <v>1</v>
      </c>
      <c r="H14" s="171" t="str">
        <f t="shared" si="0"/>
        <v>0000 0005 - 2 = 1</v>
      </c>
      <c r="I14" s="44" t="s">
        <v>230</v>
      </c>
    </row>
    <row r="15" spans="1:9" ht="13.8" thickBot="1" x14ac:dyDescent="0.3">
      <c r="A15" s="154" t="s">
        <v>16</v>
      </c>
      <c r="B15" s="159" t="s">
        <v>88</v>
      </c>
      <c r="C15" s="165" t="str">
        <f t="shared" si="1"/>
        <v>b</v>
      </c>
      <c r="D15" s="169" t="s">
        <v>235</v>
      </c>
      <c r="F15" s="55" t="s">
        <v>152</v>
      </c>
      <c r="G15" s="3" t="s">
        <v>29</v>
      </c>
      <c r="H15" s="171" t="str">
        <f t="shared" si="0"/>
        <v>0000 0005 - 1-0 = 00</v>
      </c>
      <c r="I15" s="163" t="s">
        <v>232</v>
      </c>
    </row>
    <row r="16" spans="1:9" ht="13.8" thickBot="1" x14ac:dyDescent="0.3">
      <c r="A16" s="154" t="s">
        <v>17</v>
      </c>
      <c r="B16" s="159" t="s">
        <v>89</v>
      </c>
      <c r="C16" s="165" t="str">
        <f t="shared" si="1"/>
        <v>c</v>
      </c>
      <c r="D16" s="169" t="s">
        <v>242</v>
      </c>
      <c r="F16" s="55" t="s">
        <v>152</v>
      </c>
      <c r="G16" s="3" t="s">
        <v>233</v>
      </c>
      <c r="H16" s="171" t="str">
        <f t="shared" si="0"/>
        <v>0000 0005 - 1-0 = 01</v>
      </c>
      <c r="I16" s="163" t="s">
        <v>236</v>
      </c>
    </row>
    <row r="17" spans="1:9" ht="13.8" thickBot="1" x14ac:dyDescent="0.3">
      <c r="A17" s="154" t="s">
        <v>18</v>
      </c>
      <c r="B17" s="159">
        <v>1101</v>
      </c>
      <c r="C17" s="165" t="str">
        <f t="shared" si="1"/>
        <v>d</v>
      </c>
      <c r="D17" s="169" t="s">
        <v>243</v>
      </c>
      <c r="F17" s="55" t="s">
        <v>152</v>
      </c>
      <c r="G17" s="3" t="s">
        <v>234</v>
      </c>
      <c r="H17" s="171" t="str">
        <f t="shared" si="0"/>
        <v>0000 0005 - 1-0 = 10</v>
      </c>
      <c r="I17" s="163" t="s">
        <v>237</v>
      </c>
    </row>
    <row r="18" spans="1:9" ht="13.8" thickBot="1" x14ac:dyDescent="0.3">
      <c r="A18" s="154" t="s">
        <v>19</v>
      </c>
      <c r="B18" s="159">
        <v>1110</v>
      </c>
      <c r="C18" s="165" t="str">
        <f t="shared" si="1"/>
        <v>e</v>
      </c>
      <c r="D18" s="169" t="s">
        <v>244</v>
      </c>
      <c r="F18" s="55" t="s">
        <v>152</v>
      </c>
      <c r="G18" s="3" t="s">
        <v>235</v>
      </c>
      <c r="H18" s="171" t="str">
        <f t="shared" si="0"/>
        <v>0000 0005 - 1-0 = 11</v>
      </c>
      <c r="I18" s="163" t="s">
        <v>238</v>
      </c>
    </row>
    <row r="19" spans="1:9" ht="13.8" thickBot="1" x14ac:dyDescent="0.3">
      <c r="A19" s="155" t="s">
        <v>20</v>
      </c>
      <c r="B19" s="160">
        <v>1111</v>
      </c>
      <c r="C19" s="166" t="str">
        <f t="shared" si="1"/>
        <v>f</v>
      </c>
      <c r="D19" s="170" t="s">
        <v>245</v>
      </c>
      <c r="F19" s="63" t="s">
        <v>128</v>
      </c>
      <c r="G19" s="3" t="s">
        <v>7</v>
      </c>
      <c r="H19" s="4" t="str">
        <f t="shared" si="0"/>
        <v>0000 0006 - 7 = 0</v>
      </c>
      <c r="I19" s="163" t="s">
        <v>248</v>
      </c>
    </row>
    <row r="20" spans="1:9" ht="13.8" thickBot="1" x14ac:dyDescent="0.3">
      <c r="F20" s="63" t="s">
        <v>128</v>
      </c>
      <c r="G20" s="5">
        <v>1</v>
      </c>
      <c r="H20" s="4" t="str">
        <f t="shared" si="0"/>
        <v>0000 0006 - 7 = 1</v>
      </c>
      <c r="I20" s="163" t="s">
        <v>249</v>
      </c>
    </row>
    <row r="21" spans="1:9" ht="13.8" thickBot="1" x14ac:dyDescent="0.3">
      <c r="F21" s="53" t="s">
        <v>133</v>
      </c>
      <c r="G21" s="5">
        <v>0</v>
      </c>
      <c r="H21" s="5" t="str">
        <f t="shared" si="0"/>
        <v>0000 0006 - 6 = 0</v>
      </c>
      <c r="I21" s="163" t="s">
        <v>250</v>
      </c>
    </row>
    <row r="22" spans="1:9" ht="13.8" thickBot="1" x14ac:dyDescent="0.3">
      <c r="F22" s="53" t="s">
        <v>133</v>
      </c>
      <c r="G22" s="5">
        <v>1</v>
      </c>
      <c r="H22" s="5" t="str">
        <f t="shared" si="0"/>
        <v>0000 0006 - 6 = 1</v>
      </c>
      <c r="I22" s="163" t="s">
        <v>251</v>
      </c>
    </row>
    <row r="23" spans="1:9" ht="13.8" thickBot="1" x14ac:dyDescent="0.3">
      <c r="F23" s="53" t="s">
        <v>134</v>
      </c>
      <c r="G23" s="5">
        <v>0</v>
      </c>
      <c r="H23" s="5" t="str">
        <f t="shared" si="0"/>
        <v>0000 0006 - 5 = 0</v>
      </c>
      <c r="I23" s="163" t="s">
        <v>252</v>
      </c>
    </row>
    <row r="24" spans="1:9" ht="13.8" thickBot="1" x14ac:dyDescent="0.3">
      <c r="F24" s="53" t="s">
        <v>134</v>
      </c>
      <c r="G24" s="174">
        <v>1</v>
      </c>
      <c r="H24" s="174" t="str">
        <f t="shared" si="0"/>
        <v>0000 0006 - 5 = 1</v>
      </c>
      <c r="I24" s="175" t="s">
        <v>253</v>
      </c>
    </row>
    <row r="25" spans="1:9" ht="13.8" thickBot="1" x14ac:dyDescent="0.3">
      <c r="F25" s="53" t="s">
        <v>135</v>
      </c>
      <c r="G25" s="5">
        <v>0</v>
      </c>
      <c r="H25" s="5" t="str">
        <f t="shared" si="0"/>
        <v>0000 0006 - 4 = 0</v>
      </c>
      <c r="I25" s="163" t="s">
        <v>254</v>
      </c>
    </row>
    <row r="26" spans="1:9" ht="13.8" thickBot="1" x14ac:dyDescent="0.3">
      <c r="F26" s="53" t="s">
        <v>135</v>
      </c>
      <c r="G26" s="5">
        <v>1</v>
      </c>
      <c r="H26" s="5" t="str">
        <f t="shared" si="0"/>
        <v>0000 0006 - 4 = 1</v>
      </c>
      <c r="I26" s="163" t="s">
        <v>255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T5L CFG - HEX</vt:lpstr>
      <vt:lpstr>T5L CFG - Interpretation</vt:lpstr>
      <vt:lpstr>T5L CFG Table from Manual</vt:lpstr>
      <vt:lpstr>Translation 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2022-05-13T04:20:12Z</dcterms:created>
  <dcterms:modified xsi:type="dcterms:W3CDTF">2022-11-23T03:26:18Z</dcterms:modified>
</cp:coreProperties>
</file>