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Demo_Adv_Veda\"/>
    </mc:Choice>
  </mc:AlternateContent>
  <xr:revisionPtr revIDLastSave="0" documentId="13_ncr:1_{1612F25E-1FD0-4D1A-9C0F-50BD551B2E89}" xr6:coauthVersionLast="47" xr6:coauthVersionMax="47" xr10:uidLastSave="{00000000-0000-0000-0000-000000000000}"/>
  <bookViews>
    <workbookView xWindow="3075" yWindow="3075" windowWidth="21600" windowHeight="12735" tabRatio="901" activeTab="3" xr2:uid="{00000000-000D-0000-FFFF-FFFF00000000}"/>
  </bookViews>
  <sheets>
    <sheet name="EB2" sheetId="133" r:id="rId1"/>
    <sheet name="RES_ELC" sheetId="153" r:id="rId2"/>
    <sheet name="Sector_Fuels" sheetId="140" r:id="rId3"/>
    <sheet name="Con_ELC" sheetId="143" r:id="rId4"/>
    <sheet name="Emi" sheetId="149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43" l="1"/>
  <c r="I14" i="143"/>
  <c r="H14" i="143"/>
  <c r="G14" i="143"/>
  <c r="U14" i="143" s="1"/>
  <c r="G33" i="143"/>
  <c r="J19" i="143" s="1"/>
  <c r="G32" i="143"/>
  <c r="J18" i="143" s="1"/>
  <c r="G30" i="143"/>
  <c r="J16" i="143" s="1"/>
  <c r="G28" i="143"/>
  <c r="U17" i="143"/>
  <c r="F11" i="143"/>
  <c r="E11" i="143"/>
  <c r="F9" i="133"/>
  <c r="I9" i="133"/>
  <c r="L9" i="133"/>
  <c r="R9" i="133"/>
  <c r="V6" i="133"/>
  <c r="E22" i="140"/>
  <c r="S9" i="133"/>
  <c r="U9" i="133"/>
  <c r="V7" i="133"/>
  <c r="AB19" i="143"/>
  <c r="AB18" i="143"/>
  <c r="AB17" i="143"/>
  <c r="C2" i="140"/>
  <c r="M12" i="140" s="1"/>
  <c r="M25" i="140" s="1"/>
  <c r="B2" i="140"/>
  <c r="L6" i="140"/>
  <c r="C23" i="140"/>
  <c r="C22" i="140"/>
  <c r="C21" i="140"/>
  <c r="C20" i="140"/>
  <c r="K11" i="143"/>
  <c r="G11" i="143"/>
  <c r="AB15" i="143"/>
  <c r="AA6" i="143"/>
  <c r="I2" i="143"/>
  <c r="N11" i="143"/>
  <c r="G2" i="143"/>
  <c r="R11" i="143"/>
  <c r="C2" i="143"/>
  <c r="Z6" i="143" s="1"/>
  <c r="B2" i="143"/>
  <c r="Y18" i="143" s="1"/>
  <c r="Z5" i="143"/>
  <c r="Y5" i="143"/>
  <c r="D15" i="143" s="1"/>
  <c r="D14" i="143"/>
  <c r="AB16" i="143"/>
  <c r="AB14" i="143"/>
  <c r="AB13" i="143"/>
  <c r="AB12" i="143"/>
  <c r="F2" i="140"/>
  <c r="F17" i="140"/>
  <c r="E2" i="140"/>
  <c r="N6" i="140" s="1"/>
  <c r="O24" i="140"/>
  <c r="N24" i="140"/>
  <c r="G27" i="143"/>
  <c r="E9" i="133"/>
  <c r="G29" i="143"/>
  <c r="L9" i="140"/>
  <c r="L22" i="140"/>
  <c r="B25" i="140"/>
  <c r="L7" i="140"/>
  <c r="D20" i="140" s="1"/>
  <c r="D25" i="140"/>
  <c r="C25" i="140"/>
  <c r="O11" i="143"/>
  <c r="L5" i="140"/>
  <c r="D18" i="140" s="1"/>
  <c r="C18" i="140" s="1"/>
  <c r="L12" i="140"/>
  <c r="L25" i="140" s="1"/>
  <c r="B28" i="140" s="1"/>
  <c r="L10" i="140"/>
  <c r="D26" i="140" s="1"/>
  <c r="C26" i="140" s="1"/>
  <c r="L8" i="140"/>
  <c r="L21" i="140" s="1"/>
  <c r="B24" i="140" s="1"/>
  <c r="D24" i="140"/>
  <c r="C24" i="140"/>
  <c r="E6" i="149"/>
  <c r="AA18" i="143"/>
  <c r="AA19" i="143"/>
  <c r="AA17" i="143"/>
  <c r="AA16" i="143"/>
  <c r="C16" i="143"/>
  <c r="Y14" i="143"/>
  <c r="B14" i="143" s="1"/>
  <c r="P11" i="143"/>
  <c r="D13" i="143"/>
  <c r="Y12" i="143"/>
  <c r="B12" i="143" s="1"/>
  <c r="D17" i="143"/>
  <c r="AA13" i="143"/>
  <c r="D12" i="143"/>
  <c r="AA5" i="143"/>
  <c r="D6" i="149"/>
  <c r="L19" i="140"/>
  <c r="B19" i="140"/>
  <c r="D19" i="140"/>
  <c r="C19" i="140" s="1"/>
  <c r="L23" i="140"/>
  <c r="B26" i="140"/>
  <c r="Y16" i="143"/>
  <c r="Z16" i="143" s="1"/>
  <c r="L11" i="140"/>
  <c r="AA15" i="143"/>
  <c r="AA14" i="143"/>
  <c r="AA12" i="143"/>
  <c r="L24" i="140"/>
  <c r="B27" i="140"/>
  <c r="D27" i="140"/>
  <c r="C27" i="140"/>
  <c r="V5" i="133" l="1"/>
  <c r="T9" i="133"/>
  <c r="Q9" i="133"/>
  <c r="E20" i="140"/>
  <c r="E23" i="140"/>
  <c r="P9" i="133"/>
  <c r="O9" i="133"/>
  <c r="J9" i="133"/>
  <c r="M9" i="133"/>
  <c r="H9" i="133"/>
  <c r="V8" i="133"/>
  <c r="G9" i="133"/>
  <c r="K9" i="133"/>
  <c r="N9" i="133"/>
  <c r="V9" i="133"/>
  <c r="G15" i="143"/>
  <c r="U15" i="143" s="1"/>
  <c r="J15" i="143"/>
  <c r="I15" i="143"/>
  <c r="H15" i="143"/>
  <c r="J13" i="143"/>
  <c r="I13" i="143"/>
  <c r="H13" i="143"/>
  <c r="G13" i="143"/>
  <c r="U13" i="143" s="1"/>
  <c r="Z18" i="143"/>
  <c r="B18" i="143"/>
  <c r="M11" i="140"/>
  <c r="M24" i="140" s="1"/>
  <c r="D9" i="133"/>
  <c r="O21" i="140"/>
  <c r="G18" i="143"/>
  <c r="U18" i="143" s="1"/>
  <c r="Y17" i="143"/>
  <c r="M7" i="140"/>
  <c r="M20" i="140" s="1"/>
  <c r="C12" i="143"/>
  <c r="O18" i="140"/>
  <c r="M10" i="140"/>
  <c r="M23" i="140" s="1"/>
  <c r="Y6" i="143"/>
  <c r="B8" i="149" s="1"/>
  <c r="O20" i="140"/>
  <c r="M6" i="140"/>
  <c r="M19" i="140" s="1"/>
  <c r="M8" i="140"/>
  <c r="M21" i="140" s="1"/>
  <c r="C19" i="143"/>
  <c r="O23" i="140"/>
  <c r="N19" i="140"/>
  <c r="N10" i="140"/>
  <c r="C17" i="143"/>
  <c r="E21" i="140"/>
  <c r="Z12" i="143"/>
  <c r="N25" i="140"/>
  <c r="N11" i="140"/>
  <c r="N8" i="140"/>
  <c r="N7" i="140"/>
  <c r="N12" i="140"/>
  <c r="H16" i="143"/>
  <c r="Y15" i="143"/>
  <c r="N9" i="140"/>
  <c r="M5" i="140"/>
  <c r="M18" i="140" s="1"/>
  <c r="C14" i="143"/>
  <c r="I16" i="143"/>
  <c r="M9" i="140"/>
  <c r="M22" i="140" s="1"/>
  <c r="G16" i="143"/>
  <c r="U16" i="143" s="1"/>
  <c r="N18" i="140"/>
  <c r="Y13" i="143"/>
  <c r="H18" i="143"/>
  <c r="O25" i="140"/>
  <c r="C18" i="143"/>
  <c r="I18" i="143"/>
  <c r="Y19" i="143"/>
  <c r="C15" i="143"/>
  <c r="D28" i="140"/>
  <c r="C28" i="140" s="1"/>
  <c r="Z14" i="143"/>
  <c r="N20" i="140"/>
  <c r="L18" i="140"/>
  <c r="B18" i="140" s="1"/>
  <c r="G26" i="143"/>
  <c r="G19" i="143"/>
  <c r="U19" i="143" s="1"/>
  <c r="D16" i="143"/>
  <c r="C13" i="143"/>
  <c r="H19" i="143"/>
  <c r="O22" i="140"/>
  <c r="N22" i="140"/>
  <c r="B16" i="143"/>
  <c r="C6" i="149"/>
  <c r="D18" i="143"/>
  <c r="D19" i="143"/>
  <c r="I19" i="143"/>
  <c r="N21" i="140"/>
  <c r="N23" i="140"/>
  <c r="N5" i="140"/>
  <c r="L20" i="140"/>
  <c r="B20" i="140" s="1"/>
  <c r="O19" i="140"/>
  <c r="H12" i="143" l="1"/>
  <c r="J12" i="143"/>
  <c r="I12" i="143"/>
  <c r="G12" i="143"/>
  <c r="U12" i="143" s="1"/>
  <c r="B19" i="143"/>
  <c r="Z19" i="143"/>
  <c r="Z13" i="143"/>
  <c r="B13" i="143"/>
  <c r="B17" i="143"/>
  <c r="Z17" i="143"/>
  <c r="B15" i="143"/>
  <c r="Z15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W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B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C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E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C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W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<sst xmlns="http://schemas.openxmlformats.org/spreadsheetml/2006/main" count="253" uniqueCount="174">
  <si>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</si>
  <si>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</si>
  <si>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</si>
  <si>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</si>
  <si>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</si>
  <si>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</si>
  <si>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</si>
  <si>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</si>
  <si>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</si>
  <si>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</si>
  <si>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</si>
  <si>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</si>
  <si>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</si>
  <si>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</si>
  <si>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</si>
  <si>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</si>
  <si>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</si>
  <si>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</si>
  <si>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</si>
  <si>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</si>
  <si>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</si>
  <si>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</si>
  <si>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</si>
  <si>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</si>
  <si>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</si>
  <si>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</si>
  <si>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</si>
  <si>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</si>
  <si>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</si>
  <si>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</si>
  <si>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</si>
  <si>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</si>
  <si>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</si>
  <si>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</si>
  <si>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</si>
  <si>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</si>
  <si>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</si>
  <si>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</si>
  <si>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</si>
  <si>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</si>
  <si>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</si>
  <si>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</si>
  <si>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</si>
  <si>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</si>
  <si>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</si>
  <si>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</si>
  <si>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</si>
  <si>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</si>
  <si>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</si>
  <si>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</si>
  <si>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</si>
  <si>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</si>
  <si>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</si>
  <si>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</si>
  <si>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</si>
  <si>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</si>
  <si>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</si>
  <si>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</si>
  <si>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</si>
  <si>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</si>
  <si>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</si>
  <si>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</si>
  <si>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</si>
  <si>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</si>
  <si>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</si>
  <si>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</si>
  <si>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</si>
  <si>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</si>
  <si>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</si>
  <si>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</si>
  <si>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</si>
  <si>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</si>
  <si>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</si>
  <si>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</si>
  <si>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</si>
  <si>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</si>
  <si>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</si>
  <si>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</si>
  <si>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Remaining Lifetime</t>
  </si>
  <si>
    <t>Default Units</t>
  </si>
  <si>
    <t>Currency</t>
  </si>
  <si>
    <t>Activity</t>
  </si>
  <si>
    <t>Fixed O&amp;M Cost</t>
  </si>
  <si>
    <t>AFA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</si>
  <si>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</si>
  <si>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</si>
  <si>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</si>
  <si>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</si>
  <si>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</si>
  <si>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</si>
  <si>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</si>
  <si>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</si>
  <si>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</si>
  <si>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</si>
  <si>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</si>
  <si>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</si>
  <si>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</si>
  <si>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</si>
  <si>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</si>
  <si>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</si>
  <si>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</si>
  <si>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</si>
  <si>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</si>
  <si>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</si>
  <si>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</si>
  <si>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</si>
  <si>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</si>
  <si>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</si>
  <si>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</si>
  <si>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</si>
  <si>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</si>
  <si>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</si>
  <si>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</si>
  <si>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</si>
  <si>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</si>
  <si>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</si>
  <si>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</si>
  <si>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</si>
  <si>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</si>
  <si>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</si>
  <si>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</si>
  <si>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</si>
  <si>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</si>
  <si>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REG2</t>
  </si>
  <si>
    <t>Nuclear</t>
  </si>
  <si>
    <t>STOCK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</si>
  <si>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</si>
  <si>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</si>
  <si>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</si>
  <si>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</si>
  <si>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</si>
  <si>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</si>
  <si>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</si>
  <si>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</si>
  <si>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</si>
  <si>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</si>
  <si>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</si>
  <si>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</si>
  <si>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Diesel oil</t>
  </si>
  <si>
    <t>Dynamic coefficients for combustion emissions in transport</t>
  </si>
  <si>
    <t>~COMEMI</t>
  </si>
  <si>
    <t>Share-I~UP</t>
  </si>
  <si>
    <t>Input Share</t>
  </si>
  <si>
    <t>Crude Oil</t>
  </si>
  <si>
    <t>Data used in the template to buld the model</t>
  </si>
  <si>
    <t>M€2005</t>
  </si>
  <si>
    <t>User inputs</t>
  </si>
  <si>
    <t>Linked to the Energy Balance</t>
  </si>
  <si>
    <t>kt/PJ</t>
  </si>
  <si>
    <t>Reference Energy System (from VEDA-FE Go-To RES feature)</t>
  </si>
  <si>
    <t>Conversion (Power Sector)</t>
  </si>
  <si>
    <t>STOCK~2030</t>
  </si>
  <si>
    <t>ELC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</si>
  <si>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</si>
  <si>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</si>
  <si>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</si>
  <si>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</si>
  <si>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</si>
  <si>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</si>
  <si>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</si>
  <si>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</si>
  <si>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TOT</t>
  </si>
  <si>
    <t>INVCOST</t>
  </si>
  <si>
    <t>Invesctment Cost</t>
  </si>
  <si>
    <t>CAP2ACT</t>
  </si>
  <si>
    <t>Lifetime</t>
  </si>
  <si>
    <t>PASTI~1960</t>
  </si>
  <si>
    <t>PASTI~1980</t>
  </si>
  <si>
    <t>Past Investment Capacity</t>
  </si>
  <si>
    <t>IT</t>
  </si>
  <si>
    <t>BE</t>
  </si>
  <si>
    <t>NL</t>
  </si>
  <si>
    <t>UK</t>
  </si>
  <si>
    <t>~FI_T: Stock~2000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</si>
</sst>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General_)"/>
    <numFmt numFmtId="166" formatCode="0.0"/>
    <numFmt numFmtId="167" formatCode="\Te\x\t"/>
  </numFmts>
  <fonts count="32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16" applyNumberFormat="0" applyAlignment="0" applyProtection="0"/>
    <xf numFmtId="164" fontId="16" fillId="0" borderId="0" applyFont="0" applyFill="0" applyBorder="0" applyAlignment="0" applyProtection="0"/>
    <xf numFmtId="0" fontId="19" fillId="8" borderId="0" applyNumberFormat="0" applyBorder="0" applyAlignment="0" applyProtection="0"/>
    <xf numFmtId="0" fontId="20" fillId="9" borderId="16" applyNumberFormat="0" applyAlignment="0" applyProtection="0"/>
    <xf numFmtId="0" fontId="21" fillId="1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126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11" applyFill="1" applyBorder="1" applyAlignment="1">
      <alignment horizontal="right"/>
    </xf>
    <xf numFmtId="0" fontId="4" fillId="0" borderId="0" xfId="11" applyFont="1" applyFill="1" applyAlignment="1">
      <alignment horizontal="left"/>
    </xf>
    <xf numFmtId="0" fontId="3" fillId="0" borderId="0" xfId="11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" fontId="0" fillId="0" borderId="0" xfId="0" applyNumberFormat="1"/>
    <xf numFmtId="0" fontId="3" fillId="0" borderId="0" xfId="0" applyFont="1" applyFill="1"/>
    <xf numFmtId="0" fontId="17" fillId="6" borderId="0" xfId="3"/>
    <xf numFmtId="0" fontId="22" fillId="0" borderId="0" xfId="6" applyFont="1" applyFill="1"/>
    <xf numFmtId="0" fontId="22" fillId="11" borderId="0" xfId="6" applyFont="1" applyFill="1"/>
    <xf numFmtId="0" fontId="3" fillId="0" borderId="0" xfId="8" applyFont="1" applyFill="1"/>
    <xf numFmtId="1" fontId="3" fillId="0" borderId="0" xfId="0" applyNumberFormat="1" applyFont="1" applyFill="1"/>
    <xf numFmtId="0" fontId="23" fillId="4" borderId="2" xfId="1" applyFont="1" applyBorder="1" applyAlignment="1">
      <alignment horizontal="center" wrapText="1"/>
    </xf>
    <xf numFmtId="0" fontId="23" fillId="4" borderId="3" xfId="1" applyFont="1" applyBorder="1" applyAlignment="1">
      <alignment horizontal="left" wrapText="1"/>
    </xf>
    <xf numFmtId="0" fontId="2" fillId="2" borderId="3" xfId="11" applyFont="1" applyFill="1" applyBorder="1" applyAlignment="1">
      <alignment horizontal="left" vertical="center"/>
    </xf>
    <xf numFmtId="0" fontId="2" fillId="2" borderId="3" xfId="11" applyFont="1" applyFill="1" applyBorder="1" applyAlignment="1">
      <alignment horizontal="left" vertical="center" wrapText="1"/>
    </xf>
    <xf numFmtId="0" fontId="22" fillId="11" borderId="0" xfId="6" applyFont="1" applyFill="1" applyAlignment="1">
      <alignment wrapText="1"/>
    </xf>
    <xf numFmtId="0" fontId="24" fillId="0" borderId="0" xfId="0" applyFont="1"/>
    <xf numFmtId="0" fontId="17" fillId="6" borderId="0" xfId="3" applyAlignment="1">
      <alignment wrapText="1"/>
    </xf>
    <xf numFmtId="0" fontId="3" fillId="0" borderId="0" xfId="9"/>
    <xf numFmtId="0" fontId="3" fillId="0" borderId="0" xfId="9" applyFont="1"/>
    <xf numFmtId="0" fontId="3" fillId="0" borderId="0" xfId="9" applyFill="1"/>
    <xf numFmtId="0" fontId="3" fillId="0" borderId="0" xfId="9" applyFill="1" applyBorder="1"/>
    <xf numFmtId="0" fontId="3" fillId="0" borderId="0" xfId="9" applyBorder="1"/>
    <xf numFmtId="0" fontId="3" fillId="0" borderId="0" xfId="9" applyFill="1" applyBorder="1" applyAlignment="1">
      <alignment wrapText="1"/>
    </xf>
    <xf numFmtId="0" fontId="2" fillId="0" borderId="0" xfId="11" applyFont="1" applyFill="1" applyBorder="1" applyAlignment="1">
      <alignment horizontal="right" vertical="center" wrapText="1"/>
    </xf>
    <xf numFmtId="0" fontId="25" fillId="0" borderId="0" xfId="6" applyFont="1" applyFill="1"/>
    <xf numFmtId="0" fontId="26" fillId="0" borderId="0" xfId="3" applyFont="1" applyFill="1" applyAlignment="1">
      <alignment wrapText="1"/>
    </xf>
    <xf numFmtId="0" fontId="17" fillId="0" borderId="0" xfId="3" applyFill="1"/>
    <xf numFmtId="1" fontId="27" fillId="12" borderId="0" xfId="2" applyNumberFormat="1" applyFont="1" applyFill="1" applyBorder="1" applyAlignment="1">
      <alignment horizontal="right" wrapText="1"/>
    </xf>
    <xf numFmtId="0" fontId="28" fillId="0" borderId="0" xfId="2" applyFont="1" applyFill="1" applyBorder="1" applyAlignment="1">
      <alignment horizontal="right" wrapText="1"/>
    </xf>
    <xf numFmtId="0" fontId="23" fillId="0" borderId="0" xfId="2" applyFont="1" applyFill="1" applyBorder="1" applyAlignment="1">
      <alignment horizontal="right" wrapText="1"/>
    </xf>
    <xf numFmtId="1" fontId="27" fillId="0" borderId="0" xfId="2" applyNumberFormat="1" applyFont="1" applyFill="1" applyBorder="1" applyAlignment="1">
      <alignment horizontal="right" wrapText="1"/>
    </xf>
    <xf numFmtId="0" fontId="23" fillId="5" borderId="4" xfId="2" applyFont="1" applyBorder="1" applyAlignment="1">
      <alignment wrapText="1"/>
    </xf>
    <xf numFmtId="0" fontId="9" fillId="3" borderId="0" xfId="9" quotePrefix="1" applyFont="1" applyFill="1" applyBorder="1" applyAlignment="1"/>
    <xf numFmtId="0" fontId="9" fillId="0" borderId="0" xfId="9" quotePrefix="1" applyFont="1" applyFill="1" applyBorder="1" applyAlignment="1"/>
    <xf numFmtId="0" fontId="2" fillId="2" borderId="2" xfId="11" applyFont="1" applyFill="1" applyBorder="1" applyAlignment="1">
      <alignment horizontal="left" vertical="center"/>
    </xf>
    <xf numFmtId="0" fontId="2" fillId="0" borderId="0" xfId="11" applyFont="1" applyFill="1" applyBorder="1" applyAlignment="1">
      <alignment horizontal="left" vertical="center"/>
    </xf>
    <xf numFmtId="0" fontId="23" fillId="4" borderId="2" xfId="1" applyFont="1" applyBorder="1" applyAlignment="1">
      <alignment horizontal="left" wrapText="1"/>
    </xf>
    <xf numFmtId="0" fontId="29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9" fillId="13" borderId="0" xfId="0" applyFont="1" applyFill="1"/>
    <xf numFmtId="1" fontId="20" fillId="9" borderId="5" xfId="7" applyNumberFormat="1" applyBorder="1" applyAlignment="1"/>
    <xf numFmtId="1" fontId="20" fillId="9" borderId="0" xfId="7" applyNumberFormat="1" applyBorder="1" applyAlignment="1"/>
    <xf numFmtId="0" fontId="29" fillId="0" borderId="0" xfId="0" applyFont="1" applyFill="1"/>
    <xf numFmtId="165" fontId="18" fillId="7" borderId="6" xfId="4" applyNumberFormat="1" applyBorder="1" applyAlignment="1">
      <alignment horizontal="right" vertical="center"/>
    </xf>
    <xf numFmtId="1" fontId="18" fillId="7" borderId="17" xfId="4" applyNumberFormat="1" applyBorder="1" applyAlignment="1">
      <alignment horizontal="right"/>
    </xf>
    <xf numFmtId="1" fontId="18" fillId="7" borderId="18" xfId="4" applyNumberFormat="1" applyBorder="1" applyAlignment="1">
      <alignment horizontal="right"/>
    </xf>
    <xf numFmtId="165" fontId="8" fillId="14" borderId="7" xfId="0" applyNumberFormat="1" applyFont="1" applyFill="1" applyBorder="1" applyAlignment="1">
      <alignment horizontal="left" vertical="center"/>
    </xf>
    <xf numFmtId="1" fontId="0" fillId="14" borderId="0" xfId="0" applyNumberFormat="1" applyFill="1" applyBorder="1" applyAlignment="1"/>
    <xf numFmtId="165" fontId="8" fillId="14" borderId="8" xfId="0" applyNumberFormat="1" applyFont="1" applyFill="1" applyBorder="1" applyAlignment="1">
      <alignment horizontal="left" vertical="center"/>
    </xf>
    <xf numFmtId="0" fontId="0" fillId="14" borderId="0" xfId="0" applyFill="1"/>
    <xf numFmtId="1" fontId="18" fillId="7" borderId="19" xfId="4" applyNumberFormat="1" applyBorder="1" applyAlignment="1">
      <alignment horizontal="right"/>
    </xf>
    <xf numFmtId="0" fontId="2" fillId="13" borderId="9" xfId="0" applyFont="1" applyFill="1" applyBorder="1" applyAlignment="1">
      <alignment wrapText="1"/>
    </xf>
    <xf numFmtId="0" fontId="29" fillId="13" borderId="9" xfId="0" applyFont="1" applyFill="1" applyBorder="1" applyAlignment="1">
      <alignment wrapText="1"/>
    </xf>
    <xf numFmtId="0" fontId="29" fillId="13" borderId="6" xfId="0" applyFont="1" applyFill="1" applyBorder="1" applyAlignment="1">
      <alignment wrapText="1"/>
    </xf>
    <xf numFmtId="0" fontId="29" fillId="13" borderId="10" xfId="0" applyFont="1" applyFill="1" applyBorder="1" applyAlignment="1">
      <alignment wrapText="1"/>
    </xf>
    <xf numFmtId="0" fontId="2" fillId="13" borderId="6" xfId="0" applyFont="1" applyFill="1" applyBorder="1" applyAlignment="1">
      <alignment wrapText="1"/>
    </xf>
    <xf numFmtId="165" fontId="8" fillId="15" borderId="11" xfId="0" applyNumberFormat="1" applyFont="1" applyFill="1" applyBorder="1" applyAlignment="1">
      <alignment horizontal="center" vertical="center"/>
    </xf>
    <xf numFmtId="0" fontId="22" fillId="11" borderId="0" xfId="6" applyFont="1" applyFill="1" applyAlignment="1">
      <alignment horizontal="left"/>
    </xf>
    <xf numFmtId="0" fontId="3" fillId="14" borderId="0" xfId="8" applyFont="1" applyFill="1"/>
    <xf numFmtId="0" fontId="0" fillId="16" borderId="0" xfId="0" applyFill="1"/>
    <xf numFmtId="166" fontId="0" fillId="16" borderId="0" xfId="0" applyNumberFormat="1" applyFill="1"/>
    <xf numFmtId="2" fontId="3" fillId="14" borderId="0" xfId="8" applyNumberFormat="1" applyFont="1" applyFill="1"/>
    <xf numFmtId="2" fontId="3" fillId="0" borderId="0" xfId="8" applyNumberFormat="1" applyFont="1" applyFill="1"/>
    <xf numFmtId="9" fontId="3" fillId="16" borderId="0" xfId="16" applyFont="1" applyFill="1"/>
    <xf numFmtId="0" fontId="3" fillId="14" borderId="0" xfId="9" applyFill="1"/>
    <xf numFmtId="2" fontId="3" fillId="14" borderId="0" xfId="9" applyNumberFormat="1" applyFill="1"/>
    <xf numFmtId="2" fontId="0" fillId="14" borderId="0" xfId="0" applyNumberFormat="1" applyFill="1" applyBorder="1"/>
    <xf numFmtId="1" fontId="0" fillId="14" borderId="0" xfId="0" applyNumberFormat="1" applyFill="1" applyBorder="1"/>
    <xf numFmtId="0" fontId="4" fillId="0" borderId="0" xfId="0" applyFont="1" applyFill="1" applyAlignment="1">
      <alignment horizontal="left"/>
    </xf>
    <xf numFmtId="0" fontId="9" fillId="0" borderId="0" xfId="0" applyFont="1" applyFill="1"/>
    <xf numFmtId="0" fontId="2" fillId="17" borderId="0" xfId="0" applyFont="1" applyFill="1"/>
    <xf numFmtId="0" fontId="30" fillId="0" borderId="0" xfId="0" applyFont="1"/>
    <xf numFmtId="0" fontId="2" fillId="2" borderId="3" xfId="11" applyFont="1" applyFill="1" applyBorder="1" applyAlignment="1">
      <alignment horizontal="center" vertical="center" wrapText="1"/>
    </xf>
    <xf numFmtId="0" fontId="23" fillId="4" borderId="12" xfId="1" applyFont="1" applyBorder="1" applyAlignment="1">
      <alignment horizontal="center" wrapText="1"/>
    </xf>
    <xf numFmtId="0" fontId="2" fillId="2" borderId="3" xfId="12" applyFont="1" applyFill="1" applyBorder="1" applyAlignment="1">
      <alignment horizontal="center" vertical="center"/>
    </xf>
    <xf numFmtId="165" fontId="7" fillId="0" borderId="13" xfId="0" applyNumberFormat="1" applyFont="1" applyBorder="1" applyAlignment="1">
      <alignment horizontal="left" vertical="center"/>
    </xf>
    <xf numFmtId="0" fontId="2" fillId="0" borderId="14" xfId="0" applyFont="1" applyBorder="1" applyAlignment="1"/>
    <xf numFmtId="1" fontId="2" fillId="14" borderId="15" xfId="0" applyNumberFormat="1" applyFont="1" applyFill="1" applyBorder="1" applyAlignment="1"/>
    <xf numFmtId="0" fontId="14" fillId="0" borderId="0" xfId="0" applyFont="1" applyBorder="1" applyAlignment="1"/>
    <xf numFmtId="0" fontId="0" fillId="17" borderId="0" xfId="0" applyFill="1"/>
    <xf numFmtId="0" fontId="23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165" fontId="8" fillId="15" borderId="13" xfId="0" applyNumberFormat="1" applyFont="1" applyFill="1" applyBorder="1" applyAlignment="1">
      <alignment horizontal="center" vertical="center"/>
    </xf>
    <xf numFmtId="165" fontId="8" fillId="15" borderId="14" xfId="0" applyNumberFormat="1" applyFont="1" applyFill="1" applyBorder="1" applyAlignment="1">
      <alignment horizontal="center" vertical="center"/>
    </xf>
    <xf numFmtId="166" fontId="0" fillId="16" borderId="0" xfId="0" applyNumberFormat="1" applyFill="1" applyBorder="1"/>
    <xf numFmtId="0" fontId="3" fillId="14" borderId="0" xfId="9" applyFill="1" applyBorder="1"/>
    <xf numFmtId="2" fontId="3" fillId="14" borderId="0" xfId="9" applyNumberFormat="1" applyFill="1" applyBorder="1"/>
    <xf numFmtId="0" fontId="23" fillId="4" borderId="4" xfId="1" applyFont="1" applyBorder="1" applyAlignment="1">
      <alignment horizontal="left" wrapText="1"/>
    </xf>
    <xf numFmtId="0" fontId="28" fillId="5" borderId="4" xfId="2" applyFont="1" applyBorder="1" applyAlignment="1">
      <alignment horizontal="center" wrapText="1"/>
    </xf>
    <xf numFmtId="1" fontId="3" fillId="0" borderId="0" xfId="9" applyNumberFormat="1"/>
    <xf numFmtId="0" fontId="2" fillId="13" borderId="4" xfId="0" applyFont="1" applyFill="1" applyBorder="1" applyAlignment="1">
      <alignment wrapText="1"/>
    </xf>
    <xf numFmtId="0" fontId="2" fillId="13" borderId="10" xfId="0" applyFont="1" applyFill="1" applyBorder="1" applyAlignment="1">
      <alignment wrapText="1"/>
    </xf>
    <xf numFmtId="0" fontId="31" fillId="18" borderId="1" xfId="3" applyFont="1" applyFill="1" applyBorder="1" applyAlignment="1">
      <alignment horizontal="left" vertical="center"/>
    </xf>
    <xf numFmtId="0" fontId="23" fillId="12" borderId="2" xfId="2" applyFont="1" applyFill="1" applyBorder="1" applyAlignment="1">
      <alignment horizontal="center" wrapText="1"/>
    </xf>
    <xf numFmtId="0" fontId="23" fillId="4" borderId="2" xfId="1" applyFont="1" applyBorder="1" applyAlignment="1">
      <alignment horizontal="center" wrapText="1"/>
    </xf>
    <xf numFmtId="0" fontId="23" fillId="4" borderId="3" xfId="1" applyFont="1" applyBorder="1" applyAlignment="1">
      <alignment horizontal="left" wrapText="1"/>
    </xf>
    <xf numFmtId="0" fontId="2" fillId="2" borderId="3" xfId="12" applyFont="1" applyFill="1" applyBorder="1" applyAlignment="1">
      <alignment horizontal="left" vertical="center" wrapText="1"/>
    </xf>
    <xf numFmtId="1" fontId="0" fillId="14" borderId="0" xfId="0" applyNumberFormat="1" applyFill="1" applyBorder="1"/>
    <xf numFmtId="166" fontId="0" fillId="0" borderId="0" xfId="0" applyNumberFormat="1" applyFill="1" applyBorder="1"/>
    <xf numFmtId="167" fontId="4" fillId="0" borderId="0" xfId="0" applyNumberFormat="1" applyFont="1"/>
    <xf numFmtId="167" fontId="3" fillId="0" borderId="0" xfId="0" applyNumberFormat="1" applyFont="1"/>
    <xf numFmtId="167" fontId="2" fillId="2" borderId="3" xfId="0" applyNumberFormat="1" applyFont="1" applyFill="1" applyBorder="1" applyAlignment="1">
      <alignment horizontal="left"/>
    </xf>
    <xf numFmtId="167" fontId="2" fillId="2" borderId="4" xfId="0" applyNumberFormat="1" applyFont="1" applyFill="1" applyBorder="1" applyAlignment="1">
      <alignment horizontal="left"/>
    </xf>
    <xf numFmtId="167" fontId="23" fillId="4" borderId="2" xfId="1" applyNumberFormat="1" applyFont="1" applyBorder="1" applyAlignment="1">
      <alignment horizontal="left" wrapText="1"/>
    </xf>
    <xf numFmtId="167" fontId="0" fillId="0" borderId="0" xfId="0" applyNumberFormat="1" applyFill="1"/>
    <xf numFmtId="167" fontId="0" fillId="0" borderId="0" xfId="0" applyNumberFormat="1" applyFill="1" applyAlignment="1">
      <alignment wrapText="1"/>
    </xf>
    <xf numFmtId="167" fontId="0" fillId="0" borderId="0" xfId="0" applyNumberFormat="1"/>
    <xf numFmtId="167" fontId="23" fillId="4" borderId="2" xfId="1" applyNumberFormat="1" applyFont="1" applyBorder="1" applyAlignment="1">
      <alignment horizontal="center" wrapText="1"/>
    </xf>
    <xf numFmtId="167" fontId="3" fillId="0" borderId="0" xfId="0" applyNumberFormat="1" applyFont="1" applyFill="1"/>
    <xf numFmtId="167" fontId="3" fillId="0" borderId="0" xfId="9" applyNumberFormat="1"/>
    <xf numFmtId="167" fontId="3" fillId="0" borderId="0" xfId="9" applyNumberFormat="1" applyFont="1"/>
    <xf numFmtId="167" fontId="3" fillId="0" borderId="0" xfId="9" applyNumberFormat="1" applyFont="1" applyBorder="1"/>
    <xf numFmtId="167" fontId="3" fillId="0" borderId="0" xfId="9" applyNumberFormat="1" applyBorder="1"/>
    <xf numFmtId="167" fontId="0" fillId="0" borderId="0" xfId="0" applyNumberFormat="1" applyFill="1" applyBorder="1"/>
    <xf numFmtId="167" fontId="0" fillId="0" borderId="0" xfId="0" applyNumberFormat="1" applyFill="1" applyAlignment="1"/>
    <xf numFmtId="1" fontId="0" fillId="16" borderId="0" xfId="0" applyNumberFormat="1" applyFill="1"/>
    <xf numFmtId="0" fontId="14" fillId="0" borderId="9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0" xfId="0" applyFont="1" applyBorder="1" applyAlignment="1">
      <alignment horizontal="center"/>
    </xf>
  </cellXfs>
  <cellStyles count="27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 2" xfId="16" xr:uid="{00000000-0005-0000-0000-000010000000}"/>
    <cellStyle name="Percent 3" xfId="17" xr:uid="{00000000-0005-0000-0000-000011000000}"/>
    <cellStyle name="Percent 3 2" xfId="18" xr:uid="{00000000-0005-0000-0000-000012000000}"/>
    <cellStyle name="Percent 3 3" xfId="19" xr:uid="{00000000-0005-0000-0000-000013000000}"/>
    <cellStyle name="Percent 4" xfId="20" xr:uid="{00000000-0005-0000-0000-000014000000}"/>
    <cellStyle name="Percent 4 2" xfId="21" xr:uid="{00000000-0005-0000-0000-000015000000}"/>
    <cellStyle name="Percent 4 3" xfId="22" xr:uid="{00000000-0005-0000-0000-000016000000}"/>
    <cellStyle name="Percent 5" xfId="23" xr:uid="{00000000-0005-0000-0000-000017000000}"/>
    <cellStyle name="Percent 6" xfId="24" xr:uid="{00000000-0005-0000-0000-000018000000}"/>
    <cellStyle name="Percent 7" xfId="25" xr:uid="{00000000-0005-0000-0000-000019000000}"/>
    <cellStyle name="Standard_Sce_D_Extraction" xfId="26" xr:uid="{00000000-0005-0000-0000-00001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4274" name="Picture 6">
          <a:extLst>
            <a:ext uri="{FF2B5EF4-FFF2-40B4-BE49-F238E27FC236}">
              <a16:creationId xmlns:a16="http://schemas.microsoft.com/office/drawing/2014/main" id="{075799E6-2F15-41EB-983F-A0DC23DEF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495300</xdr:colOff>
      <xdr:row>127</xdr:row>
      <xdr:rowOff>133350</xdr:rowOff>
    </xdr:to>
    <xdr:pic>
      <xdr:nvPicPr>
        <xdr:cNvPr id="54275" name="Picture 8">
          <a:extLst>
            <a:ext uri="{FF2B5EF4-FFF2-40B4-BE49-F238E27FC236}">
              <a16:creationId xmlns:a16="http://schemas.microsoft.com/office/drawing/2014/main" id="{B1C05CDC-F7F1-47FF-8F1E-D1986F8D8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4276" name="Picture 4">
          <a:extLst>
            <a:ext uri="{FF2B5EF4-FFF2-40B4-BE49-F238E27FC236}">
              <a16:creationId xmlns:a16="http://schemas.microsoft.com/office/drawing/2014/main" id="{31550CB1-E39C-420D-A79D-51816B68F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4277" name="Picture 5">
          <a:extLst>
            <a:ext uri="{FF2B5EF4-FFF2-40B4-BE49-F238E27FC236}">
              <a16:creationId xmlns:a16="http://schemas.microsoft.com/office/drawing/2014/main" id="{03953633-76D7-4FE5-B65D-C7C764C6B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27</xdr:row>
      <xdr:rowOff>0</xdr:rowOff>
    </xdr:from>
    <xdr:to>
      <xdr:col>14</xdr:col>
      <xdr:colOff>407671</xdr:colOff>
      <xdr:row>33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7CA936-C2A2-4153-90EF-11509618F586}"/>
            </a:ext>
          </a:extLst>
        </xdr:cNvPr>
        <xdr:cNvSpPr txBox="1"/>
      </xdr:nvSpPr>
      <xdr:spPr>
        <a:xfrm>
          <a:off x="6534150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137583</xdr:colOff>
      <xdr:row>21</xdr:row>
      <xdr:rowOff>10582</xdr:rowOff>
    </xdr:from>
    <xdr:to>
      <xdr:col>28</xdr:col>
      <xdr:colOff>112589</xdr:colOff>
      <xdr:row>29</xdr:row>
      <xdr:rowOff>2994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64BBBE6-89AA-4775-861F-36CDEA6C1E2A}"/>
            </a:ext>
          </a:extLst>
        </xdr:cNvPr>
        <xdr:cNvSpPr txBox="1"/>
      </xdr:nvSpPr>
      <xdr:spPr>
        <a:xfrm>
          <a:off x="10657416" y="4233332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481940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C40832-3D56-44B0-8C9A-7286E22B2A51}"/>
            </a:ext>
          </a:extLst>
        </xdr:cNvPr>
        <xdr:cNvSpPr txBox="1"/>
      </xdr:nvSpPr>
      <xdr:spPr>
        <a:xfrm>
          <a:off x="590550" y="214312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 power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AA17"/>
  <sheetViews>
    <sheetView zoomScale="80" zoomScaleNormal="80" workbookViewId="0"/>
  </sheetViews>
  <sheetFormatPr defaultRowHeight="12.75" x14ac:dyDescent="0.2"/>
  <cols>
    <col min="1" max="1" width="3" bestFit="1" customWidth="1"/>
    <col min="2" max="2" width="20.5703125" bestFit="1" customWidth="1"/>
    <col min="3" max="3" width="46.42578125" bestFit="1" customWidth="1"/>
    <col min="4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</cols>
  <sheetData>
    <row r="1" spans="1:27" s="6" customFormat="1" x14ac:dyDescent="0.2">
      <c r="X1" s="22" t="s">
        <v>79</v>
      </c>
      <c r="Y1" s="1" t="s">
        <v>80</v>
      </c>
      <c r="Z1" s="1" t="s">
        <v>81</v>
      </c>
      <c r="AA1" s="1" t="s">
        <v>88</v>
      </c>
    </row>
    <row r="2" spans="1:27" ht="15.75" x14ac:dyDescent="0.25">
      <c r="C2" s="7"/>
      <c r="D2" s="44" t="s">
        <v>42</v>
      </c>
      <c r="E2" s="44" t="s">
        <v>43</v>
      </c>
      <c r="F2" s="44" t="s">
        <v>44</v>
      </c>
      <c r="G2" s="44" t="s">
        <v>126</v>
      </c>
      <c r="H2" s="44" t="s">
        <v>127</v>
      </c>
      <c r="I2" s="44" t="s">
        <v>128</v>
      </c>
      <c r="J2" s="44" t="s">
        <v>129</v>
      </c>
      <c r="K2" s="44" t="s">
        <v>130</v>
      </c>
      <c r="L2" s="44" t="s">
        <v>131</v>
      </c>
      <c r="M2" s="44" t="s">
        <v>132</v>
      </c>
      <c r="N2" s="44" t="s">
        <v>45</v>
      </c>
      <c r="O2" s="44" t="s">
        <v>153</v>
      </c>
      <c r="P2" s="44" t="s">
        <v>154</v>
      </c>
      <c r="Q2" s="44" t="s">
        <v>155</v>
      </c>
      <c r="R2" s="44" t="s">
        <v>156</v>
      </c>
      <c r="S2" s="44" t="s">
        <v>46</v>
      </c>
      <c r="T2" s="44" t="s">
        <v>47</v>
      </c>
      <c r="U2" s="44" t="s">
        <v>48</v>
      </c>
      <c r="V2" s="44" t="s">
        <v>161</v>
      </c>
      <c r="X2" s="8"/>
      <c r="Y2" s="64" t="s">
        <v>145</v>
      </c>
      <c r="Z2" s="14" t="s">
        <v>68</v>
      </c>
      <c r="AA2" s="14" t="s">
        <v>89</v>
      </c>
    </row>
    <row r="3" spans="1:27" ht="25.5" x14ac:dyDescent="0.2">
      <c r="C3" s="99" t="s">
        <v>123</v>
      </c>
      <c r="D3" s="58" t="s">
        <v>49</v>
      </c>
      <c r="E3" s="97" t="s">
        <v>50</v>
      </c>
      <c r="F3" s="97" t="s">
        <v>143</v>
      </c>
      <c r="G3" s="97" t="s">
        <v>138</v>
      </c>
      <c r="H3" s="97" t="s">
        <v>133</v>
      </c>
      <c r="I3" s="97" t="s">
        <v>128</v>
      </c>
      <c r="J3" s="97" t="s">
        <v>134</v>
      </c>
      <c r="K3" s="97" t="s">
        <v>135</v>
      </c>
      <c r="L3" s="97" t="s">
        <v>136</v>
      </c>
      <c r="M3" s="97" t="s">
        <v>137</v>
      </c>
      <c r="N3" s="97" t="s">
        <v>51</v>
      </c>
      <c r="O3" s="97" t="s">
        <v>157</v>
      </c>
      <c r="P3" s="97" t="s">
        <v>158</v>
      </c>
      <c r="Q3" s="97" t="s">
        <v>159</v>
      </c>
      <c r="R3" s="97" t="s">
        <v>160</v>
      </c>
      <c r="S3" s="97" t="s">
        <v>52</v>
      </c>
      <c r="T3" s="97" t="s">
        <v>53</v>
      </c>
      <c r="U3" s="98" t="s">
        <v>74</v>
      </c>
      <c r="V3" s="45" t="s">
        <v>54</v>
      </c>
    </row>
    <row r="4" spans="1:27" x14ac:dyDescent="0.2">
      <c r="B4" s="49"/>
      <c r="C4" s="82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83"/>
    </row>
    <row r="5" spans="1:27" x14ac:dyDescent="0.2">
      <c r="B5" s="46" t="s">
        <v>56</v>
      </c>
      <c r="C5" s="53" t="s">
        <v>57</v>
      </c>
      <c r="D5" s="54">
        <v>-20.173299999999998</v>
      </c>
      <c r="E5" s="54">
        <v>-475.78800000000001</v>
      </c>
      <c r="F5" s="54">
        <v>0</v>
      </c>
      <c r="G5" s="54">
        <v>-16.283999999999999</v>
      </c>
      <c r="H5" s="54">
        <v>-2.1499999999999998E-2</v>
      </c>
      <c r="I5" s="54">
        <v>-528.76099999999997</v>
      </c>
      <c r="J5" s="54">
        <v>-164.50800000000001</v>
      </c>
      <c r="K5" s="54">
        <v>-0.61599999999999999</v>
      </c>
      <c r="L5" s="54">
        <v>-205.88</v>
      </c>
      <c r="M5" s="54">
        <v>0</v>
      </c>
      <c r="N5" s="54">
        <v>0</v>
      </c>
      <c r="O5" s="54">
        <v>-1.0707500000000003</v>
      </c>
      <c r="P5" s="54">
        <v>0</v>
      </c>
      <c r="Q5" s="54">
        <v>0</v>
      </c>
      <c r="R5" s="54">
        <v>0</v>
      </c>
      <c r="S5" s="54">
        <v>-0.76</v>
      </c>
      <c r="T5" s="54">
        <v>0</v>
      </c>
      <c r="U5" s="54">
        <v>0</v>
      </c>
      <c r="V5" s="84">
        <f>SUM(D5:U5)</f>
        <v>-1413.8625499999998</v>
      </c>
    </row>
    <row r="6" spans="1:27" ht="15" x14ac:dyDescent="0.25">
      <c r="B6" s="46" t="s">
        <v>48</v>
      </c>
      <c r="C6" s="55" t="s">
        <v>58</v>
      </c>
      <c r="D6" s="47">
        <v>-3359.3419999999996</v>
      </c>
      <c r="E6" s="48">
        <v>-3381.3263999999999</v>
      </c>
      <c r="F6" s="48">
        <v>0</v>
      </c>
      <c r="G6" s="48">
        <v>-30.160499999999999</v>
      </c>
      <c r="H6" s="48">
        <v>0</v>
      </c>
      <c r="I6" s="48">
        <v>-23.835000000000001</v>
      </c>
      <c r="J6" s="48">
        <v>0</v>
      </c>
      <c r="K6" s="48">
        <v>0</v>
      </c>
      <c r="L6" s="48">
        <v>-524.78</v>
      </c>
      <c r="M6" s="48">
        <v>-33.529000000000003</v>
      </c>
      <c r="N6" s="48">
        <v>-5445</v>
      </c>
      <c r="O6" s="48">
        <v>-175.75306250000006</v>
      </c>
      <c r="P6" s="48">
        <v>-502.66000000000008</v>
      </c>
      <c r="Q6" s="48">
        <v>-490.09350000000001</v>
      </c>
      <c r="R6" s="48">
        <v>-68</v>
      </c>
      <c r="S6" s="54">
        <v>-16.474499999999999</v>
      </c>
      <c r="T6" s="54">
        <v>868.77949999999998</v>
      </c>
      <c r="U6" s="48">
        <v>5790.5</v>
      </c>
      <c r="V6" s="84">
        <f>SUM(D6:U6)</f>
        <v>-7391.674462500001</v>
      </c>
    </row>
    <row r="7" spans="1:27" x14ac:dyDescent="0.2">
      <c r="B7" s="46" t="s">
        <v>59</v>
      </c>
      <c r="C7" s="55" t="s">
        <v>60</v>
      </c>
      <c r="D7" s="54">
        <v>-56.488599999999991</v>
      </c>
      <c r="E7" s="54">
        <v>-180.78059999999999</v>
      </c>
      <c r="F7" s="54">
        <v>0</v>
      </c>
      <c r="G7" s="54">
        <v>-7.6189999999999998</v>
      </c>
      <c r="H7" s="54">
        <v>0</v>
      </c>
      <c r="I7" s="54">
        <v>-0.23350000000000001</v>
      </c>
      <c r="J7" s="54">
        <v>0</v>
      </c>
      <c r="K7" s="54">
        <v>0</v>
      </c>
      <c r="L7" s="54">
        <v>-15.2</v>
      </c>
      <c r="M7" s="54">
        <v>-1.772</v>
      </c>
      <c r="N7" s="54">
        <v>0</v>
      </c>
      <c r="O7" s="54">
        <v>-35.051749999999998</v>
      </c>
      <c r="P7" s="54">
        <v>0</v>
      </c>
      <c r="Q7" s="54">
        <v>0</v>
      </c>
      <c r="R7" s="54">
        <v>0</v>
      </c>
      <c r="S7" s="54">
        <v>-0.78449999999999998</v>
      </c>
      <c r="T7" s="54">
        <v>329.37150000000003</v>
      </c>
      <c r="U7" s="54">
        <v>0</v>
      </c>
      <c r="V7" s="84">
        <f>SUM(D7:U7)</f>
        <v>31.441550000000063</v>
      </c>
    </row>
    <row r="8" spans="1:27" x14ac:dyDescent="0.2">
      <c r="B8" s="46" t="s">
        <v>61</v>
      </c>
      <c r="C8" s="55" t="s">
        <v>62</v>
      </c>
      <c r="D8" s="74">
        <v>0</v>
      </c>
      <c r="E8" s="54">
        <v>0</v>
      </c>
      <c r="F8" s="54">
        <v>-15868.2305</v>
      </c>
      <c r="G8" s="54">
        <v>5701.34</v>
      </c>
      <c r="H8" s="54">
        <v>969.47799999999995</v>
      </c>
      <c r="I8" s="54">
        <v>1086.3040000000001</v>
      </c>
      <c r="J8" s="54">
        <v>3354.9119999999998</v>
      </c>
      <c r="K8" s="54">
        <v>970.28800000000001</v>
      </c>
      <c r="L8" s="54">
        <v>2285.1019999999999</v>
      </c>
      <c r="M8" s="54">
        <v>1299.9449999999999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4">
        <v>0</v>
      </c>
      <c r="V8" s="84">
        <f>SUM(D8:U8)</f>
        <v>-200.86150000000021</v>
      </c>
    </row>
    <row r="9" spans="1:27" ht="15" x14ac:dyDescent="0.25">
      <c r="B9" s="49"/>
      <c r="C9" s="50" t="s">
        <v>63</v>
      </c>
      <c r="D9" s="57">
        <f>SUM(D5:D8)</f>
        <v>-3436.0038999999997</v>
      </c>
      <c r="E9" s="51">
        <f t="shared" ref="E9:U9" si="0">SUM(E5:E8)</f>
        <v>-4037.895</v>
      </c>
      <c r="F9" s="51">
        <f t="shared" si="0"/>
        <v>-15868.2305</v>
      </c>
      <c r="G9" s="51">
        <f t="shared" si="0"/>
        <v>5647.2764999999999</v>
      </c>
      <c r="H9" s="51">
        <f t="shared" si="0"/>
        <v>969.45650000000001</v>
      </c>
      <c r="I9" s="51">
        <f t="shared" si="0"/>
        <v>533.47450000000003</v>
      </c>
      <c r="J9" s="51">
        <f t="shared" si="0"/>
        <v>3190.404</v>
      </c>
      <c r="K9" s="51">
        <f t="shared" si="0"/>
        <v>969.67200000000003</v>
      </c>
      <c r="L9" s="51">
        <f t="shared" si="0"/>
        <v>1539.2419999999997</v>
      </c>
      <c r="M9" s="51">
        <f t="shared" si="0"/>
        <v>1264.644</v>
      </c>
      <c r="N9" s="51">
        <f t="shared" si="0"/>
        <v>-5445</v>
      </c>
      <c r="O9" s="51">
        <f t="shared" si="0"/>
        <v>-211.87556250000006</v>
      </c>
      <c r="P9" s="51">
        <f t="shared" si="0"/>
        <v>-502.66000000000008</v>
      </c>
      <c r="Q9" s="51">
        <f t="shared" si="0"/>
        <v>-490.09350000000001</v>
      </c>
      <c r="R9" s="51">
        <f t="shared" si="0"/>
        <v>-68</v>
      </c>
      <c r="S9" s="51">
        <f t="shared" si="0"/>
        <v>-18.019000000000002</v>
      </c>
      <c r="T9" s="51">
        <f t="shared" si="0"/>
        <v>1198.1510000000001</v>
      </c>
      <c r="U9" s="51">
        <f t="shared" si="0"/>
        <v>5790.5</v>
      </c>
      <c r="V9" s="52">
        <f>SUM(V5:V8)</f>
        <v>-8974.9569625000022</v>
      </c>
    </row>
    <row r="10" spans="1:27" x14ac:dyDescent="0.2">
      <c r="A10" s="6"/>
      <c r="D10" s="10"/>
      <c r="F10" s="10"/>
      <c r="G10" s="10"/>
      <c r="H10" s="10"/>
      <c r="I10" s="10"/>
      <c r="J10" s="10"/>
      <c r="K10" s="10"/>
      <c r="L10" s="10"/>
      <c r="M10" s="10"/>
    </row>
    <row r="11" spans="1:27" x14ac:dyDescent="0.2">
      <c r="A11" s="6"/>
      <c r="D11" s="10"/>
      <c r="F11" s="10"/>
      <c r="G11" s="10"/>
      <c r="H11" s="10"/>
      <c r="I11" s="10"/>
      <c r="J11" s="10"/>
      <c r="K11" s="10"/>
      <c r="L11" s="10"/>
      <c r="M11" s="10"/>
    </row>
    <row r="12" spans="1:27" ht="15" x14ac:dyDescent="0.25">
      <c r="A12" s="6"/>
      <c r="C12" s="48" t="s">
        <v>144</v>
      </c>
      <c r="D12" s="48"/>
      <c r="E12" s="48"/>
      <c r="F12" s="10"/>
      <c r="G12" s="10"/>
      <c r="H12" s="10"/>
      <c r="I12" s="10"/>
      <c r="J12" s="10"/>
      <c r="K12" s="10"/>
      <c r="L12" s="10"/>
      <c r="M12" s="10"/>
    </row>
    <row r="15" spans="1:27" x14ac:dyDescent="0.2">
      <c r="C15" s="59" t="s">
        <v>91</v>
      </c>
      <c r="D15" s="60" t="s">
        <v>92</v>
      </c>
      <c r="E15" s="61" t="s">
        <v>93</v>
      </c>
    </row>
    <row r="16" spans="1:27" x14ac:dyDescent="0.2">
      <c r="B16" s="22" t="s">
        <v>100</v>
      </c>
      <c r="C16" s="58" t="s">
        <v>94</v>
      </c>
      <c r="D16" s="58" t="s">
        <v>95</v>
      </c>
      <c r="E16" s="62" t="s">
        <v>93</v>
      </c>
    </row>
    <row r="17" spans="2:5" x14ac:dyDescent="0.2">
      <c r="B17" s="46" t="s">
        <v>48</v>
      </c>
      <c r="C17" s="89">
        <v>1</v>
      </c>
      <c r="D17" s="63"/>
      <c r="E17" s="9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"/>
  <sheetViews>
    <sheetView zoomScale="80" zoomScaleNormal="80" workbookViewId="0"/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7.140625" customWidth="1"/>
    <col min="14" max="14" width="5.42578125" customWidth="1"/>
  </cols>
  <sheetData>
    <row r="1" spans="2:13" x14ac:dyDescent="0.2">
      <c r="D1" s="6"/>
      <c r="E1" s="11"/>
      <c r="F1" s="6"/>
    </row>
    <row r="2" spans="2:13" ht="18" x14ac:dyDescent="0.25">
      <c r="B2" s="78" t="s">
        <v>149</v>
      </c>
      <c r="D2" s="6"/>
      <c r="E2" s="6"/>
      <c r="F2" s="6"/>
    </row>
    <row r="4" spans="2:13" ht="18" x14ac:dyDescent="0.25">
      <c r="D4" s="85"/>
      <c r="E4" s="123" t="s">
        <v>152</v>
      </c>
      <c r="F4" s="124"/>
      <c r="G4" s="124"/>
      <c r="H4" s="124"/>
      <c r="I4" s="124"/>
      <c r="J4" s="124"/>
      <c r="K4" s="124"/>
      <c r="L4" s="124"/>
      <c r="M4" s="125"/>
    </row>
    <row r="5" spans="2:13" ht="12.75" customHeight="1" x14ac:dyDescent="0.2">
      <c r="E5" s="77" t="s">
        <v>150</v>
      </c>
      <c r="F5" s="77"/>
      <c r="G5" s="77"/>
      <c r="H5" s="77"/>
      <c r="I5" s="86"/>
      <c r="J5" s="86"/>
      <c r="K5" s="86"/>
      <c r="L5" s="86"/>
      <c r="M5" s="86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3"/>
  <sheetViews>
    <sheetView zoomScaleNormal="100" workbookViewId="0">
      <selection activeCell="D14" sqref="D14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1.7109375" bestFit="1" customWidth="1"/>
    <col min="14" max="14" width="6.140625" customWidth="1"/>
    <col min="15" max="15" width="10.42578125" bestFit="1" customWidth="1"/>
    <col min="16" max="16" width="12.85546875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65</v>
      </c>
      <c r="C1" s="12" t="s">
        <v>66</v>
      </c>
      <c r="D1" s="12" t="s">
        <v>67</v>
      </c>
      <c r="E1" s="12" t="s">
        <v>98</v>
      </c>
      <c r="F1" s="12" t="s">
        <v>80</v>
      </c>
      <c r="G1" s="12" t="s">
        <v>85</v>
      </c>
      <c r="H1" s="33"/>
    </row>
    <row r="2" spans="2:18" ht="31.5" x14ac:dyDescent="0.25">
      <c r="B2" s="14" t="str">
        <f>'EB2'!B6</f>
        <v>ELC</v>
      </c>
      <c r="C2" s="21" t="str">
        <f>'EB2'!C6</f>
        <v>Electricity Plants</v>
      </c>
      <c r="D2" s="14" t="s">
        <v>96</v>
      </c>
      <c r="E2" s="14" t="str">
        <f>'EB2'!Z2</f>
        <v>PJ</v>
      </c>
      <c r="F2" s="14" t="str">
        <f>'EB2'!Y2</f>
        <v>M€2005</v>
      </c>
      <c r="G2" s="14" t="s">
        <v>86</v>
      </c>
      <c r="H2" s="13"/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10" t="s">
        <v>35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38</v>
      </c>
      <c r="P4" s="110" t="s">
        <v>39</v>
      </c>
      <c r="Q4" s="110" t="s">
        <v>28</v>
      </c>
      <c r="R4" s="110" t="s">
        <v>29</v>
      </c>
    </row>
    <row r="5" spans="2:18" s="6" customFormat="1" x14ac:dyDescent="0.2">
      <c r="B5" s="8"/>
      <c r="C5" s="8"/>
      <c r="D5" s="8"/>
      <c r="E5" s="16"/>
      <c r="F5" s="16"/>
      <c r="G5" s="69"/>
      <c r="H5" s="15"/>
      <c r="I5"/>
      <c r="J5" s="111" t="s">
        <v>64</v>
      </c>
      <c r="K5" s="111"/>
      <c r="L5" s="111" t="str">
        <f>$B$2&amp;'EB2'!$D$2</f>
        <v>ELCCOA</v>
      </c>
      <c r="M5" s="112" t="str">
        <f>$C$2&amp;" "&amp;'EB2'!$D$3</f>
        <v>Electricity Plants Solid Fuels</v>
      </c>
      <c r="N5" s="111" t="str">
        <f t="shared" ref="N5:N12" si="0">$E$2</f>
        <v>PJ</v>
      </c>
      <c r="O5" s="111"/>
      <c r="P5" s="111"/>
      <c r="Q5" s="111"/>
      <c r="R5" s="111"/>
    </row>
    <row r="6" spans="2:18" s="6" customFormat="1" x14ac:dyDescent="0.2">
      <c r="B6" s="8"/>
      <c r="C6" s="8"/>
      <c r="D6" s="8"/>
      <c r="E6" s="16"/>
      <c r="F6" s="16"/>
      <c r="G6" s="69"/>
      <c r="H6" s="15"/>
      <c r="I6"/>
      <c r="J6" s="111"/>
      <c r="K6" s="111"/>
      <c r="L6" s="111" t="str">
        <f>$B$2&amp;'EB2'!$E$2</f>
        <v>ELCGAS</v>
      </c>
      <c r="M6" s="112" t="str">
        <f>$C$2&amp;" "&amp;'EB2'!$E$3</f>
        <v>Electricity Plants Natural Gas</v>
      </c>
      <c r="N6" s="111" t="str">
        <f t="shared" si="0"/>
        <v>PJ</v>
      </c>
      <c r="O6" s="111"/>
      <c r="P6" s="111"/>
      <c r="Q6" s="111"/>
      <c r="R6" s="111"/>
    </row>
    <row r="7" spans="2:18" s="6" customFormat="1" x14ac:dyDescent="0.2">
      <c r="B7" s="8"/>
      <c r="C7" s="8"/>
      <c r="D7" s="8"/>
      <c r="E7" s="16"/>
      <c r="F7" s="16"/>
      <c r="G7" s="69"/>
      <c r="H7" s="15"/>
      <c r="I7"/>
      <c r="J7" s="111"/>
      <c r="K7" s="111"/>
      <c r="L7" s="111" t="str">
        <f>$B$2&amp;'EB2'!$F$2</f>
        <v>ELCOIL</v>
      </c>
      <c r="M7" s="112" t="str">
        <f>$C$2&amp;" "&amp;RIGHT('EB2'!$F$3,3)</f>
        <v>Electricity Plants Oil</v>
      </c>
      <c r="N7" s="111" t="str">
        <f t="shared" si="0"/>
        <v>PJ</v>
      </c>
      <c r="O7" s="111"/>
      <c r="P7" s="111"/>
      <c r="Q7" s="111"/>
      <c r="R7" s="111"/>
    </row>
    <row r="8" spans="2:18" s="6" customFormat="1" x14ac:dyDescent="0.2">
      <c r="B8" s="8"/>
      <c r="C8" s="8"/>
      <c r="D8" s="8"/>
      <c r="E8" s="16"/>
      <c r="F8" s="16"/>
      <c r="G8" s="69"/>
      <c r="H8" s="15"/>
      <c r="I8"/>
      <c r="J8" s="111"/>
      <c r="K8" s="111"/>
      <c r="L8" s="111" t="str">
        <f>$B$2&amp;'EB2'!$N$2</f>
        <v>ELCNUC</v>
      </c>
      <c r="M8" s="112" t="str">
        <f>$C$2&amp;" "&amp;'EB2'!$N$3</f>
        <v>Electricity Plants Nuclear Energy</v>
      </c>
      <c r="N8" s="111" t="str">
        <f t="shared" si="0"/>
        <v>PJ</v>
      </c>
      <c r="O8" s="111"/>
      <c r="P8" s="111"/>
      <c r="Q8" s="111"/>
      <c r="R8" s="111"/>
    </row>
    <row r="9" spans="2:18" x14ac:dyDescent="0.2">
      <c r="B9" s="8"/>
      <c r="C9" s="8"/>
      <c r="D9" s="8"/>
      <c r="E9" s="16"/>
      <c r="F9" s="16"/>
      <c r="G9" s="69"/>
      <c r="H9" s="15"/>
      <c r="J9" s="111"/>
      <c r="K9" s="111"/>
      <c r="L9" s="111" t="str">
        <f>$B$2&amp;'EB2'!$O$2</f>
        <v>ELCBIO</v>
      </c>
      <c r="M9" s="112" t="str">
        <f>$C$2&amp;" "&amp;'EB2'!$O$3</f>
        <v>Electricity Plants Biomass</v>
      </c>
      <c r="N9" s="111" t="str">
        <f t="shared" si="0"/>
        <v>PJ</v>
      </c>
      <c r="O9" s="111"/>
      <c r="P9" s="111"/>
      <c r="Q9" s="111"/>
      <c r="R9" s="111"/>
    </row>
    <row r="10" spans="2:18" x14ac:dyDescent="0.2">
      <c r="B10" s="8"/>
      <c r="C10" s="8"/>
      <c r="D10" s="8"/>
      <c r="E10" s="16"/>
      <c r="F10" s="16"/>
      <c r="G10" s="69"/>
      <c r="H10" s="15"/>
      <c r="J10" s="111"/>
      <c r="K10" s="111"/>
      <c r="L10" s="111" t="str">
        <f>$B$2&amp;'EB2'!$P$2</f>
        <v>ELCHYD</v>
      </c>
      <c r="M10" s="112" t="str">
        <f>$C$2&amp;" "&amp;'EB2'!$P$3</f>
        <v>Electricity Plants Hydro power</v>
      </c>
      <c r="N10" s="111" t="str">
        <f t="shared" si="0"/>
        <v>PJ</v>
      </c>
      <c r="O10" s="111"/>
      <c r="P10" s="111"/>
      <c r="Q10" s="111"/>
      <c r="R10" s="111"/>
    </row>
    <row r="11" spans="2:18" x14ac:dyDescent="0.2">
      <c r="B11" s="8"/>
      <c r="C11" s="8"/>
      <c r="D11" s="8"/>
      <c r="E11" s="16"/>
      <c r="F11" s="16"/>
      <c r="G11" s="69"/>
      <c r="H11" s="15"/>
      <c r="J11" s="111"/>
      <c r="K11" s="111"/>
      <c r="L11" s="111" t="str">
        <f>$B$2&amp;'EB2'!$Q$2</f>
        <v>ELCWIN</v>
      </c>
      <c r="M11" s="112" t="str">
        <f>$C$2&amp;" "&amp;'EB2'!$Q$3</f>
        <v>Electricity Plants Wind energy</v>
      </c>
      <c r="N11" s="111" t="str">
        <f t="shared" si="0"/>
        <v>PJ</v>
      </c>
      <c r="O11" s="111"/>
      <c r="P11" s="111"/>
      <c r="Q11" s="111"/>
      <c r="R11" s="111"/>
    </row>
    <row r="12" spans="2:18" x14ac:dyDescent="0.2">
      <c r="B12" s="8"/>
      <c r="C12" s="8"/>
      <c r="D12" s="8"/>
      <c r="E12" s="16"/>
      <c r="F12" s="16"/>
      <c r="G12" s="69"/>
      <c r="H12" s="15"/>
      <c r="J12" s="111"/>
      <c r="K12" s="111"/>
      <c r="L12" s="111" t="str">
        <f>$B$2&amp;'EB2'!$R$2</f>
        <v>ELCSOL</v>
      </c>
      <c r="M12" s="112" t="str">
        <f>$C$2&amp;" "&amp;'EB2'!$R$3</f>
        <v>Electricity Plants Solar energy</v>
      </c>
      <c r="N12" s="111" t="str">
        <f t="shared" si="0"/>
        <v>PJ</v>
      </c>
      <c r="O12" s="111"/>
      <c r="P12" s="111"/>
      <c r="Q12" s="111"/>
      <c r="R12" s="111"/>
    </row>
    <row r="13" spans="2:18" x14ac:dyDescent="0.2">
      <c r="L13" s="27"/>
      <c r="M13" s="29"/>
    </row>
    <row r="14" spans="2:18" x14ac:dyDescent="0.2">
      <c r="D14" s="4" t="s">
        <v>13</v>
      </c>
      <c r="E14" s="4"/>
      <c r="F14" s="4"/>
      <c r="J14" s="106" t="s">
        <v>15</v>
      </c>
      <c r="K14" s="106"/>
      <c r="L14" s="113"/>
      <c r="M14" s="113"/>
      <c r="N14" s="113"/>
      <c r="O14" s="113"/>
      <c r="P14" s="113"/>
      <c r="Q14" s="113"/>
      <c r="R14" s="113"/>
    </row>
    <row r="15" spans="2:18" x14ac:dyDescent="0.2">
      <c r="B15" s="19" t="s">
        <v>1</v>
      </c>
      <c r="C15" s="19" t="s">
        <v>5</v>
      </c>
      <c r="D15" s="19" t="s">
        <v>6</v>
      </c>
      <c r="E15" s="81" t="s">
        <v>141</v>
      </c>
      <c r="F15" s="79" t="s">
        <v>125</v>
      </c>
      <c r="G15" s="79" t="s">
        <v>73</v>
      </c>
      <c r="H15" s="79" t="s">
        <v>70</v>
      </c>
      <c r="J15" s="108" t="s">
        <v>11</v>
      </c>
      <c r="K15" s="109" t="s">
        <v>30</v>
      </c>
      <c r="L15" s="108" t="s">
        <v>1</v>
      </c>
      <c r="M15" s="108" t="s">
        <v>2</v>
      </c>
      <c r="N15" s="108" t="s">
        <v>16</v>
      </c>
      <c r="O15" s="108" t="s">
        <v>17</v>
      </c>
      <c r="P15" s="108" t="s">
        <v>18</v>
      </c>
      <c r="Q15" s="108" t="s">
        <v>19</v>
      </c>
      <c r="R15" s="108" t="s">
        <v>20</v>
      </c>
    </row>
    <row r="16" spans="2:18" ht="23.25" thickBot="1" x14ac:dyDescent="0.25">
      <c r="B16" s="18" t="s">
        <v>37</v>
      </c>
      <c r="C16" s="18" t="s">
        <v>32</v>
      </c>
      <c r="D16" s="18" t="s">
        <v>33</v>
      </c>
      <c r="E16" s="18" t="s">
        <v>142</v>
      </c>
      <c r="F16" s="18" t="s">
        <v>34</v>
      </c>
      <c r="G16" s="18" t="s">
        <v>75</v>
      </c>
      <c r="H16" s="18" t="s">
        <v>78</v>
      </c>
      <c r="J16" s="110" t="s">
        <v>36</v>
      </c>
      <c r="K16" s="110" t="s">
        <v>31</v>
      </c>
      <c r="L16" s="110" t="s">
        <v>21</v>
      </c>
      <c r="M16" s="110" t="s">
        <v>22</v>
      </c>
      <c r="N16" s="110" t="s">
        <v>23</v>
      </c>
      <c r="O16" s="110" t="s">
        <v>24</v>
      </c>
      <c r="P16" s="110" t="s">
        <v>41</v>
      </c>
      <c r="Q16" s="110" t="s">
        <v>40</v>
      </c>
      <c r="R16" s="110" t="s">
        <v>25</v>
      </c>
    </row>
    <row r="17" spans="2:18" ht="13.5" thickBot="1" x14ac:dyDescent="0.25">
      <c r="B17" s="43" t="s">
        <v>76</v>
      </c>
      <c r="C17" s="43"/>
      <c r="D17" s="43"/>
      <c r="E17" s="17"/>
      <c r="F17" s="17" t="str">
        <f>F2&amp;"a"</f>
        <v>M€2005a</v>
      </c>
      <c r="G17" s="17"/>
      <c r="H17" s="17" t="s">
        <v>77</v>
      </c>
      <c r="J17" s="110" t="s">
        <v>71</v>
      </c>
      <c r="K17" s="114"/>
      <c r="L17" s="114"/>
      <c r="M17" s="114"/>
      <c r="N17" s="114"/>
      <c r="O17" s="114"/>
      <c r="P17" s="114"/>
      <c r="Q17" s="114"/>
      <c r="R17" s="114"/>
    </row>
    <row r="18" spans="2:18" x14ac:dyDescent="0.2">
      <c r="B18" s="24" t="str">
        <f>Sector_Fuels!L18</f>
        <v>FTE-ELCCOA</v>
      </c>
      <c r="C18" t="str">
        <f>RIGHT(D18,3)</f>
        <v>COA</v>
      </c>
      <c r="D18" s="24" t="str">
        <f>L5</f>
        <v>ELCCOA</v>
      </c>
      <c r="E18" s="16"/>
      <c r="F18" s="16"/>
      <c r="G18" s="68">
        <v>1</v>
      </c>
      <c r="H18" s="65">
        <v>30</v>
      </c>
      <c r="J18" s="115" t="s">
        <v>97</v>
      </c>
      <c r="K18" s="116"/>
      <c r="L18" s="111" t="str">
        <f t="shared" ref="L18:L25" si="1">"FT"&amp;$G$2&amp;"-"&amp;L5</f>
        <v>FTE-ELCCOA</v>
      </c>
      <c r="M18" s="112" t="str">
        <f t="shared" ref="M18:M25" si="2">$D$2&amp;" Technology"&amp;" "&amp;$G$1&amp;" "&amp;M5</f>
        <v>Sector Fuel Technology Existing Electricity Plants Solid Fuels</v>
      </c>
      <c r="N18" s="111" t="str">
        <f t="shared" ref="N18:N25" si="3">$E$2</f>
        <v>PJ</v>
      </c>
      <c r="O18" s="111" t="str">
        <f t="shared" ref="O18:O25" si="4">$E$2&amp;"a"</f>
        <v>PJa</v>
      </c>
      <c r="P18" s="111"/>
      <c r="Q18" s="111"/>
      <c r="R18" s="111"/>
    </row>
    <row r="19" spans="2:18" x14ac:dyDescent="0.2">
      <c r="B19" s="24" t="str">
        <f>Sector_Fuels!L19</f>
        <v>FTE-ELCGAS</v>
      </c>
      <c r="C19" t="str">
        <f>RIGHT(D19,3)</f>
        <v>GAS</v>
      </c>
      <c r="D19" s="24" t="str">
        <f>L6</f>
        <v>ELCGAS</v>
      </c>
      <c r="E19" s="16"/>
      <c r="F19" s="16"/>
      <c r="G19" s="68">
        <v>1</v>
      </c>
      <c r="H19" s="65">
        <v>30</v>
      </c>
      <c r="J19" s="117"/>
      <c r="K19" s="116"/>
      <c r="L19" s="111" t="str">
        <f t="shared" si="1"/>
        <v>FTE-ELCGAS</v>
      </c>
      <c r="M19" s="112" t="str">
        <f t="shared" si="2"/>
        <v>Sector Fuel Technology Existing Electricity Plants Natural Gas</v>
      </c>
      <c r="N19" s="111" t="str">
        <f t="shared" si="3"/>
        <v>PJ</v>
      </c>
      <c r="O19" s="111" t="str">
        <f t="shared" si="4"/>
        <v>PJa</v>
      </c>
      <c r="P19" s="111"/>
      <c r="Q19" s="111"/>
      <c r="R19" s="111"/>
    </row>
    <row r="20" spans="2:18" x14ac:dyDescent="0.2">
      <c r="B20" s="24" t="str">
        <f>Sector_Fuels!L20</f>
        <v>FTE-ELCOIL</v>
      </c>
      <c r="C20" t="str">
        <f>'EB2'!G$2</f>
        <v>DSL</v>
      </c>
      <c r="D20" s="24" t="str">
        <f>L7</f>
        <v>ELCOIL</v>
      </c>
      <c r="E20" s="70">
        <f>-'EB2'!G$6/-SUM('EB2'!$G$6:$M$6)</f>
        <v>4.9257354796510562E-2</v>
      </c>
      <c r="F20" s="16"/>
      <c r="G20" s="68">
        <v>1</v>
      </c>
      <c r="H20" s="65">
        <v>30</v>
      </c>
      <c r="J20" s="116"/>
      <c r="K20" s="116"/>
      <c r="L20" s="111" t="str">
        <f t="shared" si="1"/>
        <v>FTE-ELCOIL</v>
      </c>
      <c r="M20" s="112" t="str">
        <f t="shared" si="2"/>
        <v>Sector Fuel Technology Existing Electricity Plants Oil</v>
      </c>
      <c r="N20" s="111" t="str">
        <f t="shared" si="3"/>
        <v>PJ</v>
      </c>
      <c r="O20" s="111" t="str">
        <f t="shared" si="4"/>
        <v>PJa</v>
      </c>
      <c r="P20" s="111"/>
      <c r="Q20" s="111"/>
      <c r="R20" s="111"/>
    </row>
    <row r="21" spans="2:18" x14ac:dyDescent="0.2">
      <c r="B21" s="24"/>
      <c r="C21" t="str">
        <f>'EB2'!I$2</f>
        <v>LPG</v>
      </c>
      <c r="D21" s="24"/>
      <c r="E21" s="70">
        <f>-'EB2'!I$6/-SUM('EB2'!$G$6:$M$6)</f>
        <v>3.8926710484734312E-2</v>
      </c>
      <c r="F21" s="16"/>
      <c r="G21" s="68"/>
      <c r="H21" s="65"/>
      <c r="J21" s="118"/>
      <c r="K21" s="119"/>
      <c r="L21" s="111" t="str">
        <f t="shared" si="1"/>
        <v>FTE-ELCNUC</v>
      </c>
      <c r="M21" s="112" t="str">
        <f t="shared" si="2"/>
        <v>Sector Fuel Technology Existing Electricity Plants Nuclear Energy</v>
      </c>
      <c r="N21" s="111" t="str">
        <f t="shared" si="3"/>
        <v>PJ</v>
      </c>
      <c r="O21" s="111" t="str">
        <f t="shared" si="4"/>
        <v>PJa</v>
      </c>
      <c r="P21" s="111"/>
      <c r="Q21" s="111"/>
      <c r="R21" s="111"/>
    </row>
    <row r="22" spans="2:18" x14ac:dyDescent="0.2">
      <c r="B22" s="24"/>
      <c r="C22" t="str">
        <f>'EB2'!L$2</f>
        <v>HFO</v>
      </c>
      <c r="D22" s="24"/>
      <c r="E22" s="70">
        <f>-'EB2'!L$6/-SUM('EB2'!$G$6:$M$6)</f>
        <v>0.85705723214511731</v>
      </c>
      <c r="F22" s="16"/>
      <c r="G22" s="68"/>
      <c r="H22" s="65"/>
      <c r="J22" s="120"/>
      <c r="K22" s="120"/>
      <c r="L22" s="111" t="str">
        <f t="shared" si="1"/>
        <v>FTE-ELCBIO</v>
      </c>
      <c r="M22" s="112" t="str">
        <f t="shared" si="2"/>
        <v>Sector Fuel Technology Existing Electricity Plants Biomass</v>
      </c>
      <c r="N22" s="111" t="str">
        <f t="shared" si="3"/>
        <v>PJ</v>
      </c>
      <c r="O22" s="111" t="str">
        <f t="shared" si="4"/>
        <v>PJa</v>
      </c>
      <c r="P22" s="120"/>
      <c r="Q22" s="120"/>
      <c r="R22" s="111"/>
    </row>
    <row r="23" spans="2:18" ht="12" customHeight="1" x14ac:dyDescent="0.2">
      <c r="B23" s="24"/>
      <c r="C23" t="str">
        <f>'EB2'!M$2</f>
        <v>OPP</v>
      </c>
      <c r="D23" s="24"/>
      <c r="E23" s="70">
        <f>-'EB2'!M$6/-SUM('EB2'!$G$6:$M$6)</f>
        <v>5.4758702573637796E-2</v>
      </c>
      <c r="F23" s="16"/>
      <c r="G23" s="68"/>
      <c r="H23" s="65"/>
      <c r="J23" s="113"/>
      <c r="K23" s="113"/>
      <c r="L23" s="111" t="str">
        <f t="shared" si="1"/>
        <v>FTE-ELCHYD</v>
      </c>
      <c r="M23" s="112" t="str">
        <f t="shared" si="2"/>
        <v>Sector Fuel Technology Existing Electricity Plants Hydro power</v>
      </c>
      <c r="N23" s="111" t="str">
        <f t="shared" si="3"/>
        <v>PJ</v>
      </c>
      <c r="O23" s="111" t="str">
        <f t="shared" si="4"/>
        <v>PJa</v>
      </c>
      <c r="P23" s="113"/>
      <c r="Q23" s="113"/>
      <c r="R23" s="113"/>
    </row>
    <row r="24" spans="2:18" x14ac:dyDescent="0.2">
      <c r="B24" s="28" t="str">
        <f>Sector_Fuels!L21</f>
        <v>FTE-ELCNUC</v>
      </c>
      <c r="C24" t="str">
        <f>RIGHT(D24,3)</f>
        <v>NUC</v>
      </c>
      <c r="D24" s="24" t="str">
        <f>L8</f>
        <v>ELCNUC</v>
      </c>
      <c r="E24" s="16"/>
      <c r="F24" s="16"/>
      <c r="G24" s="68">
        <v>1</v>
      </c>
      <c r="H24" s="65">
        <v>30</v>
      </c>
      <c r="J24" s="113"/>
      <c r="K24" s="113"/>
      <c r="L24" s="111" t="str">
        <f t="shared" si="1"/>
        <v>FTE-ELCWIN</v>
      </c>
      <c r="M24" s="112" t="str">
        <f t="shared" si="2"/>
        <v>Sector Fuel Technology Existing Electricity Plants Wind energy</v>
      </c>
      <c r="N24" s="111" t="str">
        <f t="shared" si="3"/>
        <v>PJ</v>
      </c>
      <c r="O24" s="111" t="str">
        <f t="shared" si="4"/>
        <v>PJa</v>
      </c>
      <c r="P24" s="113"/>
      <c r="Q24" s="113"/>
      <c r="R24" s="113"/>
    </row>
    <row r="25" spans="2:18" x14ac:dyDescent="0.2">
      <c r="B25" s="28" t="str">
        <f>Sector_Fuels!L22</f>
        <v>FTE-ELCBIO</v>
      </c>
      <c r="C25" t="str">
        <f>RIGHT(D25,3)</f>
        <v>BIO</v>
      </c>
      <c r="D25" s="24" t="str">
        <f>L9</f>
        <v>ELCBIO</v>
      </c>
      <c r="E25" s="16"/>
      <c r="F25" s="16"/>
      <c r="G25" s="68">
        <v>1</v>
      </c>
      <c r="H25" s="65">
        <v>30</v>
      </c>
      <c r="J25" s="113"/>
      <c r="K25" s="113"/>
      <c r="L25" s="111" t="str">
        <f t="shared" si="1"/>
        <v>FTE-ELCSOL</v>
      </c>
      <c r="M25" s="112" t="str">
        <f t="shared" si="2"/>
        <v>Sector Fuel Technology Existing Electricity Plants Solar energy</v>
      </c>
      <c r="N25" s="111" t="str">
        <f t="shared" si="3"/>
        <v>PJ</v>
      </c>
      <c r="O25" s="111" t="str">
        <f t="shared" si="4"/>
        <v>PJa</v>
      </c>
      <c r="P25" s="113"/>
      <c r="Q25" s="113"/>
      <c r="R25" s="113"/>
    </row>
    <row r="26" spans="2:18" x14ac:dyDescent="0.2">
      <c r="B26" s="28" t="str">
        <f>Sector_Fuels!L23</f>
        <v>FTE-ELCHYD</v>
      </c>
      <c r="C26" t="str">
        <f>RIGHT(D26,3)</f>
        <v>HYD</v>
      </c>
      <c r="D26" s="24" t="str">
        <f>L10</f>
        <v>ELCHYD</v>
      </c>
      <c r="E26" s="16"/>
      <c r="F26" s="16"/>
      <c r="G26" s="68">
        <v>1</v>
      </c>
      <c r="H26" s="65">
        <v>30</v>
      </c>
    </row>
    <row r="27" spans="2:18" x14ac:dyDescent="0.2">
      <c r="B27" s="28" t="str">
        <f>Sector_Fuels!L24</f>
        <v>FTE-ELCWIN</v>
      </c>
      <c r="C27" t="str">
        <f>RIGHT(D27,3)</f>
        <v>WIN</v>
      </c>
      <c r="D27" s="24" t="str">
        <f>L11</f>
        <v>ELCWIN</v>
      </c>
      <c r="E27" s="16"/>
      <c r="F27" s="16"/>
      <c r="G27" s="68">
        <v>1</v>
      </c>
      <c r="H27" s="65">
        <v>30</v>
      </c>
    </row>
    <row r="28" spans="2:18" x14ac:dyDescent="0.2">
      <c r="B28" s="28" t="str">
        <f>Sector_Fuels!L25</f>
        <v>FTE-ELCSOL</v>
      </c>
      <c r="C28" t="str">
        <f>RIGHT(D28,3)</f>
        <v>SOL</v>
      </c>
      <c r="D28" s="24" t="str">
        <f>L12</f>
        <v>ELCSOL</v>
      </c>
      <c r="E28" s="16"/>
      <c r="F28" s="16"/>
      <c r="G28" s="68">
        <v>1</v>
      </c>
      <c r="H28" s="65">
        <v>30</v>
      </c>
    </row>
    <row r="32" spans="2:18" x14ac:dyDescent="0.2">
      <c r="B32" s="56"/>
      <c r="C32" s="1" t="s">
        <v>146</v>
      </c>
    </row>
    <row r="33" spans="2:3" x14ac:dyDescent="0.2">
      <c r="B33" s="66"/>
      <c r="C33" s="1" t="s">
        <v>147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E33"/>
  <sheetViews>
    <sheetView tabSelected="1" zoomScale="90" zoomScaleNormal="90" workbookViewId="0">
      <selection activeCell="Q18" sqref="Q18"/>
    </sheetView>
  </sheetViews>
  <sheetFormatPr defaultColWidth="8.85546875" defaultRowHeight="12.75" x14ac:dyDescent="0.2"/>
  <cols>
    <col min="1" max="1" width="3" style="24" customWidth="1"/>
    <col min="2" max="2" width="16.42578125" style="24" customWidth="1"/>
    <col min="3" max="3" width="12.140625" style="24" bestFit="1" customWidth="1"/>
    <col min="4" max="4" width="11.28515625" style="24" bestFit="1" customWidth="1"/>
    <col min="5" max="5" width="12.7109375" style="24" customWidth="1"/>
    <col min="6" max="6" width="12.85546875" style="24" customWidth="1"/>
    <col min="7" max="7" width="13" style="24" bestFit="1" customWidth="1"/>
    <col min="8" max="8" width="12.7109375" style="24" bestFit="1" customWidth="1"/>
    <col min="9" max="9" width="8.85546875" style="24" bestFit="1" customWidth="1"/>
    <col min="10" max="10" width="7.85546875" style="24" bestFit="1" customWidth="1"/>
    <col min="11" max="13" width="8.140625" style="24" customWidth="1"/>
    <col min="14" max="14" width="10" style="24" bestFit="1" customWidth="1"/>
    <col min="15" max="15" width="9.85546875" style="24" bestFit="1" customWidth="1"/>
    <col min="16" max="16" width="8.85546875" style="24" bestFit="1" customWidth="1"/>
    <col min="17" max="17" width="8.85546875" style="24" customWidth="1"/>
    <col min="18" max="18" width="15" style="24" bestFit="1" customWidth="1"/>
    <col min="19" max="19" width="13.28515625" style="24" bestFit="1" customWidth="1"/>
    <col min="20" max="20" width="2" style="24" bestFit="1" customWidth="1"/>
    <col min="21" max="21" width="13.5703125" style="24" bestFit="1" customWidth="1"/>
    <col min="22" max="22" width="2" style="27" bestFit="1" customWidth="1"/>
    <col min="23" max="23" width="12.42578125" bestFit="1" customWidth="1"/>
    <col min="24" max="24" width="7.42578125" bestFit="1" customWidth="1"/>
    <col min="25" max="25" width="14.5703125" bestFit="1" customWidth="1"/>
    <col min="26" max="26" width="43.28515625" bestFit="1" customWidth="1"/>
    <col min="27" max="27" width="6.28515625" customWidth="1"/>
    <col min="28" max="28" width="11.42578125" bestFit="1" customWidth="1"/>
    <col min="29" max="29" width="13.5703125" bestFit="1" customWidth="1"/>
    <col min="30" max="30" width="15" bestFit="1" customWidth="1"/>
    <col min="31" max="31" width="8.140625" bestFit="1" customWidth="1"/>
    <col min="32" max="16384" width="8.85546875" style="24"/>
  </cols>
  <sheetData>
    <row r="1" spans="2:31" ht="30" x14ac:dyDescent="0.25">
      <c r="B1" s="23" t="s">
        <v>65</v>
      </c>
      <c r="C1" s="12" t="s">
        <v>67</v>
      </c>
      <c r="D1" s="12" t="s">
        <v>99</v>
      </c>
      <c r="E1" s="12"/>
      <c r="F1" s="12"/>
      <c r="G1" s="23" t="s">
        <v>23</v>
      </c>
      <c r="H1" s="23" t="s">
        <v>101</v>
      </c>
      <c r="I1" s="23" t="s">
        <v>69</v>
      </c>
      <c r="J1" s="23" t="s">
        <v>85</v>
      </c>
      <c r="K1"/>
      <c r="L1"/>
      <c r="M1"/>
    </row>
    <row r="2" spans="2:31" ht="31.5" x14ac:dyDescent="0.25">
      <c r="B2" s="14" t="str">
        <f>'EB2'!B6</f>
        <v>ELC</v>
      </c>
      <c r="C2" s="21" t="str">
        <f>'EB2'!C6</f>
        <v>Electricity Plants</v>
      </c>
      <c r="D2" s="21" t="s">
        <v>102</v>
      </c>
      <c r="E2" s="21"/>
      <c r="F2" s="21"/>
      <c r="G2" s="14" t="str">
        <f>'EB2'!Z2</f>
        <v>PJ</v>
      </c>
      <c r="H2" s="14" t="s">
        <v>103</v>
      </c>
      <c r="I2" s="14" t="str">
        <f>'EB2'!Y2</f>
        <v>M€2005</v>
      </c>
      <c r="J2" s="14" t="s">
        <v>86</v>
      </c>
      <c r="K2"/>
      <c r="L2"/>
      <c r="M2"/>
      <c r="W2" s="106" t="s">
        <v>14</v>
      </c>
      <c r="X2" s="106"/>
      <c r="Y2" s="107"/>
      <c r="Z2" s="107"/>
      <c r="AA2" s="107"/>
      <c r="AB2" s="107"/>
      <c r="AC2" s="107"/>
      <c r="AD2" s="107"/>
      <c r="AE2" s="107"/>
    </row>
    <row r="3" spans="2:31" x14ac:dyDescent="0.2">
      <c r="W3" s="108" t="s">
        <v>7</v>
      </c>
      <c r="X3" s="109" t="s">
        <v>30</v>
      </c>
      <c r="Y3" s="108" t="s">
        <v>0</v>
      </c>
      <c r="Z3" s="108" t="s">
        <v>3</v>
      </c>
      <c r="AA3" s="108" t="s">
        <v>4</v>
      </c>
      <c r="AB3" s="108" t="s">
        <v>8</v>
      </c>
      <c r="AC3" s="108" t="s">
        <v>9</v>
      </c>
      <c r="AD3" s="108" t="s">
        <v>10</v>
      </c>
      <c r="AE3" s="108" t="s">
        <v>12</v>
      </c>
    </row>
    <row r="4" spans="2:31" s="26" customFormat="1" ht="30.75" thickBot="1" x14ac:dyDescent="0.3">
      <c r="B4" s="32" t="s">
        <v>109</v>
      </c>
      <c r="C4" s="12" t="s">
        <v>116</v>
      </c>
      <c r="D4" s="12" t="s">
        <v>110</v>
      </c>
      <c r="E4" s="12"/>
      <c r="F4" s="12"/>
      <c r="G4" s="12" t="s">
        <v>111</v>
      </c>
      <c r="H4" s="12" t="s">
        <v>124</v>
      </c>
      <c r="J4" s="13"/>
      <c r="K4" s="13"/>
      <c r="L4" s="13"/>
      <c r="M4" s="13"/>
      <c r="N4" s="13"/>
      <c r="V4" s="27"/>
      <c r="W4" s="110" t="s">
        <v>35</v>
      </c>
      <c r="X4" s="110" t="s">
        <v>31</v>
      </c>
      <c r="Y4" s="110" t="s">
        <v>26</v>
      </c>
      <c r="Z4" s="110" t="s">
        <v>27</v>
      </c>
      <c r="AA4" s="110" t="s">
        <v>4</v>
      </c>
      <c r="AB4" s="110" t="s">
        <v>38</v>
      </c>
      <c r="AC4" s="110" t="s">
        <v>39</v>
      </c>
      <c r="AD4" s="110" t="s">
        <v>28</v>
      </c>
      <c r="AE4" s="110" t="s">
        <v>29</v>
      </c>
    </row>
    <row r="5" spans="2:31" s="26" customFormat="1" ht="15.75" x14ac:dyDescent="0.25">
      <c r="B5" s="31" t="s">
        <v>115</v>
      </c>
      <c r="C5" s="14" t="s">
        <v>114</v>
      </c>
      <c r="D5" s="14" t="s">
        <v>113</v>
      </c>
      <c r="E5" s="14"/>
      <c r="F5" s="14"/>
      <c r="G5" s="14" t="s">
        <v>112</v>
      </c>
      <c r="H5" s="14" t="s">
        <v>87</v>
      </c>
      <c r="J5" s="13"/>
      <c r="K5" s="13"/>
      <c r="L5" s="13"/>
      <c r="M5" s="13"/>
      <c r="N5" s="13"/>
      <c r="V5" s="27"/>
      <c r="W5" s="115" t="s">
        <v>64</v>
      </c>
      <c r="X5" s="111"/>
      <c r="Y5" s="115" t="str">
        <f>'EB2'!$U$2</f>
        <v>ELC</v>
      </c>
      <c r="Z5" s="115" t="str">
        <f>'EB2'!$U$3</f>
        <v>Electricity</v>
      </c>
      <c r="AA5" s="115" t="str">
        <f>$G$2</f>
        <v>PJ</v>
      </c>
      <c r="AB5" s="115"/>
      <c r="AC5" s="115" t="s">
        <v>118</v>
      </c>
      <c r="AD5" s="115"/>
      <c r="AE5" s="115" t="s">
        <v>48</v>
      </c>
    </row>
    <row r="6" spans="2:31" x14ac:dyDescent="0.2">
      <c r="W6" s="113" t="s">
        <v>90</v>
      </c>
      <c r="X6" s="113"/>
      <c r="Y6" s="113" t="str">
        <f>$B$2&amp;'EB2'!C15</f>
        <v>ELCCO2</v>
      </c>
      <c r="Z6" s="113" t="str">
        <f>$C$2&amp;" "&amp;'EB2'!$C$16</f>
        <v>Electricity Plants Carbon dioxide</v>
      </c>
      <c r="AA6" s="113" t="str">
        <f>'EB2'!$AA$2</f>
        <v>kt</v>
      </c>
      <c r="AB6" s="113"/>
      <c r="AC6" s="113"/>
      <c r="AD6" s="113"/>
      <c r="AE6" s="113"/>
    </row>
    <row r="7" spans="2:31" x14ac:dyDescent="0.2">
      <c r="G7" s="24">
        <v>0.1</v>
      </c>
      <c r="H7" s="24">
        <v>0.2</v>
      </c>
      <c r="I7" s="24">
        <v>0.3</v>
      </c>
      <c r="J7" s="24">
        <v>0.4</v>
      </c>
      <c r="W7" s="2"/>
      <c r="X7" s="2"/>
    </row>
    <row r="8" spans="2:31" x14ac:dyDescent="0.2">
      <c r="D8" s="4" t="s">
        <v>173</v>
      </c>
      <c r="E8" s="4"/>
      <c r="F8" s="4"/>
      <c r="G8" s="4"/>
      <c r="H8" s="4"/>
      <c r="I8" s="4"/>
      <c r="O8" s="5"/>
      <c r="P8" s="5"/>
      <c r="Q8" s="3"/>
      <c r="T8" s="26"/>
      <c r="W8" s="106" t="s">
        <v>15</v>
      </c>
      <c r="X8" s="106"/>
      <c r="Y8" s="107"/>
      <c r="Z8" s="107"/>
      <c r="AA8" s="107"/>
      <c r="AB8" s="107"/>
      <c r="AC8" s="107"/>
      <c r="AD8" s="107"/>
      <c r="AE8" s="107"/>
    </row>
    <row r="9" spans="2:31" ht="12.75" customHeight="1" x14ac:dyDescent="0.2">
      <c r="B9" s="20" t="s">
        <v>1</v>
      </c>
      <c r="C9" s="20" t="s">
        <v>5</v>
      </c>
      <c r="D9" s="20" t="s">
        <v>6</v>
      </c>
      <c r="E9" s="103" t="s">
        <v>166</v>
      </c>
      <c r="F9" s="103" t="s">
        <v>167</v>
      </c>
      <c r="G9" s="79" t="s">
        <v>169</v>
      </c>
      <c r="H9" s="79" t="s">
        <v>170</v>
      </c>
      <c r="I9" s="79" t="s">
        <v>171</v>
      </c>
      <c r="J9" s="79" t="s">
        <v>172</v>
      </c>
      <c r="K9" s="79" t="s">
        <v>151</v>
      </c>
      <c r="L9" s="79" t="s">
        <v>73</v>
      </c>
      <c r="M9" s="79" t="s">
        <v>83</v>
      </c>
      <c r="N9" s="79" t="s">
        <v>162</v>
      </c>
      <c r="O9" s="79" t="s">
        <v>72</v>
      </c>
      <c r="P9" s="79" t="s">
        <v>105</v>
      </c>
      <c r="Q9" s="79" t="s">
        <v>70</v>
      </c>
      <c r="R9" s="79" t="s">
        <v>164</v>
      </c>
      <c r="S9" s="79" t="s">
        <v>120</v>
      </c>
      <c r="T9" s="30"/>
      <c r="U9" s="95" t="s">
        <v>117</v>
      </c>
      <c r="V9" s="35"/>
      <c r="W9" s="108" t="s">
        <v>11</v>
      </c>
      <c r="X9" s="109" t="s">
        <v>30</v>
      </c>
      <c r="Y9" s="108" t="s">
        <v>1</v>
      </c>
      <c r="Z9" s="108" t="s">
        <v>2</v>
      </c>
      <c r="AA9" s="108" t="s">
        <v>16</v>
      </c>
      <c r="AB9" s="108" t="s">
        <v>17</v>
      </c>
      <c r="AC9" s="108" t="s">
        <v>18</v>
      </c>
      <c r="AD9" s="108" t="s">
        <v>19</v>
      </c>
      <c r="AE9" s="108" t="s">
        <v>20</v>
      </c>
    </row>
    <row r="10" spans="2:31" ht="23.25" thickBot="1" x14ac:dyDescent="0.25">
      <c r="B10" s="18" t="s">
        <v>37</v>
      </c>
      <c r="C10" s="18" t="s">
        <v>32</v>
      </c>
      <c r="D10" s="18" t="s">
        <v>33</v>
      </c>
      <c r="E10" s="102" t="s">
        <v>168</v>
      </c>
      <c r="F10" s="102" t="s">
        <v>168</v>
      </c>
      <c r="G10" s="18" t="s">
        <v>34</v>
      </c>
      <c r="H10" s="102"/>
      <c r="I10" s="102"/>
      <c r="J10" s="102"/>
      <c r="K10" s="94" t="s">
        <v>122</v>
      </c>
      <c r="L10" s="18" t="s">
        <v>75</v>
      </c>
      <c r="M10" s="94" t="s">
        <v>84</v>
      </c>
      <c r="N10" s="18" t="s">
        <v>163</v>
      </c>
      <c r="O10" s="18" t="s">
        <v>82</v>
      </c>
      <c r="P10" s="18" t="s">
        <v>107</v>
      </c>
      <c r="Q10" s="18" t="s">
        <v>165</v>
      </c>
      <c r="R10" s="18" t="s">
        <v>108</v>
      </c>
      <c r="S10" s="94" t="s">
        <v>121</v>
      </c>
      <c r="T10" s="26"/>
      <c r="U10" s="38" t="s">
        <v>106</v>
      </c>
      <c r="V10" s="36"/>
      <c r="W10" s="110" t="s">
        <v>36</v>
      </c>
      <c r="X10" s="110" t="s">
        <v>31</v>
      </c>
      <c r="Y10" s="110" t="s">
        <v>21</v>
      </c>
      <c r="Z10" s="110" t="s">
        <v>22</v>
      </c>
      <c r="AA10" s="110" t="s">
        <v>23</v>
      </c>
      <c r="AB10" s="110" t="s">
        <v>24</v>
      </c>
      <c r="AC10" s="110" t="s">
        <v>41</v>
      </c>
      <c r="AD10" s="110" t="s">
        <v>40</v>
      </c>
      <c r="AE10" s="110" t="s">
        <v>25</v>
      </c>
    </row>
    <row r="11" spans="2:31" ht="13.5" thickBot="1" x14ac:dyDescent="0.25">
      <c r="B11" s="43" t="s">
        <v>76</v>
      </c>
      <c r="C11" s="43"/>
      <c r="D11" s="43"/>
      <c r="E11" s="101" t="str">
        <f>$H$2</f>
        <v>GW</v>
      </c>
      <c r="F11" s="101" t="str">
        <f>$H$2</f>
        <v>GW</v>
      </c>
      <c r="G11" s="17" t="str">
        <f>$H$2</f>
        <v>GW</v>
      </c>
      <c r="H11" s="101"/>
      <c r="I11" s="101"/>
      <c r="J11" s="101"/>
      <c r="K11" s="80" t="str">
        <f>$H$2</f>
        <v>GW</v>
      </c>
      <c r="L11" s="17"/>
      <c r="M11" s="80"/>
      <c r="N11" s="17" t="str">
        <f>$I$2&amp;"/"&amp;$H$2</f>
        <v>M€2005/GW</v>
      </c>
      <c r="O11" s="17" t="str">
        <f>$I$2&amp;"/"&amp;$H$2</f>
        <v>M€2005/GW</v>
      </c>
      <c r="P11" s="17" t="str">
        <f>$I$2&amp;"/"&amp;$G$2</f>
        <v>M€2005/PJ</v>
      </c>
      <c r="Q11" s="17" t="s">
        <v>77</v>
      </c>
      <c r="R11" s="17" t="str">
        <f>$G$2&amp;"/"&amp;$H$2</f>
        <v>PJ/GW</v>
      </c>
      <c r="S11" s="17"/>
      <c r="T11" s="26"/>
      <c r="U11" s="100" t="s">
        <v>123</v>
      </c>
      <c r="V11" s="36"/>
      <c r="W11" s="110" t="s">
        <v>71</v>
      </c>
      <c r="X11" s="110"/>
      <c r="Y11" s="110"/>
      <c r="Z11" s="110"/>
      <c r="AA11" s="110"/>
      <c r="AB11" s="110"/>
      <c r="AC11" s="110"/>
      <c r="AD11" s="110"/>
      <c r="AE11" s="110"/>
    </row>
    <row r="12" spans="2:31" x14ac:dyDescent="0.2">
      <c r="B12" s="24" t="str">
        <f t="shared" ref="B12:B19" si="0">Y12</f>
        <v>ELCTECOA00</v>
      </c>
      <c r="C12" s="24" t="str">
        <f>$B$2&amp;RIGHT(Sector_Fuels!L5,3)</f>
        <v>ELCCOA</v>
      </c>
      <c r="D12" s="24" t="str">
        <f t="shared" ref="D12:D19" si="1">$Y$5</f>
        <v>ELC</v>
      </c>
      <c r="G12" s="122">
        <f>G$7*$G26</f>
        <v>4.812379980302623</v>
      </c>
      <c r="H12" s="122">
        <f>H$7*$G26</f>
        <v>9.6247599606052461</v>
      </c>
      <c r="I12" s="122">
        <f>I$7*$G26</f>
        <v>14.437139940907869</v>
      </c>
      <c r="J12" s="122">
        <f>J$7*$G26</f>
        <v>19.249519921210492</v>
      </c>
      <c r="K12" s="67">
        <v>0</v>
      </c>
      <c r="L12" s="72">
        <v>0.38400000000000001</v>
      </c>
      <c r="M12" s="72">
        <v>0.85</v>
      </c>
      <c r="N12" s="71"/>
      <c r="O12" s="72">
        <v>40</v>
      </c>
      <c r="P12" s="72">
        <v>0.5</v>
      </c>
      <c r="Q12" s="71">
        <v>30</v>
      </c>
      <c r="R12" s="71">
        <v>31.536000000000001</v>
      </c>
      <c r="S12" s="72">
        <v>1</v>
      </c>
      <c r="T12" s="26"/>
      <c r="U12" s="34">
        <f>G12*$M12*$R12</f>
        <v>128.9987328</v>
      </c>
      <c r="V12" s="36"/>
      <c r="W12" s="111" t="s">
        <v>104</v>
      </c>
      <c r="X12" s="111"/>
      <c r="Y12" s="111" t="str">
        <f>$B$2&amp;$C$5&amp;$J$2&amp;RIGHT(Sector_Fuels!$L$5,3)&amp;"00"</f>
        <v>ELCTECOA00</v>
      </c>
      <c r="Z12" s="112" t="str">
        <f>$D$2&amp;" "&amp;$J$1&amp;RIGHT(Y12,2)&amp;" - "&amp;'EB2'!D3</f>
        <v>Power Plants Existing00 - Solid Fuels</v>
      </c>
      <c r="AA12" s="111" t="str">
        <f t="shared" ref="AA12:AA19" si="2">$G$2</f>
        <v>PJ</v>
      </c>
      <c r="AB12" s="111" t="str">
        <f t="shared" ref="AB12:AB19" si="3">$H$2</f>
        <v>GW</v>
      </c>
      <c r="AC12" s="115" t="s">
        <v>119</v>
      </c>
      <c r="AD12" s="111"/>
      <c r="AE12" s="111"/>
    </row>
    <row r="13" spans="2:31" x14ac:dyDescent="0.2">
      <c r="B13" s="24" t="str">
        <f t="shared" si="0"/>
        <v>ELCTEGAS00</v>
      </c>
      <c r="C13" s="24" t="str">
        <f>$B$2&amp;RIGHT(Sector_Fuels!L6,3)</f>
        <v>ELCGAS</v>
      </c>
      <c r="D13" s="24" t="str">
        <f t="shared" si="1"/>
        <v>ELC</v>
      </c>
      <c r="G13" s="122">
        <f t="shared" ref="G13:J16" si="4">G$7*$G27</f>
        <v>6.217565667472468</v>
      </c>
      <c r="H13" s="122">
        <f t="shared" si="4"/>
        <v>12.435131334944936</v>
      </c>
      <c r="I13" s="122">
        <f t="shared" si="4"/>
        <v>18.652697002417401</v>
      </c>
      <c r="J13" s="122">
        <f t="shared" si="4"/>
        <v>24.870262669889872</v>
      </c>
      <c r="K13" s="67">
        <v>0</v>
      </c>
      <c r="L13" s="93">
        <v>0.4929</v>
      </c>
      <c r="M13" s="72">
        <v>0.85</v>
      </c>
      <c r="N13" s="71"/>
      <c r="O13" s="72">
        <v>35</v>
      </c>
      <c r="P13" s="72">
        <v>0.4</v>
      </c>
      <c r="Q13" s="71">
        <v>20</v>
      </c>
      <c r="R13" s="71">
        <v>31.536000000000001</v>
      </c>
      <c r="S13" s="72">
        <v>1</v>
      </c>
      <c r="T13" s="26"/>
      <c r="U13" s="34">
        <f>G13*$M13*$R13</f>
        <v>166.66557825599997</v>
      </c>
      <c r="V13" s="37"/>
      <c r="W13" s="111"/>
      <c r="X13" s="111"/>
      <c r="Y13" s="111" t="str">
        <f>$B$2&amp;$C$5&amp;$J$2&amp;RIGHT(Sector_Fuels!$L$6,3)&amp;"00"</f>
        <v>ELCTEGAS00</v>
      </c>
      <c r="Z13" s="112" t="str">
        <f>$D$2&amp;" "&amp;$J$1&amp;RIGHT(Y13,2)&amp;" - "&amp;'EB2'!E3</f>
        <v>Power Plants Existing00 - Natural Gas</v>
      </c>
      <c r="AA13" s="111" t="str">
        <f t="shared" si="2"/>
        <v>PJ</v>
      </c>
      <c r="AB13" s="111" t="str">
        <f t="shared" si="3"/>
        <v>GW</v>
      </c>
      <c r="AC13" s="111"/>
      <c r="AD13" s="111"/>
      <c r="AE13" s="111"/>
    </row>
    <row r="14" spans="2:31" x14ac:dyDescent="0.2">
      <c r="B14" s="24" t="str">
        <f t="shared" si="0"/>
        <v>ELCTEOIL00</v>
      </c>
      <c r="C14" s="24" t="str">
        <f>$B$2&amp;RIGHT(Sector_Fuels!L7,3)</f>
        <v>ELCOIL</v>
      </c>
      <c r="D14" s="24" t="str">
        <f t="shared" si="1"/>
        <v>ELC</v>
      </c>
      <c r="G14" s="122">
        <f t="shared" si="4"/>
        <v>0</v>
      </c>
      <c r="H14" s="122">
        <f t="shared" si="4"/>
        <v>0</v>
      </c>
      <c r="I14" s="122">
        <f t="shared" si="4"/>
        <v>0</v>
      </c>
      <c r="J14" s="122">
        <f t="shared" si="4"/>
        <v>0</v>
      </c>
      <c r="K14" s="67">
        <v>0</v>
      </c>
      <c r="L14" s="93">
        <v>0.25</v>
      </c>
      <c r="M14" s="93">
        <v>0.85</v>
      </c>
      <c r="N14" s="92"/>
      <c r="O14" s="93">
        <v>20</v>
      </c>
      <c r="P14" s="93">
        <v>0.2</v>
      </c>
      <c r="Q14" s="92">
        <v>30</v>
      </c>
      <c r="R14" s="71">
        <v>31.536000000000001</v>
      </c>
      <c r="S14" s="72">
        <v>1</v>
      </c>
      <c r="T14" s="26"/>
      <c r="U14" s="34">
        <f>G14*$M14*$R14</f>
        <v>0</v>
      </c>
      <c r="V14" s="37"/>
      <c r="W14" s="111"/>
      <c r="X14" s="111"/>
      <c r="Y14" s="111" t="str">
        <f>$B$2&amp;$C$5&amp;$J$2&amp;RIGHT(Sector_Fuels!$L$7,3)&amp;"00"</f>
        <v>ELCTEOIL00</v>
      </c>
      <c r="Z14" s="112" t="str">
        <f>$D$2&amp;" "&amp;$J$1&amp;RIGHT(Y14,2)&amp;" - "&amp;'EB2'!F3</f>
        <v>Power Plants Existing00 - Crude Oil</v>
      </c>
      <c r="AA14" s="111" t="str">
        <f t="shared" si="2"/>
        <v>PJ</v>
      </c>
      <c r="AB14" s="111" t="str">
        <f t="shared" si="3"/>
        <v>GW</v>
      </c>
      <c r="AC14" s="111"/>
      <c r="AD14" s="111"/>
      <c r="AE14" s="111"/>
    </row>
    <row r="15" spans="2:31" x14ac:dyDescent="0.2">
      <c r="B15" s="28" t="str">
        <f t="shared" si="0"/>
        <v>ELCNENUC00</v>
      </c>
      <c r="C15" s="24" t="str">
        <f>$B$2&amp;RIGHT(Sector_Fuels!L8,3)</f>
        <v>ELCNUC</v>
      </c>
      <c r="D15" s="28" t="str">
        <f t="shared" si="1"/>
        <v>ELC</v>
      </c>
      <c r="E15" s="28"/>
      <c r="F15" s="28"/>
      <c r="G15" s="122">
        <f t="shared" si="4"/>
        <v>6.3308599695586008</v>
      </c>
      <c r="H15" s="122">
        <f t="shared" si="4"/>
        <v>12.661719939117202</v>
      </c>
      <c r="I15" s="122">
        <f t="shared" si="4"/>
        <v>18.9925799086758</v>
      </c>
      <c r="J15" s="122">
        <f t="shared" si="4"/>
        <v>25.323439878234403</v>
      </c>
      <c r="K15" s="91">
        <v>0</v>
      </c>
      <c r="L15" s="92">
        <v>0.33</v>
      </c>
      <c r="M15" s="93">
        <v>0.9</v>
      </c>
      <c r="N15" s="92"/>
      <c r="O15" s="93">
        <v>38</v>
      </c>
      <c r="P15" s="92">
        <v>0.27</v>
      </c>
      <c r="Q15" s="74"/>
      <c r="R15" s="92">
        <v>31.536000000000001</v>
      </c>
      <c r="S15" s="93">
        <v>1</v>
      </c>
      <c r="T15" s="27"/>
      <c r="U15" s="34">
        <f>G15*$M15*$R15</f>
        <v>179.68500000000006</v>
      </c>
      <c r="V15" s="37"/>
      <c r="W15" s="111"/>
      <c r="X15" s="111"/>
      <c r="Y15" s="111" t="str">
        <f>$B$2&amp;$H$5&amp;$J$2&amp;RIGHT(Sector_Fuels!$L$8,3)&amp;"00"</f>
        <v>ELCNENUC00</v>
      </c>
      <c r="Z15" s="121" t="str">
        <f>$D$2&amp;" "&amp;$J$1&amp;RIGHT(Y15,2)&amp;" - "&amp;'EB2'!N3</f>
        <v>Power Plants Existing00 - Nuclear Energy</v>
      </c>
      <c r="AA15" s="111" t="str">
        <f t="shared" si="2"/>
        <v>PJ</v>
      </c>
      <c r="AB15" s="111" t="str">
        <f t="shared" si="3"/>
        <v>GW</v>
      </c>
      <c r="AC15" s="115" t="s">
        <v>119</v>
      </c>
      <c r="AD15" s="111"/>
      <c r="AE15" s="111"/>
    </row>
    <row r="16" spans="2:31" x14ac:dyDescent="0.2">
      <c r="B16" s="28" t="str">
        <f t="shared" si="0"/>
        <v>ELCREBIO00</v>
      </c>
      <c r="C16" s="24" t="str">
        <f>$B$2&amp;RIGHT(Sector_Fuels!L9,3)</f>
        <v>ELCBIO</v>
      </c>
      <c r="D16" s="28" t="str">
        <f t="shared" si="1"/>
        <v>ELC</v>
      </c>
      <c r="E16" s="28"/>
      <c r="F16" s="28"/>
      <c r="G16" s="122">
        <f t="shared" si="4"/>
        <v>0.26007767577794699</v>
      </c>
      <c r="H16" s="122">
        <f t="shared" si="4"/>
        <v>0.52015535155589399</v>
      </c>
      <c r="I16" s="122">
        <f t="shared" si="4"/>
        <v>0.78023302733384081</v>
      </c>
      <c r="J16" s="122">
        <f t="shared" si="4"/>
        <v>1.040310703111788</v>
      </c>
      <c r="K16" s="91">
        <v>0</v>
      </c>
      <c r="L16" s="73">
        <v>0.28000000000000003</v>
      </c>
      <c r="M16" s="73">
        <v>0.6</v>
      </c>
      <c r="N16" s="73"/>
      <c r="O16" s="74">
        <v>25</v>
      </c>
      <c r="P16" s="73">
        <v>0.35</v>
      </c>
      <c r="Q16" s="74">
        <v>25</v>
      </c>
      <c r="R16" s="92">
        <v>31.536000000000001</v>
      </c>
      <c r="S16" s="93">
        <v>1</v>
      </c>
      <c r="T16" s="27"/>
      <c r="U16" s="34">
        <f>G16*$M16*$R16</f>
        <v>4.9210857500000014</v>
      </c>
      <c r="V16" s="37"/>
      <c r="W16" s="111"/>
      <c r="X16" s="111"/>
      <c r="Y16" s="111" t="str">
        <f>$B$2&amp;$G$5&amp;$J$2&amp;RIGHT(Sector_Fuels!$L$9,3)&amp;"00"</f>
        <v>ELCREBIO00</v>
      </c>
      <c r="Z16" s="121" t="str">
        <f>$D$2&amp;" "&amp;$J$1&amp;RIGHT(Y16,2)&amp;" - "&amp;'EB2'!O3</f>
        <v>Power Plants Existing00 - Biomass</v>
      </c>
      <c r="AA16" s="111" t="str">
        <f t="shared" si="2"/>
        <v>PJ</v>
      </c>
      <c r="AB16" s="111" t="str">
        <f t="shared" si="3"/>
        <v>GW</v>
      </c>
      <c r="AC16" s="115"/>
      <c r="AD16" s="111"/>
      <c r="AE16" s="111"/>
    </row>
    <row r="17" spans="2:31" x14ac:dyDescent="0.2">
      <c r="B17" s="28" t="str">
        <f t="shared" si="0"/>
        <v>ELCREHYD00</v>
      </c>
      <c r="C17" s="24" t="str">
        <f>$B$2&amp;RIGHT(Sector_Fuels!L10,3)</f>
        <v>ELCHYD</v>
      </c>
      <c r="D17" s="28" t="str">
        <f t="shared" si="1"/>
        <v>ELC</v>
      </c>
      <c r="E17" s="104">
        <v>15</v>
      </c>
      <c r="F17" s="104">
        <v>16</v>
      </c>
      <c r="G17" s="105"/>
      <c r="H17" s="105"/>
      <c r="I17" s="105"/>
      <c r="J17" s="105"/>
      <c r="K17" s="105"/>
      <c r="L17" s="73">
        <v>1</v>
      </c>
      <c r="M17" s="73">
        <v>0.5</v>
      </c>
      <c r="N17" s="73"/>
      <c r="O17" s="74">
        <v>50</v>
      </c>
      <c r="P17" s="73">
        <v>2</v>
      </c>
      <c r="Q17" s="74">
        <v>200</v>
      </c>
      <c r="R17" s="92">
        <v>31.536000000000001</v>
      </c>
      <c r="S17" s="93">
        <v>0.5</v>
      </c>
      <c r="T17" s="27"/>
      <c r="U17" s="34">
        <f>(E17+F17)*$M17*$R17</f>
        <v>488.80799999999999</v>
      </c>
      <c r="V17" s="37"/>
      <c r="W17" s="111"/>
      <c r="X17" s="111"/>
      <c r="Y17" s="111" t="str">
        <f>$B$2&amp;$G$5&amp;$J$2&amp;RIGHT(Sector_Fuels!$L$10,3)&amp;"00"</f>
        <v>ELCREHYD00</v>
      </c>
      <c r="Z17" s="121" t="str">
        <f>$D$2&amp;" "&amp;$J$1&amp;RIGHT(Y17,2)&amp;" - "&amp;'EB2'!P3</f>
        <v>Power Plants Existing00 - Hydro power</v>
      </c>
      <c r="AA17" s="111" t="str">
        <f t="shared" si="2"/>
        <v>PJ</v>
      </c>
      <c r="AB17" s="111" t="str">
        <f t="shared" si="3"/>
        <v>GW</v>
      </c>
      <c r="AC17" s="115"/>
      <c r="AD17" s="111"/>
      <c r="AE17" s="111"/>
    </row>
    <row r="18" spans="2:31" x14ac:dyDescent="0.2">
      <c r="B18" s="28" t="str">
        <f t="shared" si="0"/>
        <v>ELCREWIN00</v>
      </c>
      <c r="C18" s="24" t="str">
        <f>$B$2&amp;RIGHT(Sector_Fuels!L11,3)</f>
        <v>ELCWIN</v>
      </c>
      <c r="D18" s="28" t="str">
        <f t="shared" si="1"/>
        <v>ELC</v>
      </c>
      <c r="E18" s="28"/>
      <c r="F18" s="28"/>
      <c r="G18" s="122">
        <f t="shared" ref="G18:J19" si="5">G$7*$G32</f>
        <v>4.4402179821700374</v>
      </c>
      <c r="H18" s="122">
        <f t="shared" si="5"/>
        <v>8.8804359643400748</v>
      </c>
      <c r="I18" s="122">
        <f t="shared" si="5"/>
        <v>13.320653946510111</v>
      </c>
      <c r="J18" s="122">
        <f t="shared" si="5"/>
        <v>17.76087192868015</v>
      </c>
      <c r="K18" s="91">
        <v>0</v>
      </c>
      <c r="L18" s="73">
        <v>1</v>
      </c>
      <c r="M18" s="73">
        <v>0.35</v>
      </c>
      <c r="N18" s="73"/>
      <c r="O18" s="74">
        <v>35</v>
      </c>
      <c r="P18" s="73">
        <v>0.5</v>
      </c>
      <c r="Q18" s="74">
        <v>20</v>
      </c>
      <c r="R18" s="92">
        <v>31.536000000000001</v>
      </c>
      <c r="S18" s="93">
        <v>0.3</v>
      </c>
      <c r="T18" s="27"/>
      <c r="U18" s="34">
        <f>G18*$M18*$R18</f>
        <v>49.009350000000005</v>
      </c>
      <c r="V18" s="37"/>
      <c r="W18" s="111"/>
      <c r="X18" s="111"/>
      <c r="Y18" s="111" t="str">
        <f>$B$2&amp;$G$5&amp;$J$2&amp;RIGHT(Sector_Fuels!$L$11,3)&amp;"00"</f>
        <v>ELCREWIN00</v>
      </c>
      <c r="Z18" s="121" t="str">
        <f>$D$2&amp;" "&amp;$J$1&amp;RIGHT(Y18,2)&amp;" - "&amp;'EB2'!Q3</f>
        <v>Power Plants Existing00 - Wind energy</v>
      </c>
      <c r="AA18" s="111" t="str">
        <f t="shared" si="2"/>
        <v>PJ</v>
      </c>
      <c r="AB18" s="111" t="str">
        <f t="shared" si="3"/>
        <v>GW</v>
      </c>
      <c r="AC18" s="115"/>
      <c r="AD18" s="111"/>
      <c r="AE18" s="111"/>
    </row>
    <row r="19" spans="2:31" x14ac:dyDescent="0.2">
      <c r="B19" s="28" t="str">
        <f t="shared" si="0"/>
        <v>ELCRESOL00</v>
      </c>
      <c r="C19" s="24" t="str">
        <f>$B$2&amp;RIGHT(Sector_Fuels!L12,3)</f>
        <v>ELCSOL</v>
      </c>
      <c r="D19" s="28" t="str">
        <f t="shared" si="1"/>
        <v>ELC</v>
      </c>
      <c r="E19" s="28"/>
      <c r="F19" s="28"/>
      <c r="G19" s="122">
        <f t="shared" si="5"/>
        <v>0.7187552849653307</v>
      </c>
      <c r="H19" s="122">
        <f t="shared" si="5"/>
        <v>1.4375105699306614</v>
      </c>
      <c r="I19" s="122">
        <f t="shared" si="5"/>
        <v>2.1562658548959917</v>
      </c>
      <c r="J19" s="122">
        <f t="shared" si="5"/>
        <v>2.8750211398613228</v>
      </c>
      <c r="K19" s="91">
        <v>0</v>
      </c>
      <c r="L19" s="73">
        <v>1</v>
      </c>
      <c r="M19" s="73">
        <v>0.3</v>
      </c>
      <c r="N19" s="73"/>
      <c r="O19" s="74">
        <v>60</v>
      </c>
      <c r="P19" s="73"/>
      <c r="Q19" s="74">
        <v>15</v>
      </c>
      <c r="R19" s="92">
        <v>31.536000000000001</v>
      </c>
      <c r="S19" s="93">
        <v>0.2</v>
      </c>
      <c r="T19" s="27"/>
      <c r="U19" s="34">
        <f>G19*$M19*$R19</f>
        <v>6.8000000000000007</v>
      </c>
      <c r="V19" s="37"/>
      <c r="W19" s="111"/>
      <c r="X19" s="111"/>
      <c r="Y19" s="111" t="str">
        <f>$B$2&amp;$G$5&amp;$J$2&amp;RIGHT(Sector_Fuels!$L$12,3)&amp;"00"</f>
        <v>ELCRESOL00</v>
      </c>
      <c r="Z19" s="121" t="str">
        <f>$D$2&amp;" "&amp;$J$1&amp;RIGHT(Y19,2)&amp;" - "&amp;'EB2'!R3</f>
        <v>Power Plants Existing00 - Solar energy</v>
      </c>
      <c r="AA19" s="111" t="str">
        <f t="shared" si="2"/>
        <v>PJ</v>
      </c>
      <c r="AB19" s="111" t="str">
        <f t="shared" si="3"/>
        <v>GW</v>
      </c>
      <c r="AC19" s="115"/>
      <c r="AD19" s="111"/>
      <c r="AE19" s="111"/>
    </row>
    <row r="22" spans="2:31" x14ac:dyDescent="0.2">
      <c r="U22" s="96"/>
    </row>
    <row r="23" spans="2:31" x14ac:dyDescent="0.2">
      <c r="B23" s="56"/>
      <c r="C23" s="1" t="s">
        <v>146</v>
      </c>
      <c r="U23" s="96"/>
    </row>
    <row r="24" spans="2:31" x14ac:dyDescent="0.2">
      <c r="B24" s="66"/>
      <c r="C24" s="1" t="s">
        <v>147</v>
      </c>
      <c r="U24" s="96"/>
    </row>
    <row r="25" spans="2:31" x14ac:dyDescent="0.2">
      <c r="G25" s="24" t="s">
        <v>123</v>
      </c>
    </row>
    <row r="26" spans="2:31" x14ac:dyDescent="0.2">
      <c r="G26" s="67">
        <f>(-'EB2'!$D$6*$L$12)/($M$12*$R$12)</f>
        <v>48.12379980302623</v>
      </c>
    </row>
    <row r="27" spans="2:31" x14ac:dyDescent="0.2">
      <c r="G27" s="67">
        <f>(-'EB2'!$E$6*$L$13)/($M$13*$R$13)</f>
        <v>62.175656674724678</v>
      </c>
    </row>
    <row r="28" spans="2:31" x14ac:dyDescent="0.2">
      <c r="G28" s="67">
        <f>((-SUM('EB2'!G20:M20)*$L$14)/($M$14*$R$14))</f>
        <v>0</v>
      </c>
    </row>
    <row r="29" spans="2:31" x14ac:dyDescent="0.2">
      <c r="G29" s="91">
        <f>(-'EB2'!$N$6*$L$15)/($M$15*$R$15)</f>
        <v>63.308599695586004</v>
      </c>
    </row>
    <row r="30" spans="2:31" x14ac:dyDescent="0.2">
      <c r="G30" s="91">
        <f>(-'EB2'!$O$6*$L$16)/($M$16*$R$16)</f>
        <v>2.6007767577794696</v>
      </c>
    </row>
    <row r="31" spans="2:31" x14ac:dyDescent="0.2">
      <c r="G31" s="105"/>
    </row>
    <row r="32" spans="2:31" x14ac:dyDescent="0.2">
      <c r="G32" s="91">
        <f>(-'EB2'!$Q$6*$L$18)/($M$18*$R$18)</f>
        <v>44.402179821700372</v>
      </c>
    </row>
    <row r="33" spans="7:7" x14ac:dyDescent="0.2">
      <c r="G33" s="91">
        <f>(-'EB2'!$R$6*$L$19)/($M$19*$R$19)</f>
        <v>7.1875528496533061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24"/>
  <sheetViews>
    <sheetView workbookViewId="0">
      <selection activeCell="F5" sqref="F5:F10"/>
    </sheetView>
  </sheetViews>
  <sheetFormatPr defaultColWidth="8.85546875" defaultRowHeight="12.75" x14ac:dyDescent="0.2"/>
  <cols>
    <col min="1" max="1" width="8.85546875" style="24"/>
    <col min="2" max="2" width="14.42578125" style="24" customWidth="1"/>
    <col min="3" max="16384" width="8.85546875" style="24"/>
  </cols>
  <sheetData>
    <row r="3" spans="2:10" ht="17.45" customHeight="1" x14ac:dyDescent="0.25">
      <c r="B3" s="39" t="s">
        <v>139</v>
      </c>
      <c r="C3" s="39"/>
      <c r="D3" s="39"/>
      <c r="E3" s="39"/>
      <c r="F3" s="39"/>
      <c r="G3" s="39"/>
      <c r="H3" s="39"/>
      <c r="I3" s="39"/>
      <c r="J3" s="39"/>
    </row>
    <row r="4" spans="2:10" s="26" customFormat="1" ht="17.45" customHeight="1" x14ac:dyDescent="0.25">
      <c r="B4" s="40"/>
      <c r="C4" s="40"/>
      <c r="D4" s="40"/>
      <c r="E4" s="40"/>
      <c r="F4" s="40"/>
      <c r="G4" s="40"/>
    </row>
    <row r="5" spans="2:10" ht="18" x14ac:dyDescent="0.25">
      <c r="B5" s="75" t="s">
        <v>140</v>
      </c>
      <c r="C5" s="76"/>
      <c r="D5"/>
      <c r="E5"/>
      <c r="F5"/>
      <c r="G5"/>
    </row>
    <row r="6" spans="2:10" ht="13.5" thickBot="1" x14ac:dyDescent="0.25">
      <c r="B6" s="41" t="s">
        <v>0</v>
      </c>
      <c r="C6" s="41" t="str">
        <f>Sector_Fuels!$L$5</f>
        <v>ELCCOA</v>
      </c>
      <c r="D6" s="41" t="str">
        <f>Sector_Fuels!$L$6</f>
        <v>ELCGAS</v>
      </c>
      <c r="E6" s="41" t="str">
        <f>Sector_Fuels!$L$7</f>
        <v>ELCOIL</v>
      </c>
      <c r="F6" s="42"/>
      <c r="G6" s="42"/>
      <c r="H6" s="25"/>
    </row>
    <row r="7" spans="2:10" ht="13.5" thickBot="1" x14ac:dyDescent="0.25">
      <c r="B7" s="43" t="s">
        <v>76</v>
      </c>
      <c r="C7" s="43" t="s">
        <v>148</v>
      </c>
      <c r="D7" s="43" t="s">
        <v>148</v>
      </c>
      <c r="E7" s="43" t="s">
        <v>148</v>
      </c>
      <c r="F7" s="87"/>
      <c r="G7" s="87"/>
      <c r="H7" s="25"/>
    </row>
    <row r="8" spans="2:10" x14ac:dyDescent="0.2">
      <c r="B8" s="42" t="str">
        <f>Con_ELC!$Y$6</f>
        <v>ELCCO2</v>
      </c>
      <c r="C8" s="73">
        <v>95</v>
      </c>
      <c r="D8" s="73">
        <v>56.1</v>
      </c>
      <c r="E8" s="73">
        <v>76.400000000000006</v>
      </c>
      <c r="F8" s="88"/>
      <c r="G8" s="88"/>
    </row>
    <row r="9" spans="2:10" x14ac:dyDescent="0.2">
      <c r="F9" s="27"/>
      <c r="G9" s="88"/>
    </row>
    <row r="23" spans="2:3" x14ac:dyDescent="0.2">
      <c r="B23" s="56"/>
      <c r="C23" s="1" t="s">
        <v>146</v>
      </c>
    </row>
    <row r="24" spans="2:3" x14ac:dyDescent="0.2">
      <c r="B24" s="66"/>
      <c r="C24" s="1" t="s">
        <v>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EB2</vt:lpstr>
      <vt:lpstr>RES_ELC</vt:lpstr>
      <vt:lpstr>Sector_Fuels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2022-03-10T09:12:52Z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404323756694793</vt:r8>
  </property>
</Properties>
</file>