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D22BE106-B6A3-4756-A2A7-9F2977F92EFF}" xr6:coauthVersionLast="45" xr6:coauthVersionMax="45" xr10:uidLastSave="{00000000-0000-0000-0000-000000000000}"/>
  <bookViews>
    <workbookView xWindow="390" yWindow="390" windowWidth="15375" windowHeight="7875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E15" i="138"/>
  <c r="K15" i="138"/>
  <c r="F5" i="133"/>
  <c r="G5" i="133"/>
  <c r="H5" i="133"/>
  <c r="I5" i="133"/>
  <c r="J5" i="133"/>
  <c r="K5" i="133"/>
  <c r="L5" i="133"/>
  <c r="M5" i="133"/>
  <c r="N5" i="133"/>
  <c r="O5" i="133"/>
  <c r="P5" i="133"/>
  <c r="Q5" i="133"/>
  <c r="Q13" i="133" s="1"/>
  <c r="R5" i="133"/>
  <c r="S5" i="133"/>
  <c r="T5" i="133"/>
  <c r="U5" i="133"/>
  <c r="E20" i="138"/>
  <c r="K20" i="138"/>
  <c r="E10" i="134" s="1"/>
  <c r="D6" i="133"/>
  <c r="E14" i="153"/>
  <c r="K14" i="153"/>
  <c r="E6" i="133"/>
  <c r="E15" i="153"/>
  <c r="K15" i="153"/>
  <c r="F6" i="133"/>
  <c r="G6" i="133"/>
  <c r="H6" i="133"/>
  <c r="I6" i="133"/>
  <c r="E22" i="152" s="1"/>
  <c r="F12" i="155"/>
  <c r="G12" i="155" s="1"/>
  <c r="J6" i="133"/>
  <c r="K6" i="133"/>
  <c r="L6" i="133"/>
  <c r="M6" i="133"/>
  <c r="E21" i="152" s="1"/>
  <c r="N6" i="133"/>
  <c r="N13" i="133" s="1"/>
  <c r="O6" i="133"/>
  <c r="E17" i="153"/>
  <c r="K17" i="153"/>
  <c r="P6" i="133"/>
  <c r="Q6" i="133"/>
  <c r="R6" i="133"/>
  <c r="E18" i="153"/>
  <c r="K18" i="153"/>
  <c r="S6" i="133"/>
  <c r="T6" i="133"/>
  <c r="U6" i="133"/>
  <c r="E25" i="153"/>
  <c r="K25" i="153" s="1"/>
  <c r="D7" i="133"/>
  <c r="E7" i="133"/>
  <c r="F7" i="133"/>
  <c r="G7" i="133"/>
  <c r="H7" i="133"/>
  <c r="I7" i="133"/>
  <c r="J7" i="133"/>
  <c r="K7" i="133"/>
  <c r="L7" i="133"/>
  <c r="M7" i="133"/>
  <c r="M13" i="133" s="1"/>
  <c r="N7" i="133"/>
  <c r="O7" i="133"/>
  <c r="P7" i="133"/>
  <c r="Q7" i="133"/>
  <c r="R7" i="133"/>
  <c r="R13" i="133" s="1"/>
  <c r="S7" i="133"/>
  <c r="T7" i="133"/>
  <c r="U7" i="133"/>
  <c r="D8" i="133"/>
  <c r="E8" i="133"/>
  <c r="F8" i="133"/>
  <c r="G8" i="133"/>
  <c r="H8" i="133"/>
  <c r="I8" i="133"/>
  <c r="J8" i="133"/>
  <c r="V8" i="133" s="1"/>
  <c r="K8" i="133"/>
  <c r="L8" i="133"/>
  <c r="M8" i="133"/>
  <c r="N8" i="133"/>
  <c r="O8" i="133"/>
  <c r="P8" i="133"/>
  <c r="Q8" i="133"/>
  <c r="R8" i="133"/>
  <c r="S8" i="133"/>
  <c r="S13" i="133" s="1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V9" i="133"/>
  <c r="T9" i="133"/>
  <c r="U9" i="133"/>
  <c r="D10" i="133"/>
  <c r="E10" i="133"/>
  <c r="F10" i="133"/>
  <c r="G10" i="133"/>
  <c r="H10" i="133"/>
  <c r="V10" i="133" s="1"/>
  <c r="I10" i="133"/>
  <c r="J10" i="133"/>
  <c r="K10" i="133"/>
  <c r="L10" i="133"/>
  <c r="L13" i="133" s="1"/>
  <c r="M10" i="133"/>
  <c r="N10" i="133"/>
  <c r="O10" i="133"/>
  <c r="P10" i="133"/>
  <c r="Q10" i="133"/>
  <c r="R10" i="133"/>
  <c r="S10" i="133"/>
  <c r="T10" i="133"/>
  <c r="T13" i="133" s="1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3"/>
  <c r="D23" i="133"/>
  <c r="E2" i="138"/>
  <c r="Q24" i="138"/>
  <c r="E2" i="153"/>
  <c r="Q18" i="153" s="1"/>
  <c r="Q16" i="153"/>
  <c r="E2" i="155"/>
  <c r="P12" i="155"/>
  <c r="Q12" i="155"/>
  <c r="C2" i="155"/>
  <c r="B2" i="155"/>
  <c r="P6" i="155"/>
  <c r="H2" i="155"/>
  <c r="D2" i="155"/>
  <c r="O5" i="155" s="1"/>
  <c r="C2" i="154"/>
  <c r="M6" i="154" s="1"/>
  <c r="M17" i="154" s="1"/>
  <c r="M9" i="154"/>
  <c r="B2" i="154"/>
  <c r="L8" i="154" s="1"/>
  <c r="L9" i="154"/>
  <c r="L5" i="154"/>
  <c r="D16" i="154" s="1"/>
  <c r="C16" i="154" s="1"/>
  <c r="F2" i="154"/>
  <c r="E2" i="154"/>
  <c r="N9" i="154" s="1"/>
  <c r="N7" i="154"/>
  <c r="J23" i="134"/>
  <c r="C2" i="153"/>
  <c r="P8" i="153" s="1"/>
  <c r="B2" i="153"/>
  <c r="O17" i="153" s="1"/>
  <c r="B17" i="153" s="1"/>
  <c r="C17" i="153" s="1"/>
  <c r="O24" i="153"/>
  <c r="B24" i="153" s="1"/>
  <c r="O7" i="153"/>
  <c r="H32" i="134" s="1"/>
  <c r="H31" i="134"/>
  <c r="Q8" i="153"/>
  <c r="G2" i="153"/>
  <c r="D2" i="153"/>
  <c r="P14" i="153" s="1"/>
  <c r="B2" i="140"/>
  <c r="L5" i="140"/>
  <c r="M6" i="149" s="1"/>
  <c r="L17" i="140"/>
  <c r="C2" i="152"/>
  <c r="M9" i="152" s="1"/>
  <c r="M20" i="152" s="1"/>
  <c r="M5" i="152"/>
  <c r="M16" i="152" s="1"/>
  <c r="B2" i="152"/>
  <c r="L9" i="152"/>
  <c r="L20" i="152"/>
  <c r="B25" i="152" s="1"/>
  <c r="F2" i="152"/>
  <c r="E2" i="152"/>
  <c r="N19" i="152" s="1"/>
  <c r="N9" i="152"/>
  <c r="C2" i="140"/>
  <c r="M7" i="140"/>
  <c r="M19" i="140"/>
  <c r="J11" i="134"/>
  <c r="D2" i="138"/>
  <c r="C2" i="138"/>
  <c r="B2" i="138"/>
  <c r="O5" i="138" s="1"/>
  <c r="O14" i="138"/>
  <c r="B14" i="138"/>
  <c r="C14" i="138" s="1"/>
  <c r="Q8" i="138"/>
  <c r="F2" i="140"/>
  <c r="E2" i="140"/>
  <c r="N20" i="140"/>
  <c r="O20" i="140"/>
  <c r="E2" i="134"/>
  <c r="E8" i="134"/>
  <c r="G2" i="138"/>
  <c r="N8" i="152"/>
  <c r="O17" i="138"/>
  <c r="B17" i="138"/>
  <c r="C17" i="138" s="1"/>
  <c r="M9" i="140"/>
  <c r="M21" i="140"/>
  <c r="M8" i="140"/>
  <c r="M20" i="140" s="1"/>
  <c r="O8" i="138"/>
  <c r="L8" i="149" s="1"/>
  <c r="R21" i="153"/>
  <c r="M6" i="140"/>
  <c r="M18" i="140" s="1"/>
  <c r="Q6" i="153"/>
  <c r="Q20" i="153"/>
  <c r="M10" i="140"/>
  <c r="M22" i="140" s="1"/>
  <c r="R23" i="153"/>
  <c r="Q14" i="153"/>
  <c r="Q5" i="153"/>
  <c r="O19" i="154"/>
  <c r="M5" i="140"/>
  <c r="M17" i="140"/>
  <c r="O19" i="138"/>
  <c r="B19" i="138" s="1"/>
  <c r="C19" i="138" s="1"/>
  <c r="O16" i="138"/>
  <c r="B16" i="138" s="1"/>
  <c r="C16" i="138" s="1"/>
  <c r="O22" i="138"/>
  <c r="B22" i="138"/>
  <c r="C22" i="138" s="1"/>
  <c r="O25" i="153"/>
  <c r="B25" i="153"/>
  <c r="N6" i="140"/>
  <c r="L6" i="152"/>
  <c r="L17" i="152" s="1"/>
  <c r="B17" i="152" s="1"/>
  <c r="D17" i="152"/>
  <c r="C17" i="152" s="1"/>
  <c r="M7" i="152"/>
  <c r="M18" i="152"/>
  <c r="R25" i="153"/>
  <c r="O23" i="138"/>
  <c r="B23" i="138"/>
  <c r="C23" i="138" s="1"/>
  <c r="O16" i="153"/>
  <c r="B16" i="153" s="1"/>
  <c r="L7" i="154"/>
  <c r="O14" i="153"/>
  <c r="B14" i="153" s="1"/>
  <c r="M20" i="154"/>
  <c r="O21" i="153"/>
  <c r="B21" i="153" s="1"/>
  <c r="P5" i="155"/>
  <c r="Q19" i="138"/>
  <c r="H30" i="134"/>
  <c r="H11" i="134"/>
  <c r="H12" i="134"/>
  <c r="L7" i="140"/>
  <c r="N20" i="154"/>
  <c r="N5" i="154"/>
  <c r="O21" i="138"/>
  <c r="B21" i="138" s="1"/>
  <c r="C21" i="138" s="1"/>
  <c r="Q21" i="138"/>
  <c r="O25" i="138"/>
  <c r="B25" i="138" s="1"/>
  <c r="C25" i="138" s="1"/>
  <c r="O7" i="138"/>
  <c r="H18" i="134"/>
  <c r="O21" i="152"/>
  <c r="O6" i="138"/>
  <c r="N10" i="152"/>
  <c r="O15" i="138"/>
  <c r="B15" i="138" s="1"/>
  <c r="C15" i="138" s="1"/>
  <c r="B17" i="140"/>
  <c r="Q7" i="138"/>
  <c r="Q5" i="138"/>
  <c r="R20" i="138"/>
  <c r="R22" i="138"/>
  <c r="R25" i="138"/>
  <c r="P6" i="138"/>
  <c r="O18" i="153"/>
  <c r="B18" i="153" s="1"/>
  <c r="C18" i="153" s="1"/>
  <c r="M8" i="154"/>
  <c r="M19" i="154" s="1"/>
  <c r="N7" i="152"/>
  <c r="O6" i="153"/>
  <c r="P21" i="153"/>
  <c r="M6" i="152"/>
  <c r="M17" i="152" s="1"/>
  <c r="D25" i="153"/>
  <c r="O23" i="153"/>
  <c r="B23" i="153"/>
  <c r="C23" i="153" s="1"/>
  <c r="Q20" i="138"/>
  <c r="M5" i="154"/>
  <c r="M16" i="154" s="1"/>
  <c r="L16" i="154"/>
  <c r="B16" i="154" s="1"/>
  <c r="O22" i="153"/>
  <c r="B22" i="153"/>
  <c r="C22" i="153" s="1"/>
  <c r="L7" i="152"/>
  <c r="L18" i="152"/>
  <c r="B18" i="152" s="1"/>
  <c r="L6" i="140"/>
  <c r="N6" i="149" s="1"/>
  <c r="Q23" i="153"/>
  <c r="Q21" i="153"/>
  <c r="Q22" i="153"/>
  <c r="L8" i="140"/>
  <c r="D25" i="140" s="1"/>
  <c r="C25" i="140" s="1"/>
  <c r="L20" i="140"/>
  <c r="B25" i="140" s="1"/>
  <c r="Q17" i="153"/>
  <c r="L10" i="140"/>
  <c r="L22" i="140" s="1"/>
  <c r="L8" i="152"/>
  <c r="D24" i="152" s="1"/>
  <c r="C24" i="152" s="1"/>
  <c r="H20" i="134"/>
  <c r="R23" i="138"/>
  <c r="Q18" i="138"/>
  <c r="D21" i="153"/>
  <c r="Q15" i="138"/>
  <c r="O21" i="140"/>
  <c r="N20" i="152"/>
  <c r="O16" i="152"/>
  <c r="O18" i="152"/>
  <c r="H9" i="134"/>
  <c r="C14" i="134"/>
  <c r="O15" i="153"/>
  <c r="B15" i="153" s="1"/>
  <c r="C15" i="153"/>
  <c r="O5" i="153"/>
  <c r="R21" i="138"/>
  <c r="N18" i="152"/>
  <c r="L6" i="154"/>
  <c r="Q17" i="138"/>
  <c r="D24" i="153"/>
  <c r="O20" i="152"/>
  <c r="R24" i="138"/>
  <c r="P23" i="138"/>
  <c r="L10" i="152"/>
  <c r="L21" i="152" s="1"/>
  <c r="B26" i="152" s="1"/>
  <c r="D22" i="153"/>
  <c r="Q23" i="138"/>
  <c r="Q6" i="138"/>
  <c r="N22" i="140"/>
  <c r="D17" i="140"/>
  <c r="C17" i="140" s="1"/>
  <c r="Q25" i="138"/>
  <c r="Q14" i="138"/>
  <c r="D19" i="138"/>
  <c r="D14" i="138"/>
  <c r="H29" i="134"/>
  <c r="Q16" i="138"/>
  <c r="O20" i="153"/>
  <c r="B20" i="153" s="1"/>
  <c r="C20" i="153" s="1"/>
  <c r="M7" i="154"/>
  <c r="M18" i="154"/>
  <c r="C12" i="155"/>
  <c r="L5" i="152"/>
  <c r="D16" i="152"/>
  <c r="C16" i="152" s="1"/>
  <c r="Q22" i="138"/>
  <c r="H16" i="134"/>
  <c r="H13" i="134"/>
  <c r="D18" i="154"/>
  <c r="N17" i="154"/>
  <c r="N18" i="140"/>
  <c r="C16" i="155"/>
  <c r="L9" i="140"/>
  <c r="D26" i="140" s="1"/>
  <c r="C26" i="140" s="1"/>
  <c r="D18" i="140"/>
  <c r="C18" i="140" s="1"/>
  <c r="N6" i="154"/>
  <c r="H6" i="149"/>
  <c r="L16" i="152"/>
  <c r="B16" i="152" s="1"/>
  <c r="H15" i="134"/>
  <c r="P15" i="138"/>
  <c r="P20" i="138"/>
  <c r="N10" i="140"/>
  <c r="N17" i="140"/>
  <c r="O22" i="140"/>
  <c r="N9" i="140"/>
  <c r="O17" i="140"/>
  <c r="N19" i="140"/>
  <c r="N8" i="140"/>
  <c r="F16" i="140"/>
  <c r="N7" i="140"/>
  <c r="O18" i="140"/>
  <c r="N21" i="140"/>
  <c r="N5" i="140"/>
  <c r="O19" i="140"/>
  <c r="N16" i="154"/>
  <c r="N19" i="154"/>
  <c r="O20" i="154"/>
  <c r="O18" i="154"/>
  <c r="O16" i="154"/>
  <c r="N18" i="154"/>
  <c r="F15" i="154"/>
  <c r="O17" i="154"/>
  <c r="C11" i="134"/>
  <c r="H19" i="134"/>
  <c r="D25" i="152"/>
  <c r="C25" i="152"/>
  <c r="P19" i="138"/>
  <c r="P25" i="138"/>
  <c r="P24" i="138"/>
  <c r="P16" i="138"/>
  <c r="D24" i="138"/>
  <c r="N12" i="155"/>
  <c r="B12" i="155"/>
  <c r="N5" i="155"/>
  <c r="N6" i="155"/>
  <c r="B8" i="149" s="1"/>
  <c r="M8" i="152"/>
  <c r="M19" i="152" s="1"/>
  <c r="O24" i="138"/>
  <c r="B24" i="138"/>
  <c r="C24" i="138" s="1"/>
  <c r="Q24" i="153"/>
  <c r="R24" i="153"/>
  <c r="P20" i="153"/>
  <c r="O20" i="138"/>
  <c r="B20" i="138"/>
  <c r="C20" i="138" s="1"/>
  <c r="Q25" i="153"/>
  <c r="R20" i="153"/>
  <c r="H27" i="134"/>
  <c r="D20" i="153"/>
  <c r="C13" i="134"/>
  <c r="H28" i="134"/>
  <c r="H26" i="134"/>
  <c r="H25" i="134"/>
  <c r="H24" i="134"/>
  <c r="H23" i="134"/>
  <c r="D15" i="153"/>
  <c r="H22" i="134"/>
  <c r="D18" i="153"/>
  <c r="D18" i="152"/>
  <c r="D26" i="152"/>
  <c r="C26" i="152"/>
  <c r="L17" i="154"/>
  <c r="B17" i="154"/>
  <c r="L19" i="152"/>
  <c r="B24" i="152"/>
  <c r="B27" i="140"/>
  <c r="J6" i="149"/>
  <c r="L21" i="140"/>
  <c r="B26" i="140" s="1"/>
  <c r="E21" i="153"/>
  <c r="K21" i="153" s="1"/>
  <c r="E14" i="134" s="1"/>
  <c r="E20" i="153"/>
  <c r="K20" i="153"/>
  <c r="E13" i="134"/>
  <c r="E19" i="153"/>
  <c r="K19" i="153" s="1"/>
  <c r="E24" i="153"/>
  <c r="K24" i="153"/>
  <c r="E22" i="138"/>
  <c r="K22" i="138" s="1"/>
  <c r="E21" i="154"/>
  <c r="O13" i="133"/>
  <c r="E23" i="153"/>
  <c r="K23" i="153"/>
  <c r="F14" i="155"/>
  <c r="G14" i="155"/>
  <c r="E22" i="153"/>
  <c r="K22" i="153" s="1"/>
  <c r="E19" i="152"/>
  <c r="F15" i="155"/>
  <c r="G15" i="155"/>
  <c r="F13" i="155"/>
  <c r="G13" i="155"/>
  <c r="E18" i="152"/>
  <c r="E16" i="153"/>
  <c r="K16" i="153" s="1"/>
  <c r="E12" i="134" s="1"/>
  <c r="V6" i="133"/>
  <c r="E15" i="134"/>
  <c r="F16" i="155"/>
  <c r="G16" i="155" s="1"/>
  <c r="E23" i="154"/>
  <c r="E23" i="152"/>
  <c r="E20" i="152"/>
  <c r="E25" i="138"/>
  <c r="K25" i="138" s="1"/>
  <c r="E18" i="138"/>
  <c r="K18" i="138" s="1"/>
  <c r="E19" i="138"/>
  <c r="K19" i="138" s="1"/>
  <c r="E20" i="140"/>
  <c r="H13" i="133"/>
  <c r="U13" i="133"/>
  <c r="D19" i="140" l="1"/>
  <c r="L19" i="140"/>
  <c r="B19" i="140" s="1"/>
  <c r="V7" i="133"/>
  <c r="E22" i="140"/>
  <c r="J13" i="133"/>
  <c r="D13" i="133"/>
  <c r="E14" i="138"/>
  <c r="K14" i="138" s="1"/>
  <c r="V5" i="133"/>
  <c r="V13" i="133" s="1"/>
  <c r="E16" i="138"/>
  <c r="K16" i="138" s="1"/>
  <c r="E19" i="140"/>
  <c r="P18" i="153"/>
  <c r="P24" i="153"/>
  <c r="D17" i="154"/>
  <c r="C17" i="154" s="1"/>
  <c r="C13" i="155"/>
  <c r="D6" i="149"/>
  <c r="D17" i="153"/>
  <c r="D16" i="153"/>
  <c r="D19" i="153"/>
  <c r="H21" i="134"/>
  <c r="C12" i="134"/>
  <c r="D14" i="153"/>
  <c r="D22" i="138"/>
  <c r="D21" i="138"/>
  <c r="D25" i="138"/>
  <c r="H17" i="134"/>
  <c r="D23" i="138"/>
  <c r="E6" i="149"/>
  <c r="C14" i="155"/>
  <c r="D25" i="154"/>
  <c r="C25" i="154" s="1"/>
  <c r="L20" i="154"/>
  <c r="B25" i="154" s="1"/>
  <c r="O6" i="155"/>
  <c r="O12" i="155"/>
  <c r="E13" i="133"/>
  <c r="E18" i="154"/>
  <c r="K13" i="133"/>
  <c r="P13" i="133"/>
  <c r="E23" i="140"/>
  <c r="P5" i="153"/>
  <c r="P6" i="153"/>
  <c r="P25" i="153"/>
  <c r="P19" i="153"/>
  <c r="P23" i="153"/>
  <c r="P17" i="153"/>
  <c r="P16" i="153"/>
  <c r="P15" i="153"/>
  <c r="P22" i="153"/>
  <c r="H14" i="134"/>
  <c r="C10" i="134"/>
  <c r="D20" i="138"/>
  <c r="D15" i="138"/>
  <c r="D17" i="138"/>
  <c r="C9" i="134"/>
  <c r="H10" i="134"/>
  <c r="D18" i="138"/>
  <c r="D16" i="138"/>
  <c r="L19" i="154"/>
  <c r="B24" i="154" s="1"/>
  <c r="C15" i="155"/>
  <c r="D24" i="154"/>
  <c r="C24" i="154" s="1"/>
  <c r="V11" i="133"/>
  <c r="E20" i="154"/>
  <c r="E22" i="154"/>
  <c r="E19" i="154"/>
  <c r="E17" i="138"/>
  <c r="K17" i="138" s="1"/>
  <c r="E24" i="138"/>
  <c r="K24" i="138" s="1"/>
  <c r="E21" i="140"/>
  <c r="E24" i="140"/>
  <c r="P7" i="153"/>
  <c r="E23" i="138"/>
  <c r="K23" i="138" s="1"/>
  <c r="E21" i="138"/>
  <c r="K21" i="138" s="1"/>
  <c r="D27" i="140"/>
  <c r="C27" i="140" s="1"/>
  <c r="D12" i="155"/>
  <c r="C15" i="134"/>
  <c r="L18" i="154"/>
  <c r="B18" i="154" s="1"/>
  <c r="P8" i="138"/>
  <c r="P14" i="138"/>
  <c r="P5" i="138"/>
  <c r="P18" i="138"/>
  <c r="P22" i="138"/>
  <c r="P21" i="138"/>
  <c r="P17" i="138"/>
  <c r="P7" i="138"/>
  <c r="F13" i="133"/>
  <c r="O6" i="149"/>
  <c r="I13" i="133"/>
  <c r="G13" i="133"/>
  <c r="N8" i="154"/>
  <c r="M10" i="152"/>
  <c r="M21" i="152" s="1"/>
  <c r="C6" i="149"/>
  <c r="L18" i="140"/>
  <c r="B18" i="140" s="1"/>
  <c r="O19" i="152"/>
  <c r="I6" i="149"/>
  <c r="O17" i="152"/>
  <c r="N6" i="152"/>
  <c r="D23" i="153"/>
  <c r="C21" i="153"/>
  <c r="C14" i="153"/>
  <c r="C16" i="153"/>
  <c r="N5" i="152"/>
  <c r="F15" i="152"/>
  <c r="N17" i="152"/>
  <c r="R22" i="153"/>
  <c r="Q7" i="153"/>
  <c r="Q15" i="153"/>
  <c r="O8" i="153"/>
  <c r="G8" i="149" s="1"/>
  <c r="C24" i="153"/>
  <c r="O18" i="138"/>
  <c r="B18" i="138" s="1"/>
  <c r="C18" i="138" s="1"/>
  <c r="N16" i="152"/>
  <c r="N21" i="152"/>
  <c r="C25" i="153"/>
  <c r="O19" i="153"/>
  <c r="B19" i="153" s="1"/>
  <c r="C19" i="153" s="1"/>
  <c r="Q19" i="153"/>
  <c r="E9" i="134" l="1"/>
  <c r="E11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<sst xmlns="http://schemas.openxmlformats.org/spreadsheetml/2006/main" count="679" uniqueCount="179">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</sst>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9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0" fontId="19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2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5" xfId="5" applyNumberFormat="1" applyBorder="1" applyAlignment="1">
      <alignment horizontal="right"/>
    </xf>
    <xf numFmtId="1" fontId="20" fillId="8" borderId="6" xfId="5" applyNumberFormat="1" applyBorder="1" applyAlignment="1">
      <alignment horizontal="right"/>
    </xf>
    <xf numFmtId="187" fontId="20" fillId="8" borderId="7" xfId="5" applyNumberFormat="1" applyBorder="1" applyAlignment="1">
      <alignment horizontal="righ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5" borderId="9" xfId="0" applyNumberFormat="1" applyFont="1" applyFill="1" applyBorder="1" applyAlignment="1">
      <alignment horizontal="center" vertical="center"/>
    </xf>
    <xf numFmtId="187" fontId="13" fillId="15" borderId="10" xfId="0" applyNumberFormat="1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29" fillId="14" borderId="7" xfId="0" applyFont="1" applyFill="1" applyBorder="1" applyAlignment="1">
      <alignment wrapText="1"/>
    </xf>
    <xf numFmtId="9" fontId="22" fillId="10" borderId="0" xfId="17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0" applyFill="1"/>
    <xf numFmtId="2" fontId="0" fillId="17" borderId="2" xfId="0" applyNumberFormat="1" applyFill="1" applyBorder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87" fontId="13" fillId="15" borderId="17" xfId="0" applyNumberFormat="1" applyFont="1" applyFill="1" applyBorder="1" applyAlignment="1">
      <alignment horizontal="center" vertical="center"/>
    </xf>
    <xf numFmtId="187" fontId="13" fillId="15" borderId="8" xfId="0" applyNumberFormat="1" applyFont="1" applyFill="1" applyBorder="1" applyAlignment="1">
      <alignment horizontal="center" vertical="center"/>
    </xf>
    <xf numFmtId="187" fontId="13" fillId="15" borderId="11" xfId="0" applyNumberFormat="1" applyFont="1" applyFill="1" applyBorder="1" applyAlignment="1">
      <alignment horizontal="center" vertical="center"/>
    </xf>
    <xf numFmtId="187" fontId="13" fillId="15" borderId="18" xfId="0" applyNumberFormat="1" applyFont="1" applyFill="1" applyBorder="1" applyAlignment="1">
      <alignment horizontal="center" vertical="center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16" xfId="0" applyNumberFormat="1" applyFont="1" applyFill="1" applyBorder="1" applyAlignment="1">
      <alignment horizontal="center" vertical="center"/>
    </xf>
    <xf numFmtId="187" fontId="13" fillId="15" borderId="13" xfId="0" applyNumberFormat="1" applyFont="1" applyFill="1" applyBorder="1" applyAlignment="1">
      <alignment horizontal="center" vertical="center"/>
    </xf>
    <xf numFmtId="9" fontId="22" fillId="10" borderId="12" xfId="17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7" applyFont="1" applyFill="1"/>
    <xf numFmtId="9" fontId="13" fillId="15" borderId="2" xfId="17" applyFont="1" applyFill="1" applyBorder="1" applyAlignment="1">
      <alignment horizontal="left" vertical="center"/>
    </xf>
    <xf numFmtId="9" fontId="13" fillId="15" borderId="5" xfId="17" applyFont="1" applyFill="1" applyBorder="1" applyAlignment="1">
      <alignment horizontal="left" vertical="center"/>
    </xf>
    <xf numFmtId="9" fontId="22" fillId="10" borderId="6" xfId="17" applyFont="1" applyFill="1" applyBorder="1" applyAlignment="1"/>
    <xf numFmtId="9" fontId="13" fillId="15" borderId="18" xfId="17" applyFont="1" applyFill="1" applyBorder="1" applyAlignment="1">
      <alignment horizontal="left" vertical="center"/>
    </xf>
    <xf numFmtId="9" fontId="13" fillId="15" borderId="0" xfId="17" applyFont="1" applyFill="1" applyBorder="1" applyAlignment="1">
      <alignment horizontal="left" vertical="center"/>
    </xf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13" fillId="15" borderId="14" xfId="17" applyFont="1" applyFill="1" applyBorder="1" applyAlignment="1">
      <alignment horizontal="left" vertical="center"/>
    </xf>
    <xf numFmtId="9" fontId="13" fillId="15" borderId="6" xfId="17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0" applyFill="1" applyBorder="1"/>
    <xf numFmtId="0" fontId="0" fillId="16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8" fillId="13" borderId="5" xfId="2" applyNumberFormat="1" applyFont="1" applyFill="1" applyBorder="1" applyAlignment="1">
      <alignment horizontal="right" wrapText="1"/>
    </xf>
    <xf numFmtId="9" fontId="22" fillId="10" borderId="13" xfId="17" applyFont="1" applyFill="1" applyBorder="1" applyAlignment="1"/>
    <xf numFmtId="2" fontId="0" fillId="17" borderId="0" xfId="0" applyNumberFormat="1" applyFill="1" applyBorder="1"/>
    <xf numFmtId="0" fontId="4" fillId="0" borderId="0" xfId="10" applyFont="1" applyFill="1" applyBorder="1"/>
    <xf numFmtId="9" fontId="0" fillId="0" borderId="0" xfId="0" applyNumberFormat="1"/>
    <xf numFmtId="1" fontId="3" fillId="2" borderId="3" xfId="12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17" applyFont="1" applyFill="1"/>
    <xf numFmtId="1" fontId="4" fillId="0" borderId="2" xfId="0" applyNumberFormat="1" applyFont="1" applyFill="1" applyBorder="1"/>
    <xf numFmtId="2" fontId="4" fillId="16" borderId="2" xfId="9" applyNumberFormat="1" applyFont="1" applyFill="1" applyBorder="1"/>
    <xf numFmtId="0" fontId="4" fillId="16" borderId="2" xfId="9" applyFont="1" applyFill="1" applyBorder="1"/>
    <xf numFmtId="9" fontId="17" fillId="17" borderId="0" xfId="17" applyFont="1" applyFill="1"/>
    <xf numFmtId="2" fontId="4" fillId="16" borderId="5" xfId="10" applyNumberFormat="1" applyFill="1" applyBorder="1"/>
    <xf numFmtId="2" fontId="4" fillId="16" borderId="0" xfId="10" applyNumberFormat="1" applyFill="1"/>
    <xf numFmtId="9" fontId="17" fillId="16" borderId="0" xfId="17" applyFon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0" fontId="21" fillId="9" borderId="0" xfId="7"/>
    <xf numFmtId="9" fontId="21" fillId="9" borderId="0" xfId="7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5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4" xfId="21"/>
    <cellStyle name="Percent 4 2" xfId="22"/>
    <cellStyle name="Percent 5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0977" name="Picture 6">
          <a:extLst>
            <a:ext uri="{FF2B5EF4-FFF2-40B4-BE49-F238E27FC236}">
              <a16:creationId xmlns:a16="http://schemas.microsoft.com/office/drawing/2014/main" id="{4D6CB3FB-054D-4768-A563-680F8F57D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0978" name="Picture 8">
          <a:extLst>
            <a:ext uri="{FF2B5EF4-FFF2-40B4-BE49-F238E27FC236}">
              <a16:creationId xmlns:a16="http://schemas.microsoft.com/office/drawing/2014/main" id="{D50D1E64-32D2-4CB1-ABAB-B9FFE9E18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0979" name="Picture 3">
          <a:extLst>
            <a:ext uri="{FF2B5EF4-FFF2-40B4-BE49-F238E27FC236}">
              <a16:creationId xmlns:a16="http://schemas.microsoft.com/office/drawing/2014/main" id="{2296D709-63F5-4D4F-8533-EF54F972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0980" name="Picture 4">
          <a:extLst>
            <a:ext uri="{FF2B5EF4-FFF2-40B4-BE49-F238E27FC236}">
              <a16:creationId xmlns:a16="http://schemas.microsoft.com/office/drawing/2014/main" id="{024654D3-674D-46CE-B1D0-41F4429C9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0981" name="Picture 5">
          <a:extLst>
            <a:ext uri="{FF2B5EF4-FFF2-40B4-BE49-F238E27FC236}">
              <a16:creationId xmlns:a16="http://schemas.microsoft.com/office/drawing/2014/main" id="{5D628482-D47D-46D4-BEE6-ED49EE3A3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0982" name="Picture 6">
          <a:extLst>
            <a:ext uri="{FF2B5EF4-FFF2-40B4-BE49-F238E27FC236}">
              <a16:creationId xmlns:a16="http://schemas.microsoft.com/office/drawing/2014/main" id="{37FD4BC7-22CF-42CB-ABC3-20B91B5FF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0983" name="Picture 7">
          <a:extLst>
            <a:ext uri="{FF2B5EF4-FFF2-40B4-BE49-F238E27FC236}">
              <a16:creationId xmlns:a16="http://schemas.microsoft.com/office/drawing/2014/main" id="{D90EEB90-2584-4500-A7D9-28059EF31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0984" name="Picture 8">
          <a:extLst>
            <a:ext uri="{FF2B5EF4-FFF2-40B4-BE49-F238E27FC236}">
              <a16:creationId xmlns:a16="http://schemas.microsoft.com/office/drawing/2014/main" id="{1687847E-28C7-450D-AC72-D989BAA7D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0985" name="Picture 9">
          <a:extLst>
            <a:ext uri="{FF2B5EF4-FFF2-40B4-BE49-F238E27FC236}">
              <a16:creationId xmlns:a16="http://schemas.microsoft.com/office/drawing/2014/main" id="{5C363BD4-75F0-4276-800B-9E2DF9E45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0986" name="Picture 10">
          <a:extLst>
            <a:ext uri="{FF2B5EF4-FFF2-40B4-BE49-F238E27FC236}">
              <a16:creationId xmlns:a16="http://schemas.microsoft.com/office/drawing/2014/main" id="{57471931-DB8F-4FF8-A256-C27EB39E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529ED8-F1C9-4435-8D40-7648C93B8E8E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60F4C8-01AB-4596-B2BD-D2FD9A2F4C78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C39B39-CE54-467F-BCF6-7848871D598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5B5A9C-7A65-40A0-994D-6DE0DE8B9902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208E28-44E5-48A6-9258-2E76A3EA61B1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2B3604-EA97-4D67-9567-6DA5EF71C291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3C7DB5-6AAB-48E8-A4C4-C19F8A449A5A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BF3660-2428-45C3-ABD4-C95E5F9F636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134</v>
      </c>
      <c r="H2" s="53" t="s">
        <v>135</v>
      </c>
      <c r="I2" s="53" t="s">
        <v>136</v>
      </c>
      <c r="J2" s="53" t="s">
        <v>137</v>
      </c>
      <c r="K2" s="53" t="s">
        <v>138</v>
      </c>
      <c r="L2" s="53" t="s">
        <v>139</v>
      </c>
      <c r="M2" s="53" t="s">
        <v>140</v>
      </c>
      <c r="N2" s="53" t="s">
        <v>47</v>
      </c>
      <c r="O2" s="53" t="s">
        <v>168</v>
      </c>
      <c r="P2" s="53" t="s">
        <v>169</v>
      </c>
      <c r="Q2" s="53" t="s">
        <v>170</v>
      </c>
      <c r="R2" s="53" t="s">
        <v>171</v>
      </c>
      <c r="S2" s="53" t="s">
        <v>48</v>
      </c>
      <c r="T2" s="53" t="s">
        <v>49</v>
      </c>
      <c r="U2" s="53" t="s">
        <v>50</v>
      </c>
      <c r="V2" s="53" t="s">
        <v>160</v>
      </c>
      <c r="X2" s="7"/>
      <c r="Y2" s="52" t="s">
        <v>153</v>
      </c>
      <c r="Z2" s="13" t="s">
        <v>76</v>
      </c>
      <c r="AA2" s="13" t="s">
        <v>107</v>
      </c>
    </row>
    <row r="3" spans="1:27" ht="25.5" x14ac:dyDescent="0.2">
      <c r="C3" s="78" t="s">
        <v>131</v>
      </c>
      <c r="D3" s="54" t="s">
        <v>51</v>
      </c>
      <c r="E3" s="54" t="s">
        <v>52</v>
      </c>
      <c r="F3" s="54" t="s">
        <v>176</v>
      </c>
      <c r="G3" s="54" t="s">
        <v>147</v>
      </c>
      <c r="H3" s="54" t="s">
        <v>143</v>
      </c>
      <c r="I3" s="54" t="s">
        <v>136</v>
      </c>
      <c r="J3" s="54" t="s">
        <v>144</v>
      </c>
      <c r="K3" s="54" t="s">
        <v>145</v>
      </c>
      <c r="L3" s="54" t="s">
        <v>141</v>
      </c>
      <c r="M3" s="54" t="s">
        <v>142</v>
      </c>
      <c r="N3" s="54" t="s">
        <v>53</v>
      </c>
      <c r="O3" s="54" t="s">
        <v>172</v>
      </c>
      <c r="P3" s="54" t="s">
        <v>173</v>
      </c>
      <c r="Q3" s="54" t="s">
        <v>174</v>
      </c>
      <c r="R3" s="54" t="s">
        <v>175</v>
      </c>
      <c r="S3" s="54" t="s">
        <v>54</v>
      </c>
      <c r="T3" s="54" t="s">
        <v>55</v>
      </c>
      <c r="U3" s="54" t="s">
        <v>87</v>
      </c>
      <c r="V3" s="54" t="s">
        <v>56</v>
      </c>
    </row>
    <row r="4" spans="1:27" x14ac:dyDescent="0.2">
      <c r="B4" s="51"/>
      <c r="C4" s="100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</row>
    <row r="5" spans="1:27" ht="15" x14ac:dyDescent="0.25">
      <c r="A5" s="5"/>
      <c r="B5" s="55" t="s">
        <v>58</v>
      </c>
      <c r="C5" s="64" t="s">
        <v>59</v>
      </c>
      <c r="D5" s="60">
        <f>[2]EB1!D16</f>
        <v>231.76075</v>
      </c>
      <c r="E5" s="60">
        <f>[2]EB1!E16</f>
        <v>2063.9171999999999</v>
      </c>
      <c r="F5" s="102">
        <f>[2]EB1!F16</f>
        <v>0</v>
      </c>
      <c r="G5" s="60">
        <f>[2]EB1!G16</f>
        <v>862.053</v>
      </c>
      <c r="H5" s="60">
        <f>[2]EB1!H16</f>
        <v>72.9495</v>
      </c>
      <c r="I5" s="60">
        <f>[2]EB1!I16</f>
        <v>190.17599999999999</v>
      </c>
      <c r="J5" s="60">
        <f>[2]EB1!J16</f>
        <v>3.1680000000000001</v>
      </c>
      <c r="K5" s="102">
        <f>[2]EB1!K16</f>
        <v>0</v>
      </c>
      <c r="L5" s="60">
        <f>[2]EB1!L16</f>
        <v>15.38</v>
      </c>
      <c r="M5" s="60">
        <f>[2]EB1!M16</f>
        <v>0.92</v>
      </c>
      <c r="N5" s="102">
        <f>[2]EB1!N16</f>
        <v>0</v>
      </c>
      <c r="O5" s="60">
        <f>[2]EB1!O16</f>
        <v>895.44524999999999</v>
      </c>
      <c r="P5" s="102">
        <f>[2]EB1!P16</f>
        <v>0</v>
      </c>
      <c r="Q5" s="102">
        <f>[2]EB1!Q16</f>
        <v>0</v>
      </c>
      <c r="R5" s="60">
        <f>[2]EB1!R16</f>
        <v>50</v>
      </c>
      <c r="S5" s="102">
        <f>[2]EB1!S16</f>
        <v>0</v>
      </c>
      <c r="T5" s="102">
        <f>[2]EB1!T16</f>
        <v>432.74250000000001</v>
      </c>
      <c r="U5" s="60">
        <f>[2]EB1!U16</f>
        <v>1435.8710000000001</v>
      </c>
      <c r="V5" s="103">
        <f t="shared" ref="V5:V12" si="0">SUM(D5:U5)</f>
        <v>6254.3832000000002</v>
      </c>
    </row>
    <row r="6" spans="1:27" ht="15" x14ac:dyDescent="0.25">
      <c r="A6" s="5"/>
      <c r="B6" s="55" t="s">
        <v>60</v>
      </c>
      <c r="C6" s="65" t="s">
        <v>61</v>
      </c>
      <c r="D6" s="60">
        <f>[2]EB1!D17</f>
        <v>37.001249999999999</v>
      </c>
      <c r="E6" s="60">
        <f>[2]EB1!E17</f>
        <v>700.69200000000001</v>
      </c>
      <c r="F6" s="102">
        <f>[2]EB1!F17</f>
        <v>0</v>
      </c>
      <c r="G6" s="60">
        <f>[2]EB1!G17</f>
        <v>368.84399999999999</v>
      </c>
      <c r="H6" s="60">
        <f>[2]EB1!H17</f>
        <v>1.677</v>
      </c>
      <c r="I6" s="60">
        <f>[2]EB1!I17</f>
        <v>31.602</v>
      </c>
      <c r="J6" s="60">
        <f>[2]EB1!J17</f>
        <v>5.72</v>
      </c>
      <c r="K6" s="102">
        <f>[2]EB1!K17</f>
        <v>0</v>
      </c>
      <c r="L6" s="60">
        <f>[2]EB1!L17</f>
        <v>19.32</v>
      </c>
      <c r="M6" s="60">
        <f>[2]EB1!M17</f>
        <v>0.24199999999999999</v>
      </c>
      <c r="N6" s="102">
        <f>[2]EB1!N17</f>
        <v>0</v>
      </c>
      <c r="O6" s="60">
        <f>[2]EB1!O17</f>
        <v>39</v>
      </c>
      <c r="P6" s="102">
        <f>[2]EB1!P17</f>
        <v>0</v>
      </c>
      <c r="Q6" s="102">
        <f>[2]EB1!Q17</f>
        <v>0</v>
      </c>
      <c r="R6" s="60">
        <f>[2]EB1!R17</f>
        <v>7.5</v>
      </c>
      <c r="S6" s="102">
        <f>[2]EB1!S17</f>
        <v>0.60850000000000004</v>
      </c>
      <c r="T6" s="102">
        <f>[2]EB1!T17</f>
        <v>127.32299999999999</v>
      </c>
      <c r="U6" s="60">
        <f>[2]EB1!U17</f>
        <v>1263.6955</v>
      </c>
      <c r="V6" s="103">
        <f t="shared" si="0"/>
        <v>2603.2252500000004</v>
      </c>
    </row>
    <row r="7" spans="1:27" x14ac:dyDescent="0.2">
      <c r="A7" s="5"/>
      <c r="B7" s="55" t="s">
        <v>62</v>
      </c>
      <c r="C7" s="65" t="s">
        <v>63</v>
      </c>
      <c r="D7" s="102">
        <f>[2]EB1!D18</f>
        <v>1233.0409000000002</v>
      </c>
      <c r="E7" s="102">
        <f>[2]EB1!E18</f>
        <v>1774.8644000000002</v>
      </c>
      <c r="F7" s="102">
        <f>[2]EB1!F18</f>
        <v>0</v>
      </c>
      <c r="G7" s="102">
        <f>[2]EB1!G18</f>
        <v>298.68</v>
      </c>
      <c r="H7" s="102">
        <f>[2]EB1!H18</f>
        <v>36.356499999999997</v>
      </c>
      <c r="I7" s="102">
        <f>[2]EB1!I18</f>
        <v>142.97149999999999</v>
      </c>
      <c r="J7" s="102">
        <f>[2]EB1!J18</f>
        <v>7.766</v>
      </c>
      <c r="K7" s="102">
        <f>[2]EB1!K18</f>
        <v>44.066000000000003</v>
      </c>
      <c r="L7" s="102">
        <f>[2]EB1!L18</f>
        <v>286.0505</v>
      </c>
      <c r="M7" s="102">
        <f>[2]EB1!M18</f>
        <v>191.57300000000001</v>
      </c>
      <c r="N7" s="102">
        <f>[2]EB1!N18</f>
        <v>0</v>
      </c>
      <c r="O7" s="102">
        <f>[2]EB1!O18</f>
        <v>541.25324999999998</v>
      </c>
      <c r="P7" s="102">
        <f>[2]EB1!P18</f>
        <v>0</v>
      </c>
      <c r="Q7" s="102">
        <f>[2]EB1!Q18</f>
        <v>0</v>
      </c>
      <c r="R7" s="102">
        <f>[2]EB1!R18</f>
        <v>0</v>
      </c>
      <c r="S7" s="102">
        <f>[2]EB1!S18</f>
        <v>58.595999999999997</v>
      </c>
      <c r="T7" s="102">
        <f>[2]EB1!T18</f>
        <v>316.79149999999998</v>
      </c>
      <c r="U7" s="102">
        <f>[2]EB1!U18</f>
        <v>2044.222</v>
      </c>
      <c r="V7" s="103">
        <f t="shared" si="0"/>
        <v>6976.2315499999995</v>
      </c>
    </row>
    <row r="8" spans="1:27" ht="15" x14ac:dyDescent="0.25">
      <c r="A8" s="5"/>
      <c r="B8" s="55" t="s">
        <v>64</v>
      </c>
      <c r="C8" s="65" t="s">
        <v>65</v>
      </c>
      <c r="D8" s="102">
        <f>[2]EB1!D19</f>
        <v>28.665000000000003</v>
      </c>
      <c r="E8" s="102">
        <f>[2]EB1!E19</f>
        <v>80.482399999999998</v>
      </c>
      <c r="F8" s="102">
        <f>[2]EB1!F19</f>
        <v>0</v>
      </c>
      <c r="G8" s="102">
        <f>[2]EB1!G19</f>
        <v>366.58800000000002</v>
      </c>
      <c r="H8" s="102">
        <f>[2]EB1!H19</f>
        <v>0.47299999999999998</v>
      </c>
      <c r="I8" s="102">
        <f>[2]EB1!I19</f>
        <v>16.169</v>
      </c>
      <c r="J8" s="102">
        <f>[2]EB1!J19</f>
        <v>1.716</v>
      </c>
      <c r="K8" s="102">
        <f>[2]EB1!K19</f>
        <v>0</v>
      </c>
      <c r="L8" s="102">
        <f>[2]EB1!L19</f>
        <v>13.74</v>
      </c>
      <c r="M8" s="102">
        <f>[2]EB1!M19</f>
        <v>0</v>
      </c>
      <c r="N8" s="102">
        <f>[2]EB1!N19</f>
        <v>0</v>
      </c>
      <c r="O8" s="102">
        <f>[2]EB1!O19</f>
        <v>47.314499999999995</v>
      </c>
      <c r="P8" s="102">
        <f>[2]EB1!P19</f>
        <v>0</v>
      </c>
      <c r="Q8" s="102">
        <f>[2]EB1!Q19</f>
        <v>0</v>
      </c>
      <c r="R8" s="102">
        <f>[2]EB1!R19</f>
        <v>0</v>
      </c>
      <c r="S8" s="102">
        <f>[2]EB1!S19</f>
        <v>5.0000000000000001E-4</v>
      </c>
      <c r="T8" s="102">
        <f>[2]EB1!T19</f>
        <v>7.7869999999999999</v>
      </c>
      <c r="U8" s="102">
        <f>[2]EB1!U19</f>
        <v>9.6930000000000014</v>
      </c>
      <c r="V8" s="60">
        <f t="shared" si="0"/>
        <v>572.62840000000006</v>
      </c>
    </row>
    <row r="9" spans="1:27" x14ac:dyDescent="0.2">
      <c r="A9" s="5"/>
      <c r="B9" s="55" t="s">
        <v>66</v>
      </c>
      <c r="C9" s="65" t="s">
        <v>67</v>
      </c>
      <c r="D9" s="102">
        <f>[2]EB1!D20</f>
        <v>0.36140000000000005</v>
      </c>
      <c r="E9" s="102">
        <f>[2]EB1!E20</f>
        <v>8.4995999999999992</v>
      </c>
      <c r="F9" s="102">
        <f>[2]EB1!F20</f>
        <v>0</v>
      </c>
      <c r="G9" s="102">
        <f>[2]EB1!G20</f>
        <v>3856.2855</v>
      </c>
      <c r="H9" s="102">
        <f>[2]EB1!H20</f>
        <v>1047.652</v>
      </c>
      <c r="I9" s="102">
        <f>[2]EB1!I20</f>
        <v>94.230999999999995</v>
      </c>
      <c r="J9" s="102">
        <f>[2]EB1!J20</f>
        <v>2394.2159999999999</v>
      </c>
      <c r="K9" s="102">
        <f>[2]EB1!K20</f>
        <v>0</v>
      </c>
      <c r="L9" s="102">
        <f>[2]EB1!L20</f>
        <v>33.24</v>
      </c>
      <c r="M9" s="102">
        <f>[2]EB1!M20</f>
        <v>0</v>
      </c>
      <c r="N9" s="102">
        <f>[2]EB1!N20</f>
        <v>0</v>
      </c>
      <c r="O9" s="102">
        <f>[2]EB1!O20</f>
        <v>120.75</v>
      </c>
      <c r="P9" s="102">
        <f>[2]EB1!P20</f>
        <v>0</v>
      </c>
      <c r="Q9" s="102">
        <f>[2]EB1!Q20</f>
        <v>0</v>
      </c>
      <c r="R9" s="102">
        <f>[2]EB1!R20</f>
        <v>0</v>
      </c>
      <c r="S9" s="102">
        <f>[2]EB1!S20</f>
        <v>0</v>
      </c>
      <c r="T9" s="102">
        <f>[2]EB1!T20</f>
        <v>0</v>
      </c>
      <c r="U9" s="102">
        <f>[2]EB1!U20</f>
        <v>132.98599999999999</v>
      </c>
      <c r="V9" s="103">
        <f t="shared" si="0"/>
        <v>7688.2214999999987</v>
      </c>
    </row>
    <row r="10" spans="1:27" x14ac:dyDescent="0.2">
      <c r="A10" s="5"/>
      <c r="B10" s="55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4">
        <f t="shared" si="0"/>
        <v>1411.5191499999987</v>
      </c>
    </row>
    <row r="11" spans="1:27" x14ac:dyDescent="0.2">
      <c r="A11" s="5"/>
      <c r="B11" s="55" t="s">
        <v>85</v>
      </c>
      <c r="C11" s="65" t="s">
        <v>70</v>
      </c>
      <c r="D11" s="102">
        <f>[2]EB1!D22</f>
        <v>34.094450000000002</v>
      </c>
      <c r="E11" s="102">
        <f>[2]EB1!E22</f>
        <v>253.5292</v>
      </c>
      <c r="F11" s="102">
        <f>[2]EB1!F22</f>
        <v>0</v>
      </c>
      <c r="G11" s="102">
        <f>[2]EB1!G22</f>
        <v>76.465000000000003</v>
      </c>
      <c r="H11" s="102">
        <f>[2]EB1!H22</f>
        <v>4.7945000000000002</v>
      </c>
      <c r="I11" s="102">
        <f>[2]EB1!I22</f>
        <v>199.87350000000001</v>
      </c>
      <c r="J11" s="102">
        <f>[2]EB1!J22</f>
        <v>3.1459999999999999</v>
      </c>
      <c r="K11" s="102">
        <f>[2]EB1!K22</f>
        <v>899.20600000000002</v>
      </c>
      <c r="L11" s="102">
        <f>[2]EB1!L22</f>
        <v>52.04</v>
      </c>
      <c r="M11" s="102">
        <f>[2]EB1!M22</f>
        <v>800.72900000000004</v>
      </c>
      <c r="N11" s="102">
        <f>[2]EB1!N22</f>
        <v>0</v>
      </c>
      <c r="O11" s="102">
        <f>[2]EB1!O22</f>
        <v>0</v>
      </c>
      <c r="P11" s="102">
        <f>[2]EB1!P22</f>
        <v>0</v>
      </c>
      <c r="Q11" s="102">
        <f>[2]EB1!Q22</f>
        <v>0</v>
      </c>
      <c r="R11" s="102">
        <f>[2]EB1!R22</f>
        <v>0</v>
      </c>
      <c r="S11" s="102">
        <f>[2]EB1!S22</f>
        <v>0</v>
      </c>
      <c r="T11" s="102">
        <f>[2]EB1!T22</f>
        <v>0</v>
      </c>
      <c r="U11" s="102">
        <f>[2]EB1!U22</f>
        <v>0</v>
      </c>
      <c r="V11" s="103">
        <f t="shared" si="0"/>
        <v>2323.8776500000004</v>
      </c>
    </row>
    <row r="12" spans="1:27" x14ac:dyDescent="0.2">
      <c r="A12" s="5"/>
      <c r="B12" s="55" t="s">
        <v>86</v>
      </c>
      <c r="C12" s="65" t="s">
        <v>71</v>
      </c>
      <c r="D12" s="102">
        <f>[2]EB1!D23</f>
        <v>0</v>
      </c>
      <c r="E12" s="102">
        <f>[2]EB1!E23</f>
        <v>0</v>
      </c>
      <c r="F12" s="102">
        <f>[2]EB1!F23</f>
        <v>0</v>
      </c>
      <c r="G12" s="102">
        <f>[2]EB1!G23</f>
        <v>146.90600000000001</v>
      </c>
      <c r="H12" s="102">
        <f>[2]EB1!H23</f>
        <v>0</v>
      </c>
      <c r="I12" s="102">
        <f>[2]EB1!I23</f>
        <v>0</v>
      </c>
      <c r="J12" s="102">
        <f>[2]EB1!J23</f>
        <v>0</v>
      </c>
      <c r="K12" s="102">
        <f>[2]EB1!K23</f>
        <v>0</v>
      </c>
      <c r="L12" s="102">
        <f>[2]EB1!L23</f>
        <v>902.14</v>
      </c>
      <c r="M12" s="102">
        <f>[2]EB1!M23</f>
        <v>6.5</v>
      </c>
      <c r="N12" s="102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102">
        <f>[2]EB1!R23</f>
        <v>0</v>
      </c>
      <c r="S12" s="102">
        <f>[2]EB1!S23</f>
        <v>0</v>
      </c>
      <c r="T12" s="102">
        <f>[2]EB1!T23</f>
        <v>0</v>
      </c>
      <c r="U12" s="102">
        <f>[2]EB1!U23</f>
        <v>0</v>
      </c>
      <c r="V12" s="103">
        <f t="shared" si="0"/>
        <v>1055.546</v>
      </c>
    </row>
    <row r="13" spans="1:27" ht="15" x14ac:dyDescent="0.25">
      <c r="A13" s="5"/>
      <c r="B13" s="99" t="s">
        <v>88</v>
      </c>
      <c r="C13" s="63" t="s">
        <v>159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>
        <f t="shared" si="1"/>
        <v>0</v>
      </c>
      <c r="Q13" s="61">
        <f t="shared" si="1"/>
        <v>0</v>
      </c>
      <c r="R13" s="61">
        <f t="shared" si="1"/>
        <v>57.5</v>
      </c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0" t="s">
        <v>154</v>
      </c>
      <c r="D16" s="60"/>
      <c r="E16" s="60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71" t="s">
        <v>118</v>
      </c>
      <c r="D19" s="159" t="s">
        <v>51</v>
      </c>
      <c r="E19" s="160" t="s">
        <v>52</v>
      </c>
      <c r="F19" s="160" t="s">
        <v>133</v>
      </c>
      <c r="G19" s="160" t="s">
        <v>147</v>
      </c>
      <c r="H19" s="160" t="s">
        <v>143</v>
      </c>
      <c r="I19" s="160" t="s">
        <v>136</v>
      </c>
      <c r="J19" s="160" t="s">
        <v>144</v>
      </c>
      <c r="K19" s="160" t="s">
        <v>145</v>
      </c>
      <c r="L19" s="160" t="s">
        <v>141</v>
      </c>
      <c r="M19" s="160" t="s">
        <v>142</v>
      </c>
      <c r="N19" s="160" t="s">
        <v>53</v>
      </c>
      <c r="O19" s="160" t="s">
        <v>172</v>
      </c>
      <c r="P19" s="160" t="s">
        <v>173</v>
      </c>
      <c r="Q19" s="160" t="s">
        <v>174</v>
      </c>
      <c r="R19" s="160" t="s">
        <v>175</v>
      </c>
      <c r="S19" s="160" t="s">
        <v>54</v>
      </c>
      <c r="T19" s="160" t="s">
        <v>55</v>
      </c>
      <c r="U19" s="161" t="s">
        <v>87</v>
      </c>
      <c r="V19" s="54" t="s">
        <v>56</v>
      </c>
    </row>
    <row r="20" spans="1:24" ht="15" x14ac:dyDescent="0.25">
      <c r="A20" s="5"/>
      <c r="B20" s="106" t="s">
        <v>64</v>
      </c>
      <c r="C20" s="67" t="s">
        <v>103</v>
      </c>
      <c r="D20" s="127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8"/>
      <c r="V20" s="122">
        <v>1</v>
      </c>
      <c r="W20" s="107"/>
      <c r="X20" s="68" t="s">
        <v>35</v>
      </c>
    </row>
    <row r="21" spans="1:24" ht="15" x14ac:dyDescent="0.25">
      <c r="A21" s="5"/>
      <c r="B21" s="106" t="s">
        <v>58</v>
      </c>
      <c r="C21" s="67" t="s">
        <v>101</v>
      </c>
      <c r="D21" s="123"/>
      <c r="E21" s="77">
        <v>0.75</v>
      </c>
      <c r="F21" s="124"/>
      <c r="G21" s="77">
        <v>0.75</v>
      </c>
      <c r="H21" s="77">
        <v>0.75</v>
      </c>
      <c r="I21" s="77">
        <v>0.75</v>
      </c>
      <c r="J21" s="77">
        <v>0.75</v>
      </c>
      <c r="K21" s="124"/>
      <c r="L21" s="77">
        <v>0.75</v>
      </c>
      <c r="M21" s="77">
        <v>0.75</v>
      </c>
      <c r="N21" s="124"/>
      <c r="O21" s="77">
        <v>0.9</v>
      </c>
      <c r="P21" s="124"/>
      <c r="Q21" s="124"/>
      <c r="R21" s="77">
        <v>1</v>
      </c>
      <c r="S21" s="124"/>
      <c r="T21" s="124"/>
      <c r="U21" s="117">
        <v>0.1</v>
      </c>
      <c r="V21" s="67"/>
      <c r="W21" s="107"/>
      <c r="X21" s="68" t="s">
        <v>104</v>
      </c>
    </row>
    <row r="22" spans="1:24" ht="15" x14ac:dyDescent="0.25">
      <c r="A22" s="5"/>
      <c r="B22" s="106" t="s">
        <v>58</v>
      </c>
      <c r="C22" s="56" t="s">
        <v>102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17">
        <v>0.9</v>
      </c>
      <c r="V22" s="56"/>
      <c r="W22" s="107"/>
      <c r="X22" s="69" t="s">
        <v>105</v>
      </c>
    </row>
    <row r="23" spans="1:24" ht="15" x14ac:dyDescent="0.25">
      <c r="A23" s="5"/>
      <c r="B23" s="106" t="s">
        <v>58</v>
      </c>
      <c r="C23" s="58" t="s">
        <v>103</v>
      </c>
      <c r="D23" s="125">
        <f>1-D21-D22</f>
        <v>1</v>
      </c>
      <c r="E23" s="126">
        <f>1-E21-E22</f>
        <v>0.25</v>
      </c>
      <c r="F23" s="120"/>
      <c r="G23" s="126">
        <f>1-G21-G22</f>
        <v>0.25</v>
      </c>
      <c r="H23" s="126">
        <f>1-H21-H22</f>
        <v>0.25</v>
      </c>
      <c r="I23" s="126">
        <f>1-I21-I22</f>
        <v>0.25</v>
      </c>
      <c r="J23" s="126">
        <f>1-J21-J22</f>
        <v>0.25</v>
      </c>
      <c r="K23" s="120"/>
      <c r="L23" s="126">
        <f>1-L21-L22</f>
        <v>0.25</v>
      </c>
      <c r="M23" s="126">
        <f>1-M21-M22</f>
        <v>0.25</v>
      </c>
      <c r="N23" s="120"/>
      <c r="O23" s="126">
        <f>1-O21-O22</f>
        <v>9.9999999999999978E-2</v>
      </c>
      <c r="P23" s="120"/>
      <c r="Q23" s="120"/>
      <c r="R23" s="126">
        <v>0</v>
      </c>
      <c r="S23" s="120"/>
      <c r="T23" s="120"/>
      <c r="U23" s="139">
        <f>1-U21-U22</f>
        <v>0</v>
      </c>
      <c r="V23" s="58"/>
      <c r="W23" s="107"/>
      <c r="X23" s="70" t="s">
        <v>69</v>
      </c>
    </row>
    <row r="24" spans="1:24" ht="15" x14ac:dyDescent="0.25">
      <c r="A24" s="5"/>
      <c r="B24" s="106" t="s">
        <v>60</v>
      </c>
      <c r="C24" s="67" t="s">
        <v>101</v>
      </c>
      <c r="D24" s="123"/>
      <c r="E24" s="77">
        <v>0.7</v>
      </c>
      <c r="F24" s="124"/>
      <c r="G24" s="77">
        <v>0.7</v>
      </c>
      <c r="H24" s="77">
        <v>0.7</v>
      </c>
      <c r="I24" s="77">
        <v>0.7</v>
      </c>
      <c r="J24" s="77">
        <v>0.7</v>
      </c>
      <c r="K24" s="124"/>
      <c r="L24" s="77">
        <v>0.7</v>
      </c>
      <c r="M24" s="77">
        <v>0.7</v>
      </c>
      <c r="N24" s="124"/>
      <c r="O24" s="77">
        <v>0.9</v>
      </c>
      <c r="P24" s="124"/>
      <c r="Q24" s="124"/>
      <c r="R24" s="77">
        <v>1</v>
      </c>
      <c r="S24" s="124"/>
      <c r="T24" s="124"/>
      <c r="U24" s="117">
        <v>0.05</v>
      </c>
      <c r="V24" s="67"/>
      <c r="W24" s="107"/>
      <c r="X24" s="68" t="s">
        <v>104</v>
      </c>
    </row>
    <row r="25" spans="1:24" ht="15" x14ac:dyDescent="0.25">
      <c r="A25" s="5"/>
      <c r="B25" s="106" t="s">
        <v>60</v>
      </c>
      <c r="C25" s="56" t="s">
        <v>102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17">
        <v>0.9</v>
      </c>
      <c r="V25" s="56"/>
      <c r="W25" s="107"/>
      <c r="X25" s="69" t="s">
        <v>105</v>
      </c>
    </row>
    <row r="26" spans="1:24" ht="15" x14ac:dyDescent="0.25">
      <c r="A26" s="5"/>
      <c r="B26" s="106" t="s">
        <v>60</v>
      </c>
      <c r="C26" s="58" t="s">
        <v>103</v>
      </c>
      <c r="D26" s="125">
        <f>1-D24-D25</f>
        <v>1</v>
      </c>
      <c r="E26" s="126">
        <f>1-E24-E25</f>
        <v>0.30000000000000004</v>
      </c>
      <c r="F26" s="120"/>
      <c r="G26" s="126">
        <f>1-G24-G25</f>
        <v>0.30000000000000004</v>
      </c>
      <c r="H26" s="126">
        <f>1-H24-H25</f>
        <v>0.30000000000000004</v>
      </c>
      <c r="I26" s="126">
        <f>1-I24-I25</f>
        <v>0.30000000000000004</v>
      </c>
      <c r="J26" s="126">
        <f>1-J24-J25</f>
        <v>0.30000000000000004</v>
      </c>
      <c r="K26" s="120"/>
      <c r="L26" s="126">
        <f>1-L24-L25</f>
        <v>0.30000000000000004</v>
      </c>
      <c r="M26" s="126">
        <f>1-M24-M25</f>
        <v>0.30000000000000004</v>
      </c>
      <c r="N26" s="120"/>
      <c r="O26" s="126">
        <v>0.1</v>
      </c>
      <c r="P26" s="120"/>
      <c r="Q26" s="120"/>
      <c r="R26" s="126">
        <f>1-R24-R25</f>
        <v>0</v>
      </c>
      <c r="S26" s="120"/>
      <c r="T26" s="120"/>
      <c r="U26" s="139">
        <f>1-U24-U25</f>
        <v>4.9999999999999933E-2</v>
      </c>
      <c r="V26" s="58"/>
      <c r="W26" s="107"/>
      <c r="X26" s="70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4" t="s">
        <v>109</v>
      </c>
      <c r="D29" s="76" t="s">
        <v>110</v>
      </c>
      <c r="E29" s="75" t="s">
        <v>111</v>
      </c>
      <c r="V29" s="7"/>
    </row>
    <row r="30" spans="1:24" x14ac:dyDescent="0.2">
      <c r="A30" s="5"/>
      <c r="B30" s="27" t="s">
        <v>119</v>
      </c>
      <c r="C30" s="108" t="s">
        <v>112</v>
      </c>
      <c r="D30" s="108" t="s">
        <v>113</v>
      </c>
      <c r="E30" s="109" t="s">
        <v>111</v>
      </c>
      <c r="V30" s="7"/>
    </row>
    <row r="31" spans="1:24" x14ac:dyDescent="0.2">
      <c r="A31" s="5"/>
      <c r="B31" s="55" t="s">
        <v>64</v>
      </c>
      <c r="C31" s="110">
        <v>1</v>
      </c>
      <c r="D31" s="111"/>
      <c r="E31" s="112"/>
      <c r="V31" s="7"/>
    </row>
    <row r="32" spans="1:24" x14ac:dyDescent="0.2">
      <c r="A32" s="5"/>
      <c r="B32" s="55" t="s">
        <v>58</v>
      </c>
      <c r="C32" s="113">
        <v>1</v>
      </c>
      <c r="D32" s="72"/>
      <c r="E32" s="114"/>
    </row>
    <row r="33" spans="1:5" x14ac:dyDescent="0.2">
      <c r="A33" s="5"/>
      <c r="B33" s="55" t="s">
        <v>60</v>
      </c>
      <c r="C33" s="115">
        <v>1</v>
      </c>
      <c r="D33" s="73"/>
      <c r="E33" s="11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7" t="s">
        <v>162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5" s="5" customFormat="1" ht="17.45" customHeight="1" x14ac:dyDescent="0.25">
      <c r="B4" s="48"/>
      <c r="C4" s="48"/>
      <c r="D4" s="48"/>
      <c r="E4" s="48"/>
      <c r="F4" s="48"/>
      <c r="G4" s="48"/>
    </row>
    <row r="5" spans="2:15" x14ac:dyDescent="0.2">
      <c r="B5" s="46" t="s">
        <v>148</v>
      </c>
      <c r="G5" s="46" t="s">
        <v>148</v>
      </c>
      <c r="L5" s="46" t="s">
        <v>148</v>
      </c>
    </row>
    <row r="6" spans="2:15" ht="13.5" thickBot="1" x14ac:dyDescent="0.25">
      <c r="B6" s="49" t="s">
        <v>0</v>
      </c>
      <c r="C6" s="143" t="str">
        <f>Sector_Fuels_AGR!$L$5</f>
        <v>AGRCOA</v>
      </c>
      <c r="D6" s="143" t="str">
        <f>Sector_Fuels_AGR!$L$6</f>
        <v>AGRGAS</v>
      </c>
      <c r="E6" s="143" t="str">
        <f>Sector_Fuels_AGR!$L$7</f>
        <v>AGROIL</v>
      </c>
      <c r="F6" s="1"/>
      <c r="G6" s="49" t="s">
        <v>0</v>
      </c>
      <c r="H6" s="143" t="str">
        <f>Sector_Fuels_COM!$L$5</f>
        <v>COMCOA</v>
      </c>
      <c r="I6" s="143" t="str">
        <f>Sector_Fuels_COM!$L$6</f>
        <v>COMGAS</v>
      </c>
      <c r="J6" s="143" t="str">
        <f>Sector_Fuels_COM!$L$7</f>
        <v>COMOIL</v>
      </c>
      <c r="L6" s="49" t="s">
        <v>0</v>
      </c>
      <c r="M6" s="143" t="str">
        <f>Sector_Fuels_RSD!$L$5</f>
        <v>RSDCOA</v>
      </c>
      <c r="N6" s="143" t="str">
        <f>Sector_Fuels_RSD!$L$6</f>
        <v>RSDGAS</v>
      </c>
      <c r="O6" s="143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DemTechs_AGR!$N6</f>
        <v>AGRCO2</v>
      </c>
      <c r="C8" s="84">
        <v>95</v>
      </c>
      <c r="D8" s="85">
        <v>56.1</v>
      </c>
      <c r="E8" s="84">
        <v>76.400000000000006</v>
      </c>
      <c r="F8" s="1"/>
      <c r="G8" t="str">
        <f>DemTechs_COM!$O$8</f>
        <v>COMCO2</v>
      </c>
      <c r="H8" s="84">
        <v>95</v>
      </c>
      <c r="I8" s="85">
        <v>56.1</v>
      </c>
      <c r="J8" s="84">
        <v>76.400000000000006</v>
      </c>
      <c r="L8" t="str">
        <f>DemTechs_RSD!$O$8</f>
        <v>RSDCO2</v>
      </c>
      <c r="M8" s="84">
        <v>95</v>
      </c>
      <c r="N8" s="85">
        <v>56.1</v>
      </c>
      <c r="O8" s="84">
        <v>76.400000000000006</v>
      </c>
    </row>
    <row r="23" spans="2:3" x14ac:dyDescent="0.2">
      <c r="B23" s="57"/>
      <c r="C23" s="1" t="s">
        <v>156</v>
      </c>
    </row>
    <row r="24" spans="2:3" x14ac:dyDescent="0.2">
      <c r="B24" s="80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9" t="s">
        <v>158</v>
      </c>
    </row>
    <row r="5" spans="2:10" x14ac:dyDescent="0.2">
      <c r="E5" s="90" t="s">
        <v>167</v>
      </c>
      <c r="F5" s="90"/>
      <c r="G5" s="90"/>
      <c r="H5" s="90"/>
      <c r="I5" s="90"/>
      <c r="J5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AGRCOA</v>
      </c>
      <c r="M5" s="168" t="str">
        <f>$C$2&amp;" "&amp;'EB1'!$D$3</f>
        <v>Agriculture Solid Fuels</v>
      </c>
      <c r="N5" s="167" t="str">
        <f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AGRGAS</v>
      </c>
      <c r="M6" s="168" t="str">
        <f>$C$2&amp;" "&amp;'EB1'!$E$3</f>
        <v>Agriculture Natural Gas</v>
      </c>
      <c r="N6" s="167" t="str">
        <f>$E$2</f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AGROIL</v>
      </c>
      <c r="M7" s="168" t="str">
        <f>$C$2&amp;" "&amp;RIGHT('EB1'!$F$3,3)</f>
        <v>Agriculture Oil</v>
      </c>
      <c r="N7" s="167" t="str">
        <f>$E$2</f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AGRBIO</v>
      </c>
      <c r="M8" s="168" t="str">
        <f>$C$2&amp;" "&amp;'EB1'!$O$3</f>
        <v>Agriculture Biomass</v>
      </c>
      <c r="N8" s="167" t="str">
        <f>$E$2</f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$B$2&amp;'EB1'!$U$2</f>
        <v>AGRELC</v>
      </c>
      <c r="M9" s="168" t="str">
        <f>$C$2&amp;" "&amp;'EB1'!$U$3</f>
        <v>Agriculture Electricity</v>
      </c>
      <c r="N9" s="167" t="str">
        <f>$E$2</f>
        <v>PJ</v>
      </c>
      <c r="O9" s="167"/>
      <c r="P9" s="167" t="s">
        <v>130</v>
      </c>
      <c r="Q9" s="167"/>
      <c r="R9" s="167" t="s">
        <v>50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2">
        <v>1</v>
      </c>
      <c r="H16" s="83">
        <v>30</v>
      </c>
      <c r="J16" s="171" t="s">
        <v>115</v>
      </c>
      <c r="K16" s="167"/>
      <c r="L16" s="167" t="str">
        <f>"FT"&amp;$G$2&amp;"-"&amp;L5</f>
        <v>FTE-AGRCOA</v>
      </c>
      <c r="M16" s="168" t="str">
        <f>$D$2&amp;" Technology"&amp;" "&amp;$G$1&amp;" "&amp;M5</f>
        <v>Sector Fuel Technology Existing Agriculture Solid Fuels</v>
      </c>
      <c r="N16" s="167" t="str">
        <f>$E$2</f>
        <v>PJ</v>
      </c>
      <c r="O16" s="167" t="str">
        <f>$E$2&amp;"a"</f>
        <v>PJa</v>
      </c>
      <c r="P16" s="167"/>
      <c r="Q16" s="167"/>
      <c r="R16" s="167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2">
        <v>1</v>
      </c>
      <c r="H17" s="83">
        <v>30</v>
      </c>
      <c r="J17" s="167"/>
      <c r="K17" s="167"/>
      <c r="L17" s="167" t="str">
        <f>"FT"&amp;$G$2&amp;"-"&amp;L6</f>
        <v>FTE-AGRGAS</v>
      </c>
      <c r="M17" s="168" t="str">
        <f>$D$2&amp;" Technology"&amp;" "&amp;$G$1&amp;" "&amp;M6</f>
        <v>Sector Fuel Technology Existing Agriculture Natural Gas</v>
      </c>
      <c r="N17" s="167" t="str">
        <f>$E$2</f>
        <v>PJ</v>
      </c>
      <c r="O17" s="167" t="str">
        <f>$E$2&amp;"a"</f>
        <v>PJa</v>
      </c>
      <c r="P17" s="167"/>
      <c r="Q17" s="167"/>
      <c r="R17" s="167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51">
        <f>'EB1'!$G$8/SUM('EB1'!$G$8:$J$8,'EB1'!$L$8:$M$8)</f>
        <v>0.91949052637915552</v>
      </c>
      <c r="G18" s="82">
        <v>1</v>
      </c>
      <c r="H18" s="83">
        <v>30</v>
      </c>
      <c r="J18" s="167"/>
      <c r="K18" s="167"/>
      <c r="L18" s="167" t="str">
        <f>"FT"&amp;$G$2&amp;"-"&amp;L7</f>
        <v>FTE-AGROIL</v>
      </c>
      <c r="M18" s="168" t="str">
        <f>$D$2&amp;" Technology"&amp;" "&amp;$G$1&amp;" "&amp;M7</f>
        <v>Sector Fuel Technology Existing Agriculture Oil</v>
      </c>
      <c r="N18" s="167" t="str">
        <f>$E$2</f>
        <v>PJ</v>
      </c>
      <c r="O18" s="167" t="str">
        <f>$E$2&amp;"a"</f>
        <v>PJa</v>
      </c>
      <c r="P18" s="167"/>
      <c r="Q18" s="167"/>
      <c r="R18" s="167"/>
    </row>
    <row r="19" spans="2:18" x14ac:dyDescent="0.2">
      <c r="C19" t="str">
        <f>'EB1'!$H$2</f>
        <v>KER</v>
      </c>
      <c r="E19" s="151">
        <f>'EB1'!$H$8/SUM('EB1'!$G$8:$J$8,'EB1'!$L$8:$M$8)</f>
        <v>1.1863973151803673E-3</v>
      </c>
      <c r="G19" s="88"/>
      <c r="H19" s="14"/>
      <c r="J19" s="167"/>
      <c r="K19" s="167"/>
      <c r="L19" s="167" t="str">
        <f>"FT"&amp;$G$2&amp;"-"&amp;L8</f>
        <v>FTE-AGRBIO</v>
      </c>
      <c r="M19" s="168" t="str">
        <f>$D$2&amp;" Technology"&amp;" "&amp;$G$1&amp;" "&amp;M8</f>
        <v>Sector Fuel Technology Existing Agriculture Biomass</v>
      </c>
      <c r="N19" s="167" t="str">
        <f>$E$2</f>
        <v>PJ</v>
      </c>
      <c r="O19" s="167" t="str">
        <f>$E$2&amp;"a"</f>
        <v>PJa</v>
      </c>
      <c r="P19" s="167"/>
      <c r="Q19" s="167"/>
      <c r="R19" s="167"/>
    </row>
    <row r="20" spans="2:18" x14ac:dyDescent="0.2">
      <c r="C20" t="str">
        <f>'EB1'!$I$2</f>
        <v>LPG</v>
      </c>
      <c r="E20" s="151">
        <f>'EB1'!$I$8/SUM('EB1'!$G$8:$J$8,'EB1'!$L$8:$M$8)</f>
        <v>4.0555725558459536E-2</v>
      </c>
      <c r="G20" s="88"/>
      <c r="H20" s="14"/>
      <c r="J20" s="167"/>
      <c r="K20" s="167"/>
      <c r="L20" s="167" t="str">
        <f>"FT"&amp;$G$2&amp;"-"&amp;L9</f>
        <v>FTE-AGRELC</v>
      </c>
      <c r="M20" s="168" t="str">
        <f>$D$2&amp;" Technology"&amp;" "&amp;$G$1&amp;" "&amp;M9</f>
        <v>Sector Fuel Technology Existing Agriculture Electricity</v>
      </c>
      <c r="N20" s="167" t="str">
        <f>$E$2</f>
        <v>PJ</v>
      </c>
      <c r="O20" s="167" t="str">
        <f>$E$2&amp;"a"</f>
        <v>PJa</v>
      </c>
      <c r="P20" s="167" t="s">
        <v>130</v>
      </c>
      <c r="Q20" s="167"/>
      <c r="R20" s="167"/>
    </row>
    <row r="21" spans="2:18" x14ac:dyDescent="0.2">
      <c r="C21" t="str">
        <f>'EB1'!$J$2</f>
        <v>GSL</v>
      </c>
      <c r="E21" s="151">
        <f>'EB1'!$J$8/SUM('EB1'!$G$8:$J$8,'EB1'!$L$8:$M$8)</f>
        <v>4.3041390969334259E-3</v>
      </c>
      <c r="G21" s="88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51">
        <f>'EB1'!$L$8/SUM('EB1'!$G$8:$J$8,'EB1'!$L$8:$M$8)</f>
        <v>3.4463211650271136E-2</v>
      </c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51">
        <f>'EB1'!$M$8/SUM('EB1'!$G$8:$J$8,'EB1'!$L$8:$M$8)</f>
        <v>0</v>
      </c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2">
        <v>1</v>
      </c>
      <c r="H25" s="83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8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8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8"/>
      <c r="H29" s="14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19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5"/>
      <c r="C35" s="5"/>
      <c r="D35" s="34"/>
      <c r="E35" s="15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40" spans="2:8" x14ac:dyDescent="0.2">
      <c r="B40" s="57"/>
      <c r="C40" s="1" t="s">
        <v>156</v>
      </c>
    </row>
    <row r="41" spans="2:8" x14ac:dyDescent="0.2">
      <c r="B41" s="80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5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146</v>
      </c>
      <c r="G2" s="13"/>
      <c r="H2" s="13" t="str">
        <f>'EB1'!Y2</f>
        <v>M€2005</v>
      </c>
      <c r="I2" s="12"/>
      <c r="J2" s="13" t="s">
        <v>99</v>
      </c>
      <c r="L2" s="162" t="s">
        <v>14</v>
      </c>
      <c r="M2" s="162"/>
      <c r="N2" s="163"/>
      <c r="O2" s="163"/>
      <c r="P2" s="163"/>
      <c r="Q2" s="163"/>
      <c r="R2" s="163"/>
      <c r="S2" s="163"/>
      <c r="T2" s="163"/>
    </row>
    <row r="3" spans="2:20" x14ac:dyDescent="0.2">
      <c r="L3" s="164" t="s">
        <v>7</v>
      </c>
      <c r="M3" s="165" t="s">
        <v>30</v>
      </c>
      <c r="N3" s="164" t="s">
        <v>0</v>
      </c>
      <c r="O3" s="164" t="s">
        <v>3</v>
      </c>
      <c r="P3" s="164" t="s">
        <v>4</v>
      </c>
      <c r="Q3" s="164" t="s">
        <v>8</v>
      </c>
      <c r="R3" s="164" t="s">
        <v>9</v>
      </c>
      <c r="S3" s="164" t="s">
        <v>10</v>
      </c>
      <c r="T3" s="164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6" t="s">
        <v>37</v>
      </c>
      <c r="M4" s="166" t="s">
        <v>31</v>
      </c>
      <c r="N4" s="166" t="s">
        <v>26</v>
      </c>
      <c r="O4" s="166" t="s">
        <v>27</v>
      </c>
      <c r="P4" s="166" t="s">
        <v>4</v>
      </c>
      <c r="Q4" s="166" t="s">
        <v>40</v>
      </c>
      <c r="R4" s="166" t="s">
        <v>41</v>
      </c>
      <c r="S4" s="166" t="s">
        <v>28</v>
      </c>
      <c r="T4" s="166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71" t="s">
        <v>83</v>
      </c>
      <c r="M5" s="167"/>
      <c r="N5" s="171" t="str">
        <f>LEFT($L$5,1)&amp;LEFT($B$2,1)&amp;'EB1'!$C$20</f>
        <v>DAOT</v>
      </c>
      <c r="O5" s="171" t="str">
        <f>LEFT($D$2,6)&amp;" "&amp;$C$2&amp; " Sector - "&amp;'EB1'!$X$20</f>
        <v>Demand Agriculture Sector - Demand</v>
      </c>
      <c r="P5" s="171" t="str">
        <f>$E$2</f>
        <v>PJ</v>
      </c>
      <c r="Q5" s="171"/>
      <c r="R5" s="171"/>
      <c r="S5" s="171"/>
      <c r="T5" s="171"/>
    </row>
    <row r="6" spans="2:20" x14ac:dyDescent="0.2">
      <c r="L6" s="169" t="s">
        <v>108</v>
      </c>
      <c r="M6" s="169"/>
      <c r="N6" s="169" t="str">
        <f>$B$2&amp;'EB1'!$C$29</f>
        <v>AGRCO2</v>
      </c>
      <c r="O6" s="169" t="str">
        <f>$C$2&amp;" "&amp;'EB1'!$C$30</f>
        <v>Agriculture Carbon dioxide</v>
      </c>
      <c r="P6" s="169" t="str">
        <f>'EB1'!$AA$2</f>
        <v>kt</v>
      </c>
      <c r="Q6" s="169"/>
      <c r="R6" s="169"/>
      <c r="S6" s="169"/>
      <c r="T6" s="169"/>
    </row>
    <row r="7" spans="2:20" ht="15" x14ac:dyDescent="0.25">
      <c r="G7" s="157" t="s">
        <v>165</v>
      </c>
    </row>
    <row r="8" spans="2:20" ht="15" x14ac:dyDescent="0.25">
      <c r="D8" s="4" t="s">
        <v>13</v>
      </c>
      <c r="E8" s="4"/>
      <c r="G8" s="158">
        <v>0.2</v>
      </c>
      <c r="H8" s="4"/>
      <c r="I8" s="4"/>
      <c r="J8" s="18"/>
      <c r="L8" s="162" t="s">
        <v>15</v>
      </c>
      <c r="M8" s="162"/>
      <c r="N8" s="169"/>
      <c r="O8" s="169"/>
      <c r="P8" s="169"/>
      <c r="Q8" s="169"/>
      <c r="R8" s="169"/>
      <c r="S8" s="169"/>
      <c r="T8" s="169"/>
    </row>
    <row r="9" spans="2:20" ht="25.5" x14ac:dyDescent="0.2">
      <c r="B9" s="22" t="s">
        <v>1</v>
      </c>
      <c r="C9" s="22" t="s">
        <v>5</v>
      </c>
      <c r="D9" s="22" t="s">
        <v>6</v>
      </c>
      <c r="E9" s="91" t="s">
        <v>132</v>
      </c>
      <c r="F9" s="94" t="s">
        <v>152</v>
      </c>
      <c r="G9" s="94" t="s">
        <v>166</v>
      </c>
      <c r="H9" s="91" t="s">
        <v>84</v>
      </c>
      <c r="I9" s="91" t="s">
        <v>96</v>
      </c>
      <c r="J9" s="91" t="s">
        <v>79</v>
      </c>
      <c r="L9" s="164" t="s">
        <v>11</v>
      </c>
      <c r="M9" s="165" t="s">
        <v>30</v>
      </c>
      <c r="N9" s="164" t="s">
        <v>1</v>
      </c>
      <c r="O9" s="164" t="s">
        <v>2</v>
      </c>
      <c r="P9" s="164" t="s">
        <v>16</v>
      </c>
      <c r="Q9" s="164" t="s">
        <v>17</v>
      </c>
      <c r="R9" s="164" t="s">
        <v>18</v>
      </c>
      <c r="S9" s="164" t="s">
        <v>19</v>
      </c>
      <c r="T9" s="164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6" t="s">
        <v>151</v>
      </c>
      <c r="H10" s="20" t="s">
        <v>89</v>
      </c>
      <c r="I10" s="105" t="s">
        <v>97</v>
      </c>
      <c r="J10" s="20" t="s">
        <v>177</v>
      </c>
      <c r="L10" s="166" t="s">
        <v>38</v>
      </c>
      <c r="M10" s="166" t="s">
        <v>31</v>
      </c>
      <c r="N10" s="166" t="s">
        <v>21</v>
      </c>
      <c r="O10" s="166" t="s">
        <v>22</v>
      </c>
      <c r="P10" s="166" t="s">
        <v>23</v>
      </c>
      <c r="Q10" s="166" t="s">
        <v>24</v>
      </c>
      <c r="R10" s="166" t="s">
        <v>43</v>
      </c>
      <c r="S10" s="166" t="s">
        <v>42</v>
      </c>
      <c r="T10" s="166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55"/>
      <c r="H11" s="17"/>
      <c r="I11" s="93"/>
      <c r="J11" s="17" t="s">
        <v>91</v>
      </c>
      <c r="L11" s="166" t="s">
        <v>81</v>
      </c>
      <c r="M11" s="166"/>
      <c r="N11" s="166"/>
      <c r="O11" s="166"/>
      <c r="P11" s="166"/>
      <c r="Q11" s="166"/>
      <c r="R11" s="166"/>
      <c r="S11" s="166"/>
      <c r="T11" s="166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7">
        <f>'EB1'!$D$6/('EB1'!$D$6+'EB1'!$E$6+SUM('EB1'!$G$6:$J$6,'EB1'!$L$6:$M$6)+'EB1'!$O$6+'EB1'!$U$6)</f>
        <v>1.499365577046299E-2</v>
      </c>
      <c r="G12" s="154">
        <f>IF(F12=0,20%,F12*(1+$G$8))</f>
        <v>1.7992386924555587E-2</v>
      </c>
      <c r="H12" s="84">
        <v>1</v>
      </c>
      <c r="I12" s="84">
        <v>1</v>
      </c>
      <c r="J12" s="57">
        <v>20</v>
      </c>
      <c r="L12" s="171" t="s">
        <v>95</v>
      </c>
      <c r="M12" s="167"/>
      <c r="N12" s="167" t="str">
        <f>LEFT($B$2)&amp;'EB1'!$C$20&amp;$J$2&amp;'EB1'!$V$2</f>
        <v>AOTETOT</v>
      </c>
      <c r="O12" s="172" t="str">
        <f>$D$2&amp;" "&amp;$C$2&amp; " Sector - "&amp;""&amp;$J$1&amp;" "&amp;'EB1'!$X$20&amp;" - "&amp;'EB1'!$V$2</f>
        <v>Demand Technologies Agriculture Sector - Existing Demand - TOT</v>
      </c>
      <c r="P12" s="167" t="str">
        <f>$E$2</f>
        <v>PJ</v>
      </c>
      <c r="Q12" s="167" t="str">
        <f>$E$2&amp;"a"</f>
        <v>PJa</v>
      </c>
      <c r="R12" s="167"/>
      <c r="S12" s="167"/>
      <c r="T12" s="167"/>
    </row>
    <row r="13" spans="2:20" x14ac:dyDescent="0.2">
      <c r="C13" t="str">
        <f>Sector_Fuels_AGR!L6</f>
        <v>AGRGAS</v>
      </c>
      <c r="E13" s="23"/>
      <c r="F13" s="147">
        <f>'EB1'!$E$6/('EB1'!$D$6+'EB1'!$E$6+SUM('EB1'!$G$6:$J$6,'EB1'!$L$6:$M$6)+'EB1'!$O$6+'EB1'!$U$6)</f>
        <v>0.28393458732116494</v>
      </c>
      <c r="G13" s="154">
        <f>IF(F13=0,20%,F13*(1+$G$8))</f>
        <v>0.34072150478539792</v>
      </c>
      <c r="H13" s="21"/>
      <c r="I13" s="21"/>
      <c r="L13" s="5"/>
      <c r="M13" s="5"/>
      <c r="N13" s="5"/>
      <c r="O13" s="98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7">
        <f>SUM('EB1'!$G$6:$J$6,'EB1'!$L$6:$M$6)/('EB1'!$D$6+'EB1'!$E$6+SUM('EB1'!$G$6:$J$6,'EB1'!$L$6:$M$6)+'EB1'!$O$6+'EB1'!$U$6)</f>
        <v>0.17319316089523287</v>
      </c>
      <c r="G14" s="154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7">
        <f>'EB1'!$O$6/('EB1'!$D$6+'EB1'!$E$6+SUM('EB1'!$G$6:$J$6,'EB1'!$L$6:$M$6)+'EB1'!$O$6+'EB1'!$U$6)</f>
        <v>1.5803589744888529E-2</v>
      </c>
      <c r="G15" s="154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7">
        <f>'EB1'!$U$6/('EB1'!$D$6+'EB1'!$E$6+SUM('EB1'!$G$6:$J$6,'EB1'!$L$6:$M$6)+'EB1'!$O$6+'EB1'!$U$6)</f>
        <v>0.51207500626825075</v>
      </c>
      <c r="G16" s="154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9"/>
      <c r="G17" s="119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42"/>
      <c r="G18" s="142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7"/>
      <c r="C24" s="1" t="s">
        <v>156</v>
      </c>
    </row>
    <row r="25" spans="2:20" x14ac:dyDescent="0.2">
      <c r="B25" s="80"/>
      <c r="C25" s="1" t="s">
        <v>157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COMCOA</v>
      </c>
      <c r="M5" s="168" t="str">
        <f>$C$2&amp;" "&amp;'EB1'!$D$3</f>
        <v>Commercial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COMGAS</v>
      </c>
      <c r="M6" s="168" t="str">
        <f>$C$2&amp;" "&amp;'EB1'!$E$3</f>
        <v>Commercial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COMOIL</v>
      </c>
      <c r="M7" s="168" t="str">
        <f>$C$2&amp;" "&amp;RIGHT('EB1'!$F$3,3)</f>
        <v>Commercial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COMBIO</v>
      </c>
      <c r="M8" s="168" t="str">
        <f>$C$2&amp;" "&amp;'EB1'!$O$3</f>
        <v>Commercial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COMSOL</v>
      </c>
      <c r="M9" s="168" t="str">
        <f>$C$2&amp;" "&amp;'EB1'!$R$3</f>
        <v>Commercial Solar energy</v>
      </c>
      <c r="N9" s="167" t="str">
        <f t="shared" si="0"/>
        <v>PJ</v>
      </c>
      <c r="O9" s="167"/>
      <c r="P9" s="169"/>
      <c r="Q9" s="169"/>
      <c r="R9" s="169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COMELC</v>
      </c>
      <c r="M10" s="168" t="str">
        <f>$C$2&amp;" "&amp;'EB1'!$U$3</f>
        <v>Commercial Electricity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2">
        <v>1</v>
      </c>
      <c r="H16" s="83">
        <v>30</v>
      </c>
      <c r="J16" s="171" t="s">
        <v>115</v>
      </c>
      <c r="K16" s="167"/>
      <c r="L16" s="167" t="str">
        <f t="shared" ref="L16:L21" si="1">"FT"&amp;$G$2&amp;"-"&amp;L5</f>
        <v>FTE-COMCOA</v>
      </c>
      <c r="M16" s="168" t="str">
        <f t="shared" ref="M16:M21" si="2">$D$2&amp;" Technology"&amp;" "&amp;$G$1&amp;" "&amp;M5</f>
        <v>Sector Fuel Technology Existing Commercial Solid Fuels</v>
      </c>
      <c r="N16" s="167" t="str">
        <f t="shared" ref="N16:N21" si="3">$E$2</f>
        <v>PJ</v>
      </c>
      <c r="O16" s="167" t="str">
        <f t="shared" ref="O16:O21" si="4">$E$2&amp;"a"</f>
        <v>PJa</v>
      </c>
      <c r="P16" s="167"/>
      <c r="Q16" s="167"/>
      <c r="R16" s="167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2">
        <v>1</v>
      </c>
      <c r="H17" s="83">
        <v>30</v>
      </c>
      <c r="J17" s="167"/>
      <c r="K17" s="167"/>
      <c r="L17" s="167" t="str">
        <f t="shared" si="1"/>
        <v>FTE-COMGAS</v>
      </c>
      <c r="M17" s="168" t="str">
        <f t="shared" si="2"/>
        <v>Sector Fuel Technology Existing Commercial Natural Gas</v>
      </c>
      <c r="N17" s="167" t="str">
        <f t="shared" si="3"/>
        <v>PJ</v>
      </c>
      <c r="O17" s="167" t="str">
        <f t="shared" si="4"/>
        <v>PJa</v>
      </c>
      <c r="P17" s="167"/>
      <c r="Q17" s="167"/>
      <c r="R17" s="167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7">
        <f>'EB1'!$G$6/SUM('EB1'!$G$6:$J$6,'EB1'!$L$6:$M$6)</f>
        <v>0.86298475684655063</v>
      </c>
      <c r="F18" s="15"/>
      <c r="G18" s="82">
        <v>1</v>
      </c>
      <c r="H18" s="83">
        <v>30</v>
      </c>
      <c r="J18" s="167"/>
      <c r="K18" s="167"/>
      <c r="L18" s="167" t="str">
        <f t="shared" si="1"/>
        <v>FTE-COMOIL</v>
      </c>
      <c r="M18" s="168" t="str">
        <f t="shared" si="2"/>
        <v>Sector Fuel Technology Existing Commercial Oil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C19" t="str">
        <f>'EB1'!$H$2</f>
        <v>KER</v>
      </c>
      <c r="E19" s="147">
        <f>'EB1'!$H$6/SUM('EB1'!$G$6:$J$6,'EB1'!$L$6:$M$6)</f>
        <v>3.9236789461985699E-3</v>
      </c>
      <c r="F19" s="15"/>
      <c r="G19" s="88"/>
      <c r="H19" s="14"/>
      <c r="J19" s="167"/>
      <c r="K19" s="167"/>
      <c r="L19" s="167" t="str">
        <f t="shared" si="1"/>
        <v>FTE-COMBIO</v>
      </c>
      <c r="M19" s="168" t="str">
        <f t="shared" si="2"/>
        <v>Sector Fuel Technology Existing Commercial Biomass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'EB1'!$I$2</f>
        <v>LPG</v>
      </c>
      <c r="E20" s="147">
        <f>'EB1'!$I$6/SUM('EB1'!$G$6:$J$6,'EB1'!$L$6:$M$6)</f>
        <v>7.3939237959312593E-2</v>
      </c>
      <c r="F20" s="15"/>
      <c r="G20" s="88"/>
      <c r="H20" s="14"/>
      <c r="J20" s="167"/>
      <c r="K20" s="167"/>
      <c r="L20" s="167" t="str">
        <f t="shared" si="1"/>
        <v>FTE-COMSOL</v>
      </c>
      <c r="M20" s="168" t="str">
        <f t="shared" si="2"/>
        <v>Sector Fuel Technology Existing Commercial Solar energy</v>
      </c>
      <c r="N20" s="167" t="str">
        <f t="shared" si="3"/>
        <v>PJ</v>
      </c>
      <c r="O20" s="167" t="str">
        <f t="shared" si="4"/>
        <v>PJa</v>
      </c>
      <c r="P20" s="169"/>
      <c r="Q20" s="167"/>
      <c r="R20" s="167"/>
    </row>
    <row r="21" spans="2:18" x14ac:dyDescent="0.2">
      <c r="C21" t="str">
        <f>'EB1'!$J$2</f>
        <v>GSL</v>
      </c>
      <c r="E21" s="147">
        <f>'EB1'!$J$6/SUM('EB1'!$G$6:$J$6,'EB1'!$L$6:$M$6)</f>
        <v>1.3383090979281944E-2</v>
      </c>
      <c r="F21" s="15"/>
      <c r="G21" s="88"/>
      <c r="H21" s="14"/>
      <c r="J21" s="167"/>
      <c r="K21" s="167"/>
      <c r="L21" s="167" t="str">
        <f t="shared" si="1"/>
        <v>FTE-COMELC</v>
      </c>
      <c r="M21" s="168" t="str">
        <f t="shared" si="2"/>
        <v>Sector Fuel Technology Existing Commercial Electricity</v>
      </c>
      <c r="N21" s="167" t="str">
        <f t="shared" si="3"/>
        <v>PJ</v>
      </c>
      <c r="O21" s="167" t="str">
        <f t="shared" si="4"/>
        <v>PJa</v>
      </c>
      <c r="P21" s="167" t="s">
        <v>130</v>
      </c>
      <c r="Q21" s="167"/>
      <c r="R21" s="167"/>
    </row>
    <row r="22" spans="2:18" x14ac:dyDescent="0.2">
      <c r="C22" t="str">
        <f>'EB1'!$L$2</f>
        <v>HFO</v>
      </c>
      <c r="E22" s="147">
        <f>'EB1'!$L$6/SUM('EB1'!$G$6:$J$6,'EB1'!$L$6:$M$6)</f>
        <v>4.5203027573378879E-2</v>
      </c>
      <c r="F22" s="15"/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7">
        <f>'EB1'!$M$6/SUM('EB1'!$G$6:$J$6,'EB1'!$L$6:$M$6)</f>
        <v>5.6620769527731304E-4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2">
        <v>1</v>
      </c>
      <c r="H25" s="83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8"/>
      <c r="F26" s="148"/>
      <c r="G26" s="149">
        <v>1</v>
      </c>
      <c r="H26" s="150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8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5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41" spans="2:8" x14ac:dyDescent="0.2">
      <c r="B41" s="57"/>
      <c r="C41" s="1" t="s">
        <v>156</v>
      </c>
    </row>
    <row r="42" spans="2:8" x14ac:dyDescent="0.2">
      <c r="B42" s="80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LEFT($M$5,1)&amp;LEFT($B$2,1)&amp;'EB1'!$C$24</f>
        <v>DCSH</v>
      </c>
      <c r="P5" s="171" t="str">
        <f>LEFT($D$2,6)&amp;" "&amp;$C$2&amp; " Sector - "&amp;'EB1'!$X$24</f>
        <v>Demand Commercial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LEFT($M$5,1)&amp;LEFT($B$2,1)&amp;'EB1'!$C$25</f>
        <v>DCAP</v>
      </c>
      <c r="P6" s="171" t="str">
        <f>LEFT($D$2,6)&amp;" "&amp;$C$2&amp; " Sector - "&amp;'EB1'!$X$25</f>
        <v>Demand Commercial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LEFT($M$5,1)&amp;LEFT($B$2,1)&amp;'EB1'!$C$26</f>
        <v>DCOT</v>
      </c>
      <c r="P7" s="171" t="str">
        <f>LEFT($D$2,6)&amp;" "&amp;$C$2&amp; " Sector - "&amp;'EB1'!$X$26</f>
        <v>Demand Commercial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COMCO2</v>
      </c>
      <c r="P8" s="169" t="str">
        <f>$C$2&amp;" "&amp;'EB1'!$C$30</f>
        <v>Commercial Carbon dioxide</v>
      </c>
      <c r="Q8" s="169" t="str">
        <f>'EB1'!$AA$2</f>
        <v>kt</v>
      </c>
      <c r="R8" s="169"/>
      <c r="S8" s="169"/>
      <c r="T8" s="169"/>
      <c r="U8" s="169"/>
    </row>
    <row r="10" spans="2:21" x14ac:dyDescent="0.2">
      <c r="D10" s="4" t="s">
        <v>13</v>
      </c>
      <c r="E10" s="4"/>
      <c r="G10" s="4"/>
      <c r="H10" s="4"/>
      <c r="I10" s="18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178</v>
      </c>
      <c r="I11" s="91" t="s">
        <v>79</v>
      </c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9">
        <f>'EB1'!$D$6*'EB1'!$D$24/(G14*H14)*1.01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CSHECOA</v>
      </c>
      <c r="P14" s="172" t="str">
        <f>$D$2&amp;" "&amp;$C$2&amp; " Sector - "&amp;""&amp;$I$1&amp;" "&amp;'EB1'!$X$21&amp;" - "&amp;'EB1'!$D$3</f>
        <v>Demand Technologies Commercial Sector - Existing Space Heating - Solid Fuels</v>
      </c>
      <c r="Q14" s="167" t="str">
        <f t="shared" ref="Q14:Q25" si="1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9">
        <f>'EB1'!$E$6*'EB1'!$E$24/(G15*H15)*1.01</f>
        <v>52.36229959411466</v>
      </c>
      <c r="F15" s="84">
        <v>0.9</v>
      </c>
      <c r="G15" s="84">
        <v>0.3</v>
      </c>
      <c r="H15" s="86">
        <v>31.536000000000001</v>
      </c>
      <c r="I15" s="57">
        <v>15</v>
      </c>
      <c r="K15" s="44">
        <f t="shared" ref="K15:K25" si="4">E15*G15*H15</f>
        <v>495.38924399999996</v>
      </c>
      <c r="M15" s="167"/>
      <c r="N15" s="167"/>
      <c r="O15" s="167" t="str">
        <f>LEFT($B$2)&amp;'EB1'!$C$21&amp;$I$2&amp;'EB1'!$E$2</f>
        <v>CSHEGAS</v>
      </c>
      <c r="P15" s="172" t="str">
        <f>$D$2&amp;" "&amp;$C$2&amp; " Sector - "&amp;""&amp;$I$1&amp;" "&amp;'EB1'!$X$21&amp;" - "&amp;'EB1'!$E$3</f>
        <v>Demand Technologies Commercial Sector - Existing Space Heating - Natural Gas</v>
      </c>
      <c r="Q15" s="167" t="str">
        <f t="shared" si="1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9">
        <f>SUM('EB1'!$G$6:$J$6,'EB1'!$L$6:$M$6)*'EB1'!$G$24/(G16*H16)*1.01</f>
        <v>31.93972338491459</v>
      </c>
      <c r="F16" s="84">
        <v>0.8</v>
      </c>
      <c r="G16" s="84">
        <v>0.3</v>
      </c>
      <c r="H16" s="86">
        <v>31.536000000000001</v>
      </c>
      <c r="I16" s="57">
        <v>15</v>
      </c>
      <c r="K16" s="44">
        <f t="shared" si="4"/>
        <v>302.17533499999996</v>
      </c>
      <c r="M16" s="167"/>
      <c r="N16" s="167"/>
      <c r="O16" s="167" t="str">
        <f>LEFT($B$2)&amp;'EB1'!$C$21&amp;$I$2&amp;'EB1'!$F$2</f>
        <v>CSHEOIL</v>
      </c>
      <c r="P16" s="172" t="str">
        <f>$D$2&amp;" "&amp;$C$2&amp; " Sector - "&amp;""&amp;$I$1&amp;" "&amp;'EB1'!$X$21&amp;" - "&amp;RIGHT('EB1'!$F$3,3)</f>
        <v>Demand Technologies Commercial Sector - Existing Space Heating - Oil</v>
      </c>
      <c r="Q16" s="167" t="str">
        <f t="shared" si="1"/>
        <v>PJ</v>
      </c>
      <c r="R16" s="167" t="s">
        <v>121</v>
      </c>
      <c r="S16" s="167"/>
      <c r="T16" s="167"/>
      <c r="U16" s="167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9">
        <f>'EB1'!$O$6*'EB1'!$O$24/(G17*H17)*1.01</f>
        <v>3.747146118721461</v>
      </c>
      <c r="F17" s="84">
        <v>0.8</v>
      </c>
      <c r="G17" s="84">
        <v>0.3</v>
      </c>
      <c r="H17" s="86">
        <v>31.536000000000001</v>
      </c>
      <c r="I17" s="57">
        <v>15</v>
      </c>
      <c r="K17" s="44">
        <f>E17*G17*H17</f>
        <v>35.450999999999993</v>
      </c>
      <c r="M17" s="167"/>
      <c r="N17" s="167"/>
      <c r="O17" s="167" t="str">
        <f>LEFT($B$2)&amp;'EB1'!$C$21&amp;$I$2&amp;'EB1'!$O$2</f>
        <v>CSHEBIO</v>
      </c>
      <c r="P17" s="172" t="str">
        <f>$D$2&amp;" "&amp;$C$2&amp; " Sector - "&amp;""&amp;$I$1&amp;" "&amp;'EB1'!$X$21&amp;" - "&amp;'EB1'!$O$3</f>
        <v>Demand Technologies Commercial Sector - Existing Space Heating - Biomass</v>
      </c>
      <c r="Q17" s="167" t="str">
        <f t="shared" si="1"/>
        <v>PJ</v>
      </c>
      <c r="R17" s="167" t="s">
        <v>121</v>
      </c>
      <c r="S17" s="167"/>
      <c r="T17" s="167"/>
      <c r="U17" s="167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9">
        <f>'EB1'!$R$6*'EB1'!$R$24/(G18*H18)*1.01</f>
        <v>0.80067224759005573</v>
      </c>
      <c r="F18" s="84">
        <v>1</v>
      </c>
      <c r="G18" s="84">
        <v>0.3</v>
      </c>
      <c r="H18" s="86">
        <v>31.536000000000001</v>
      </c>
      <c r="I18" s="57">
        <v>15</v>
      </c>
      <c r="K18" s="44">
        <f>E18*G18*H18</f>
        <v>7.5749999999999993</v>
      </c>
      <c r="M18" s="167"/>
      <c r="N18" s="167"/>
      <c r="O18" s="167" t="str">
        <f>LEFT($B$2)&amp;'EB1'!$C$21&amp;$I$2&amp;'EB1'!$R$2</f>
        <v>CSHESOL</v>
      </c>
      <c r="P18" s="172" t="str">
        <f>$D$2&amp;" "&amp;$C$2&amp; " Sector - "&amp;""&amp;$I$1&amp;" "&amp;'EB1'!$X$21&amp;" - "&amp;'EB1'!$R$3</f>
        <v>Demand Technologies Commercial Sector - Existing Space Heating - Solar energy</v>
      </c>
      <c r="Q18" s="167" t="str">
        <f t="shared" si="1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6">
        <f>'EB1'!$U$6*'EB1'!$U$24/(G19*H19)*1.01</f>
        <v>6.7453727750295958</v>
      </c>
      <c r="F19" s="130">
        <v>0.95</v>
      </c>
      <c r="G19" s="130">
        <v>0.3</v>
      </c>
      <c r="H19" s="131">
        <v>31.536000000000001</v>
      </c>
      <c r="I19" s="132">
        <v>15</v>
      </c>
      <c r="J19" s="30"/>
      <c r="K19" s="133">
        <f t="shared" si="4"/>
        <v>63.816622749999993</v>
      </c>
      <c r="M19" s="167"/>
      <c r="N19" s="167"/>
      <c r="O19" s="167" t="str">
        <f>LEFT($B$2)&amp;'EB1'!$C$21&amp;$I$2&amp;'EB1'!$U$2</f>
        <v>CSHEELC</v>
      </c>
      <c r="P19" s="172" t="str">
        <f>$D$2&amp;" "&amp;$C$2&amp; " Sector - "&amp;""&amp;$I$1&amp;" "&amp;'EB1'!$X$21&amp;" - "&amp;'EB1'!$U$3</f>
        <v>Demand Technologies Commercial Sector - Existing Space Heating - Electricity</v>
      </c>
      <c r="Q19" s="167" t="str">
        <f t="shared" si="1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2"/>
        <v>CAPEELC</v>
      </c>
      <c r="C20" s="134" t="str">
        <f t="shared" si="3"/>
        <v>COMELC</v>
      </c>
      <c r="D20" s="134" t="str">
        <f>$O$6</f>
        <v>DCAP</v>
      </c>
      <c r="E20" s="135">
        <f>'EB1'!$U$6*'EB1'!$U$25/(G20*H20)*1.01</f>
        <v>3828.9973650000006</v>
      </c>
      <c r="F20" s="136">
        <v>1</v>
      </c>
      <c r="G20" s="136">
        <v>0.3</v>
      </c>
      <c r="H20" s="152">
        <v>1</v>
      </c>
      <c r="I20" s="137">
        <v>5</v>
      </c>
      <c r="J20" s="134"/>
      <c r="K20" s="138">
        <f t="shared" si="4"/>
        <v>1148.6992095000001</v>
      </c>
      <c r="M20" s="173"/>
      <c r="N20" s="173"/>
      <c r="O20" s="173" t="str">
        <f>LEFT($B$2)&amp;'EB1'!$C$22&amp;$I$2&amp;'EB1'!$U$2</f>
        <v>CAPEELC</v>
      </c>
      <c r="P20" s="174" t="str">
        <f>$D$2&amp;" "&amp;$C$2&amp; " Sector - "&amp;""&amp;$I$1&amp;" "&amp;'EB1'!$X$22&amp;" - "&amp;'EB1'!$U$3</f>
        <v>Demand Technologies Commercial Sector - Existing Appliancens - Electricity</v>
      </c>
      <c r="Q20" s="173" t="str">
        <f t="shared" si="1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9">
        <f>'EB1'!$D$6*'EB1'!$D$26/(G21*H21)*1.01</f>
        <v>124.570875</v>
      </c>
      <c r="F21" s="84">
        <v>1</v>
      </c>
      <c r="G21" s="84">
        <v>0.3</v>
      </c>
      <c r="H21" s="153">
        <v>1</v>
      </c>
      <c r="I21" s="57">
        <v>10</v>
      </c>
      <c r="K21" s="44">
        <f t="shared" si="4"/>
        <v>37.3712625</v>
      </c>
      <c r="M21" s="167"/>
      <c r="N21" s="167"/>
      <c r="O21" s="167" t="str">
        <f>LEFT($B$2)&amp;'EB1'!$C$23&amp;$I$2&amp;'EB1'!$D$2</f>
        <v>COTECOA</v>
      </c>
      <c r="P21" s="172" t="str">
        <f>$D$2&amp;" "&amp;$C$2&amp; " Sector - "&amp;""&amp;$I$1&amp;" "&amp;'EB1'!$X$23&amp;" - "&amp;'EB1'!$D$3</f>
        <v>Demand Technologies Commercial Sector - Existing Other - Solid Fuels</v>
      </c>
      <c r="Q21" s="167" t="str">
        <f t="shared" si="1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9">
        <f>'EB1'!$E$6*'EB1'!$E$26/(G22*H22)*1.01</f>
        <v>707.69892000000016</v>
      </c>
      <c r="F22" s="84">
        <v>1</v>
      </c>
      <c r="G22" s="84">
        <v>0.3</v>
      </c>
      <c r="H22" s="153">
        <v>1</v>
      </c>
      <c r="I22" s="57">
        <v>10</v>
      </c>
      <c r="K22" s="44">
        <f t="shared" si="4"/>
        <v>212.30967600000005</v>
      </c>
      <c r="M22" s="167"/>
      <c r="N22" s="167"/>
      <c r="O22" s="167" t="str">
        <f>LEFT($B$2)&amp;'EB1'!$C$23&amp;$I$2&amp;'EB1'!$E$2</f>
        <v>COTEGAS</v>
      </c>
      <c r="P22" s="172" t="str">
        <f>$D$2&amp;" "&amp;$C$2&amp; " Sector - "&amp;""&amp;$I$1&amp;" "&amp;'EB1'!$X$23&amp;" - "&amp;'EB1'!$E$3</f>
        <v>Demand Technologies Commercial Sector - Existing Other - Natural Gas</v>
      </c>
      <c r="Q22" s="167" t="str">
        <f t="shared" si="1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9">
        <f>SUM('EB1'!$G$6:$J$6,'EB1'!$L$6:$M$6)*'EB1'!$G$26/(G23*H23)*1.01</f>
        <v>431.67905000000007</v>
      </c>
      <c r="F23" s="84">
        <v>1</v>
      </c>
      <c r="G23" s="84">
        <v>0.3</v>
      </c>
      <c r="H23" s="153">
        <v>1</v>
      </c>
      <c r="I23" s="57">
        <v>10</v>
      </c>
      <c r="K23" s="44">
        <f t="shared" si="4"/>
        <v>129.50371500000003</v>
      </c>
      <c r="M23" s="167"/>
      <c r="N23" s="167"/>
      <c r="O23" s="167" t="str">
        <f>LEFT($B$2)&amp;'EB1'!$C$23&amp;$I$2&amp;'EB1'!$F$2</f>
        <v>COTEOIL</v>
      </c>
      <c r="P23" s="172" t="str">
        <f>$D$2&amp;" "&amp;$C$2&amp; " Sector - "&amp;""&amp;$I$1&amp;" "&amp;'EB1'!$X$23&amp;" - "&amp;RIGHT('EB1'!$F$3,3)</f>
        <v>Demand Technologies Commercial Sector - Existing Other - Oil</v>
      </c>
      <c r="Q23" s="167" t="str">
        <f t="shared" si="1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9">
        <f>'EB1'!$O$6*'EB1'!$O$26/(G24*H24)*1.01</f>
        <v>13.130000000000003</v>
      </c>
      <c r="F24" s="84">
        <v>1</v>
      </c>
      <c r="G24" s="84">
        <v>0.3</v>
      </c>
      <c r="H24" s="153">
        <v>1</v>
      </c>
      <c r="I24" s="57">
        <v>10</v>
      </c>
      <c r="K24" s="44">
        <f>E24*G24*H24</f>
        <v>3.9390000000000005</v>
      </c>
      <c r="M24" s="167"/>
      <c r="N24" s="167"/>
      <c r="O24" s="167" t="str">
        <f>LEFT($B$2)&amp;'EB1'!$C$23&amp;$I$2&amp;'EB1'!$O$2</f>
        <v>COTEBIO</v>
      </c>
      <c r="P24" s="172" t="str">
        <f>$D$2&amp;" "&amp;$C$2&amp; " Sector - "&amp;""&amp;$I$1&amp;" "&amp;'EB1'!$X$23&amp;" - "&amp;'EB1'!$O$3</f>
        <v>Demand Technologies Commercial Sector - Existing Other - Biomass</v>
      </c>
      <c r="Q24" s="167" t="str">
        <f t="shared" si="1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7">
        <f>'EB1'!$U$6*'EB1'!$U$26/(G25*H25)*1.01</f>
        <v>212.72207583333307</v>
      </c>
      <c r="F25" s="84">
        <v>1</v>
      </c>
      <c r="G25" s="84">
        <v>0.3</v>
      </c>
      <c r="H25" s="153">
        <v>1</v>
      </c>
      <c r="I25" s="57">
        <v>10</v>
      </c>
      <c r="K25" s="44">
        <f t="shared" si="4"/>
        <v>63.816622749999915</v>
      </c>
      <c r="M25" s="167"/>
      <c r="N25" s="167"/>
      <c r="O25" s="167" t="str">
        <f>LEFT($B$2)&amp;'EB1'!$C$23&amp;$I$2&amp;'EB1'!$U$2</f>
        <v>COTEELC</v>
      </c>
      <c r="P25" s="172" t="str">
        <f>$D$2&amp;" "&amp;$C$2&amp; " Sector - "&amp;""&amp;$I$1&amp;" "&amp;'EB1'!$X$23&amp;" - "&amp;'EB1'!$U$3</f>
        <v>Demand Technologies Commercial Sector - Existing Other - Electricity</v>
      </c>
      <c r="Q25" s="167" t="str">
        <f t="shared" si="1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RSDCOA</v>
      </c>
      <c r="M5" s="168" t="str">
        <f>$C$2&amp;" "&amp;'EB1'!$D$3</f>
        <v>Residential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RSDGAS</v>
      </c>
      <c r="M6" s="168" t="str">
        <f>$C$2&amp;" "&amp;'EB1'!$E$3</f>
        <v>Residential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RSDOIL</v>
      </c>
      <c r="M7" s="168" t="str">
        <f>$C$2&amp;" "&amp;RIGHT('EB1'!$F$3,3)</f>
        <v>Residential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RSDBIO</v>
      </c>
      <c r="M8" s="168" t="str">
        <f>$C$2&amp;" "&amp;'EB1'!$O$3</f>
        <v>Residential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RSDSOL</v>
      </c>
      <c r="M9" s="168" t="str">
        <f>$C$2&amp;" "&amp;'EB1'!$R$3</f>
        <v>Residential Solar energy</v>
      </c>
      <c r="N9" s="167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RSDELC</v>
      </c>
      <c r="M10" s="168" t="str">
        <f>$C$2&amp;" "&amp;'EB1'!$R$3</f>
        <v>Residential Solar energy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B11" s="7"/>
      <c r="C11" s="7"/>
      <c r="D11" s="7"/>
      <c r="E11" s="15"/>
      <c r="F11" s="15"/>
      <c r="G11" s="88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62" t="s">
        <v>15</v>
      </c>
      <c r="K13" s="162"/>
      <c r="L13" s="169"/>
      <c r="M13" s="169"/>
      <c r="N13" s="169"/>
      <c r="O13" s="169"/>
      <c r="P13" s="169"/>
      <c r="Q13" s="169"/>
      <c r="R13" s="169"/>
    </row>
    <row r="14" spans="2:18" x14ac:dyDescent="0.2">
      <c r="B14" s="22" t="s">
        <v>1</v>
      </c>
      <c r="C14" s="22" t="s">
        <v>5</v>
      </c>
      <c r="D14" s="22" t="s">
        <v>6</v>
      </c>
      <c r="E14" s="94" t="s">
        <v>152</v>
      </c>
      <c r="F14" s="91" t="s">
        <v>132</v>
      </c>
      <c r="G14" s="91" t="s">
        <v>84</v>
      </c>
      <c r="H14" s="91" t="s">
        <v>79</v>
      </c>
      <c r="J14" s="164" t="s">
        <v>11</v>
      </c>
      <c r="K14" s="165" t="s">
        <v>30</v>
      </c>
      <c r="L14" s="164" t="s">
        <v>1</v>
      </c>
      <c r="M14" s="164" t="s">
        <v>2</v>
      </c>
      <c r="N14" s="164" t="s">
        <v>16</v>
      </c>
      <c r="O14" s="164" t="s">
        <v>17</v>
      </c>
      <c r="P14" s="164" t="s">
        <v>18</v>
      </c>
      <c r="Q14" s="164" t="s">
        <v>19</v>
      </c>
      <c r="R14" s="164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151</v>
      </c>
      <c r="F15" s="20" t="s">
        <v>34</v>
      </c>
      <c r="G15" s="20" t="s">
        <v>89</v>
      </c>
      <c r="H15" s="20" t="s">
        <v>177</v>
      </c>
      <c r="J15" s="166" t="s">
        <v>38</v>
      </c>
      <c r="K15" s="166" t="s">
        <v>31</v>
      </c>
      <c r="L15" s="166" t="s">
        <v>21</v>
      </c>
      <c r="M15" s="166" t="s">
        <v>22</v>
      </c>
      <c r="N15" s="166" t="s">
        <v>23</v>
      </c>
      <c r="O15" s="166" t="s">
        <v>24</v>
      </c>
      <c r="P15" s="166" t="s">
        <v>43</v>
      </c>
      <c r="Q15" s="166" t="s">
        <v>42</v>
      </c>
      <c r="R15" s="166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6" t="s">
        <v>81</v>
      </c>
      <c r="K16" s="170"/>
      <c r="L16" s="170"/>
      <c r="M16" s="170"/>
      <c r="N16" s="170"/>
      <c r="O16" s="170"/>
      <c r="P16" s="170"/>
      <c r="Q16" s="170"/>
      <c r="R16" s="170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82">
        <v>1</v>
      </c>
      <c r="H17" s="83">
        <v>50</v>
      </c>
      <c r="J17" s="171" t="s">
        <v>115</v>
      </c>
      <c r="K17" s="167"/>
      <c r="L17" s="167" t="str">
        <f t="shared" ref="L17:L22" si="1">"FT"&amp;$G$2&amp;"-"&amp;L5</f>
        <v>FTE-RSDCOA</v>
      </c>
      <c r="M17" s="168" t="str">
        <f t="shared" ref="M17:M22" si="2">$D$2&amp;" Technology"&amp;" "&amp;$G$1&amp;" "&amp;M5</f>
        <v>Sector Fuel Technology Existing Residential Solid Fuels</v>
      </c>
      <c r="N17" s="167" t="str">
        <f t="shared" ref="N17:N22" si="3">$E$2</f>
        <v>PJ</v>
      </c>
      <c r="O17" s="167" t="str">
        <f t="shared" ref="O17:O22" si="4">$E$2&amp;"a"</f>
        <v>PJa</v>
      </c>
      <c r="P17" s="167"/>
      <c r="Q17" s="167"/>
      <c r="R17" s="167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82">
        <v>1</v>
      </c>
      <c r="H18" s="83">
        <v>50</v>
      </c>
      <c r="J18" s="167"/>
      <c r="K18" s="167"/>
      <c r="L18" s="167" t="str">
        <f t="shared" si="1"/>
        <v>FTE-RSDGAS</v>
      </c>
      <c r="M18" s="168" t="str">
        <f t="shared" si="2"/>
        <v>Sector Fuel Technology Existing Residential Natural Gas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7">
        <f>'EB1'!$G$5/SUM('EB1'!$G$5:$J$5,'EB1'!$L$5:$M$5)</f>
        <v>0.75311722876888187</v>
      </c>
      <c r="F19" s="5"/>
      <c r="G19" s="82">
        <v>1</v>
      </c>
      <c r="H19" s="83">
        <v>50</v>
      </c>
      <c r="J19" s="167"/>
      <c r="K19" s="167"/>
      <c r="L19" s="167" t="str">
        <f t="shared" si="1"/>
        <v>FTE-RSDOIL</v>
      </c>
      <c r="M19" s="168" t="str">
        <f t="shared" si="2"/>
        <v>Sector Fuel Technology Existing Residential Oil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'EB1'!$H$2</f>
        <v>KER</v>
      </c>
      <c r="E20" s="147">
        <f>'EB1'!$H$5/SUM('EB1'!$G$5:$J$5,'EB1'!$L$5:$M$5)</f>
        <v>6.3731029623556271E-2</v>
      </c>
      <c r="F20" s="15"/>
      <c r="G20" s="88"/>
      <c r="H20" s="14"/>
      <c r="J20" s="167"/>
      <c r="K20" s="167"/>
      <c r="L20" s="167" t="str">
        <f t="shared" si="1"/>
        <v>FTE-RSDBIO</v>
      </c>
      <c r="M20" s="168" t="str">
        <f t="shared" si="2"/>
        <v>Sector Fuel Technology Existing Residential Biomass</v>
      </c>
      <c r="N20" s="167" t="str">
        <f t="shared" si="3"/>
        <v>PJ</v>
      </c>
      <c r="O20" s="167" t="str">
        <f t="shared" si="4"/>
        <v>PJa</v>
      </c>
      <c r="P20" s="167"/>
      <c r="Q20" s="167"/>
      <c r="R20" s="167"/>
    </row>
    <row r="21" spans="2:18" x14ac:dyDescent="0.2">
      <c r="C21" t="str">
        <f>'EB1'!$I$2</f>
        <v>LPG</v>
      </c>
      <c r="E21" s="147">
        <f>'EB1'!$I$5/SUM('EB1'!$G$5:$J$5,'EB1'!$L$5:$M$5)</f>
        <v>0.16614387061857086</v>
      </c>
      <c r="F21" s="15"/>
      <c r="G21" s="88"/>
      <c r="H21" s="14"/>
      <c r="J21" s="167"/>
      <c r="K21" s="167"/>
      <c r="L21" s="167" t="str">
        <f t="shared" si="1"/>
        <v>FTE-RSDSOL</v>
      </c>
      <c r="M21" s="168" t="str">
        <f t="shared" si="2"/>
        <v>Sector Fuel Technology Existing Residential Solar energy</v>
      </c>
      <c r="N21" s="167" t="str">
        <f t="shared" si="3"/>
        <v>PJ</v>
      </c>
      <c r="O21" s="167" t="str">
        <f t="shared" si="4"/>
        <v>PJa</v>
      </c>
      <c r="P21" s="169"/>
      <c r="Q21" s="169"/>
      <c r="R21" s="167"/>
    </row>
    <row r="22" spans="2:18" x14ac:dyDescent="0.2">
      <c r="C22" t="str">
        <f>'EB1'!$J$2</f>
        <v>GSL</v>
      </c>
      <c r="E22" s="147">
        <f>'EB1'!$J$5/SUM('EB1'!$G$5:$J$5,'EB1'!$L$5:$M$5)</f>
        <v>2.7676666988454513E-3</v>
      </c>
      <c r="F22" s="15"/>
      <c r="G22" s="88"/>
      <c r="H22" s="14"/>
      <c r="J22" s="167"/>
      <c r="K22" s="167"/>
      <c r="L22" s="167" t="str">
        <f t="shared" si="1"/>
        <v>FTE-RSDELC</v>
      </c>
      <c r="M22" s="168" t="str">
        <f t="shared" si="2"/>
        <v>Sector Fuel Technology Existing Residential Solar energy</v>
      </c>
      <c r="N22" s="167" t="str">
        <f t="shared" si="3"/>
        <v>PJ</v>
      </c>
      <c r="O22" s="167" t="str">
        <f t="shared" si="4"/>
        <v>PJa</v>
      </c>
      <c r="P22" s="167" t="s">
        <v>130</v>
      </c>
      <c r="Q22" s="167"/>
      <c r="R22" s="167"/>
    </row>
    <row r="23" spans="2:18" x14ac:dyDescent="0.2">
      <c r="C23" t="str">
        <f>'EB1'!$L$2</f>
        <v>HFO</v>
      </c>
      <c r="E23" s="147">
        <f>'EB1'!$L$5/SUM('EB1'!$G$5:$J$5,'EB1'!$L$5:$M$5)</f>
        <v>1.3436462698309041E-2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7">
        <f>'EB1'!$M$5/SUM('EB1'!$G$5:$J$5,'EB1'!$L$5:$M$5)</f>
        <v>8.037415918364316E-4</v>
      </c>
      <c r="F24" s="15"/>
      <c r="G24" s="88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82">
        <v>1</v>
      </c>
      <c r="H25" s="83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82">
        <v>1</v>
      </c>
      <c r="H26" s="83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82">
        <v>1</v>
      </c>
      <c r="H27" s="83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8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8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7"/>
      <c r="C31" s="1" t="s">
        <v>156</v>
      </c>
      <c r="D31" s="34"/>
      <c r="E31" s="15"/>
      <c r="F31" s="15"/>
      <c r="G31" s="88"/>
      <c r="H31" s="14"/>
    </row>
    <row r="32" spans="2:18" x14ac:dyDescent="0.2">
      <c r="B32" s="80"/>
      <c r="C32" s="1" t="s">
        <v>157</v>
      </c>
      <c r="D32" s="34"/>
      <c r="E32" s="15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4"/>
      <c r="C36" s="5"/>
      <c r="D36" s="34"/>
      <c r="E36" s="119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38" spans="2:8" x14ac:dyDescent="0.2">
      <c r="B38" s="35"/>
      <c r="C38" s="5"/>
      <c r="D38" s="34"/>
      <c r="E38" s="15"/>
      <c r="F38" s="15"/>
      <c r="G38" s="88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LEFT($M$5,1)&amp;LEFT($B$2,1)&amp;'EB1'!$C$21</f>
        <v>DRSH</v>
      </c>
      <c r="P5" s="171" t="str">
        <f>LEFT($D$2,6)&amp;" "&amp;$C$2&amp; " Sector - "&amp;'EB1'!$X$21</f>
        <v>Demand Residential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LEFT($M$5,1)&amp;LEFT($B$2,1)&amp;'EB1'!$C$22</f>
        <v>DRAP</v>
      </c>
      <c r="P6" s="171" t="str">
        <f>LEFT($D$2,6)&amp;" "&amp;$C$2&amp; " Sector - "&amp;'EB1'!$X$22</f>
        <v>Demand Residential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LEFT($M$5,1)&amp;LEFT($B$2,1)&amp;'EB1'!$C$23</f>
        <v>DROT</v>
      </c>
      <c r="P7" s="171" t="str">
        <f>LEFT($D$2,6)&amp;" "&amp;$C$2&amp; " Sector - "&amp;'EB1'!$X$23</f>
        <v>Demand Residential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RSDCO2</v>
      </c>
      <c r="P8" s="169" t="str">
        <f>$C$2&amp;" "&amp;'EB1'!C30</f>
        <v>Residential Carbon dioxide</v>
      </c>
      <c r="Q8" s="169" t="str">
        <f>'EB1'!$AA$2</f>
        <v>kt</v>
      </c>
      <c r="R8" s="169"/>
      <c r="S8" s="169"/>
      <c r="T8" s="169"/>
      <c r="U8" s="169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122</v>
      </c>
      <c r="I11" s="91" t="s">
        <v>79</v>
      </c>
      <c r="J11" s="5"/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J12" s="5"/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J13" s="5"/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9">
        <f>'EB1'!$D$5*'EB1'!$D$21/(G14*H14)*1.01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J14" s="5"/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RSHECOA</v>
      </c>
      <c r="P14" s="172" t="str">
        <f>$D$2&amp;" "&amp;$C$2&amp; " Sector - "&amp;""&amp;$I$1&amp;" "&amp;'EB1'!$X$21&amp;" - "&amp;'EB1'!$D$3</f>
        <v>Demand Technologies Residential Sector - Existing Space Heating - Solid Fuels</v>
      </c>
      <c r="Q14" s="167" t="str">
        <f t="shared" ref="Q14:Q25" si="2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9">
        <f>'EB1'!$E$5*'EB1'!$E$21/(G15*H15)*1.01</f>
        <v>165.25212233637745</v>
      </c>
      <c r="F15" s="84">
        <v>0.9</v>
      </c>
      <c r="G15" s="84">
        <v>0.3</v>
      </c>
      <c r="H15" s="86">
        <v>31.536000000000001</v>
      </c>
      <c r="I15" s="57">
        <v>15</v>
      </c>
      <c r="J15" s="5"/>
      <c r="K15" s="44">
        <f t="shared" ref="K15:K23" si="4">E15*G15*H15</f>
        <v>1563.4172789999998</v>
      </c>
      <c r="M15" s="167"/>
      <c r="N15" s="167"/>
      <c r="O15" s="167" t="str">
        <f>LEFT($B$2)&amp;'EB1'!$C$21&amp;$I$2&amp;'EB1'!$E$2</f>
        <v>RSHEGAS</v>
      </c>
      <c r="P15" s="172" t="str">
        <f>$D$2&amp;" "&amp;$C$2&amp; " Sector - "&amp;""&amp;$I$1&amp;" "&amp;'EB1'!$X$21&amp;" - "&amp;'EB1'!$E$3</f>
        <v>Demand Technologies Residential Sector - Existing Space Heating - Natural Gas</v>
      </c>
      <c r="Q15" s="167" t="str">
        <f t="shared" si="2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9">
        <f>SUM('EB1'!$G$5:$J$5,'EB1'!$L$5:$M$5)*'EB1'!$G$21/(G16*H16)*1.01</f>
        <v>91.648668585109078</v>
      </c>
      <c r="F16" s="84">
        <v>0.8</v>
      </c>
      <c r="G16" s="84">
        <v>0.3</v>
      </c>
      <c r="H16" s="86">
        <v>31.536000000000001</v>
      </c>
      <c r="I16" s="57">
        <v>15</v>
      </c>
      <c r="J16" s="5"/>
      <c r="K16" s="44">
        <f t="shared" si="4"/>
        <v>867.06972374999998</v>
      </c>
      <c r="M16" s="167"/>
      <c r="N16" s="167"/>
      <c r="O16" s="167" t="str">
        <f>LEFT($B$2)&amp;'EB1'!$C$21&amp;$I$2&amp;'EB1'!$F$2</f>
        <v>RSHEOIL</v>
      </c>
      <c r="P16" s="172" t="str">
        <f>$D$2&amp;" "&amp;$C$2&amp; " Sector - "&amp;""&amp;$I$1&amp;" "&amp;'EB1'!$X$21&amp;" - "&amp;RIGHT('EB1'!$F$3,3)</f>
        <v>Demand Technologies Residential Sector - Existing Space Heating - Oil</v>
      </c>
      <c r="Q16" s="167" t="str">
        <f t="shared" si="2"/>
        <v>PJ</v>
      </c>
      <c r="R16" s="167" t="s">
        <v>121</v>
      </c>
      <c r="S16" s="167"/>
      <c r="T16" s="167"/>
      <c r="U16" s="167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9">
        <f>'EB1'!$O$5*'EB1'!$O$21/(G17*H17)*1.01</f>
        <v>86.034979309360722</v>
      </c>
      <c r="F17" s="84">
        <v>0.8</v>
      </c>
      <c r="G17" s="84">
        <v>0.3</v>
      </c>
      <c r="H17" s="86">
        <v>31.536000000000001</v>
      </c>
      <c r="I17" s="57">
        <v>15</v>
      </c>
      <c r="J17" s="5"/>
      <c r="K17" s="44">
        <f t="shared" si="4"/>
        <v>813.95973225</v>
      </c>
      <c r="M17" s="167"/>
      <c r="N17" s="167"/>
      <c r="O17" s="167" t="str">
        <f>LEFT($B$2)&amp;'EB1'!$C$21&amp;$I$2&amp;'EB1'!$O$2</f>
        <v>RSHEBIO</v>
      </c>
      <c r="P17" s="172" t="str">
        <f>$D$2&amp;" "&amp;$C$2&amp; " Sector - "&amp;""&amp;$I$1&amp;" "&amp;'EB1'!$X$21&amp;" - "&amp;'EB1'!$O$3</f>
        <v>Demand Technologies Residential Sector - Existing Space Heating - Biomass</v>
      </c>
      <c r="Q17" s="167" t="str">
        <f t="shared" si="2"/>
        <v>PJ</v>
      </c>
      <c r="R17" s="167" t="s">
        <v>121</v>
      </c>
      <c r="S17" s="167"/>
      <c r="T17" s="167"/>
      <c r="U17" s="167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9">
        <f>'EB1'!$R$5*'EB1'!$R$21/(G18*H18)*1.01</f>
        <v>5.337814983933705</v>
      </c>
      <c r="F18" s="84">
        <v>1</v>
      </c>
      <c r="G18" s="84">
        <v>0.3</v>
      </c>
      <c r="H18" s="86">
        <v>31.536000000000001</v>
      </c>
      <c r="I18" s="57">
        <v>15</v>
      </c>
      <c r="J18" s="5"/>
      <c r="K18" s="44">
        <f>E18*G18*H18</f>
        <v>50.5</v>
      </c>
      <c r="M18" s="167"/>
      <c r="N18" s="167"/>
      <c r="O18" s="167" t="str">
        <f>LEFT($B$2)&amp;'EB1'!$C$21&amp;$I$2&amp;'EB1'!$R$2</f>
        <v>RSHESOL</v>
      </c>
      <c r="P18" s="172" t="str">
        <f>$D$2&amp;" "&amp;$C$2&amp; " Sector - "&amp;""&amp;$I$1&amp;" "&amp;'EB1'!$X$21&amp;" - "&amp;'EB1'!$R$3</f>
        <v>Demand Technologies Residential Sector - Existing Space Heating - Solar energy</v>
      </c>
      <c r="Q18" s="167" t="str">
        <f t="shared" si="2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6">
        <f>'EB1'!$U$5*'EB1'!$U$21/(G19*H19)*1.01</f>
        <v>15.328827477591748</v>
      </c>
      <c r="F19" s="130">
        <v>0.95</v>
      </c>
      <c r="G19" s="130">
        <v>0.3</v>
      </c>
      <c r="H19" s="131">
        <v>31.536000000000001</v>
      </c>
      <c r="I19" s="132">
        <v>15</v>
      </c>
      <c r="J19" s="39"/>
      <c r="K19" s="133">
        <f t="shared" si="4"/>
        <v>145.02297100000001</v>
      </c>
      <c r="M19" s="167"/>
      <c r="N19" s="167"/>
      <c r="O19" s="167" t="str">
        <f>LEFT($B$2)&amp;'EB1'!$C$21&amp;$I$2&amp;'EB1'!$U$2</f>
        <v>RSHEELC</v>
      </c>
      <c r="P19" s="172" t="str">
        <f>$D$2&amp;" "&amp;$C$2&amp; " Sector - "&amp;""&amp;$I$1&amp;" "&amp;'EB1'!$X$21&amp;" - "&amp;'EB1'!$U$3</f>
        <v>Demand Technologies Residential Sector - Existing Space Heating - Electricity</v>
      </c>
      <c r="Q19" s="167" t="str">
        <f t="shared" si="2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0"/>
        <v>RAPEELC</v>
      </c>
      <c r="C20" s="134" t="str">
        <f t="shared" si="3"/>
        <v>RSDELC</v>
      </c>
      <c r="D20" s="134" t="str">
        <f>$O$6</f>
        <v>DRAP</v>
      </c>
      <c r="E20" s="135">
        <f>'EB1'!$U$5*'EB1'!$U$22/(G20*H20)*1.01</f>
        <v>4350.6891300000007</v>
      </c>
      <c r="F20" s="136">
        <v>1</v>
      </c>
      <c r="G20" s="136">
        <v>0.3</v>
      </c>
      <c r="H20" s="152">
        <v>1</v>
      </c>
      <c r="I20" s="137">
        <v>5</v>
      </c>
      <c r="J20" s="39"/>
      <c r="K20" s="138">
        <f t="shared" si="4"/>
        <v>1305.2067390000002</v>
      </c>
      <c r="M20" s="173"/>
      <c r="N20" s="173"/>
      <c r="O20" s="173" t="str">
        <f>LEFT($B$2)&amp;'EB1'!$C$22&amp;$I$2&amp;'EB1'!$U$2</f>
        <v>RAPEELC</v>
      </c>
      <c r="P20" s="174" t="str">
        <f>$D$2&amp;" "&amp;$C$2&amp; " Sector - "&amp;""&amp;$I$1&amp;" "&amp;'EB1'!$X$22&amp;" - "&amp;'EB1'!$U$3</f>
        <v>Demand Technologies Residential Sector - Existing Appliancens - Electricity</v>
      </c>
      <c r="Q20" s="173" t="str">
        <f t="shared" si="2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9">
        <f>'EB1'!$D$5*'EB1'!$D$23/(G21*H21)*1.01</f>
        <v>780.26119166666672</v>
      </c>
      <c r="F21" s="84">
        <v>1</v>
      </c>
      <c r="G21" s="84">
        <v>0.3</v>
      </c>
      <c r="H21" s="153">
        <v>1</v>
      </c>
      <c r="I21" s="57">
        <v>10</v>
      </c>
      <c r="J21" s="39"/>
      <c r="K21" s="44">
        <f t="shared" si="4"/>
        <v>234.07835750000001</v>
      </c>
      <c r="M21" s="167"/>
      <c r="N21" s="167"/>
      <c r="O21" s="167" t="str">
        <f>LEFT($B$2)&amp;'EB1'!$C$23&amp;$I$2&amp;'EB1'!$D$2</f>
        <v>ROTECOA</v>
      </c>
      <c r="P21" s="172" t="str">
        <f>$D$2&amp;" "&amp;$C$2&amp; " Sector - "&amp;""&amp;$I$1&amp;" "&amp;'EB1'!$X$23&amp;" - "&amp;'EB1'!$D$3</f>
        <v>Demand Technologies Residential Sector - Existing Other - Solid Fuels</v>
      </c>
      <c r="Q21" s="167" t="str">
        <f t="shared" si="2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9">
        <f>'EB1'!$E$5*'EB1'!$E$23/(G22*H22)*1.01</f>
        <v>1737.13031</v>
      </c>
      <c r="F22" s="84">
        <v>1</v>
      </c>
      <c r="G22" s="84">
        <v>0.3</v>
      </c>
      <c r="H22" s="153">
        <v>1</v>
      </c>
      <c r="I22" s="57">
        <v>10</v>
      </c>
      <c r="J22" s="5"/>
      <c r="K22" s="44">
        <f t="shared" si="4"/>
        <v>521.139093</v>
      </c>
      <c r="M22" s="167"/>
      <c r="N22" s="167"/>
      <c r="O22" s="167" t="str">
        <f>LEFT($B$2)&amp;'EB1'!$C$23&amp;$I$2&amp;'EB1'!$E$2</f>
        <v>ROTEGAS</v>
      </c>
      <c r="P22" s="172" t="str">
        <f>$D$2&amp;" "&amp;$C$2&amp; " Sector - "&amp;""&amp;$I$1&amp;" "&amp;'EB1'!$X$23&amp;" - "&amp;'EB1'!$E$3</f>
        <v>Demand Technologies Residential Sector - Existing Other - Natural Gas</v>
      </c>
      <c r="Q22" s="167" t="str">
        <f t="shared" si="2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9">
        <f>SUM('EB1'!$G$5:$J$5,'EB1'!$L$5:$M$5)*'EB1'!$G$23/(G23*H23)*1.01</f>
        <v>963.41080416666671</v>
      </c>
      <c r="F23" s="84">
        <v>1</v>
      </c>
      <c r="G23" s="84">
        <v>0.3</v>
      </c>
      <c r="H23" s="153">
        <v>1</v>
      </c>
      <c r="I23" s="57">
        <v>10</v>
      </c>
      <c r="J23" s="5"/>
      <c r="K23" s="44">
        <f t="shared" si="4"/>
        <v>289.02324125000001</v>
      </c>
      <c r="M23" s="167"/>
      <c r="N23" s="167"/>
      <c r="O23" s="167" t="str">
        <f>LEFT($B$2)&amp;'EB1'!$C$23&amp;$I$2&amp;'EB1'!$F$2</f>
        <v>ROTEOIL</v>
      </c>
      <c r="P23" s="172" t="str">
        <f>$D$2&amp;" "&amp;$C$2&amp; " Sector - "&amp;""&amp;$I$1&amp;" "&amp;'EB1'!$X$23&amp;" - "&amp;RIGHT('EB1'!$F$3,3)</f>
        <v>Demand Technologies Residential Sector - Existing Other - Oil</v>
      </c>
      <c r="Q23" s="167" t="str">
        <f t="shared" si="2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9">
        <f>'EB1'!$O$5*'EB1'!$O$23/(G24*H24)*1.01</f>
        <v>301.46656749999994</v>
      </c>
      <c r="F24" s="84">
        <v>1</v>
      </c>
      <c r="G24" s="84">
        <v>0.3</v>
      </c>
      <c r="H24" s="153">
        <v>1</v>
      </c>
      <c r="I24" s="57">
        <v>10</v>
      </c>
      <c r="J24" s="5"/>
      <c r="K24" s="44">
        <f>E24*G24*H24</f>
        <v>90.439970249999973</v>
      </c>
      <c r="M24" s="167"/>
      <c r="N24" s="167"/>
      <c r="O24" s="167" t="str">
        <f>LEFT($B$2)&amp;'EB1'!$C$23&amp;$I$2&amp;'EB1'!$O$2</f>
        <v>ROTEBIO</v>
      </c>
      <c r="P24" s="172" t="str">
        <f>$D$2&amp;" "&amp;$C$2&amp; " Sector - "&amp;""&amp;$I$1&amp;" "&amp;'EB1'!$X$23&amp;" - "&amp;'EB1'!$O$3</f>
        <v>Demand Technologies Residential Sector - Existing Other - Biomass</v>
      </c>
      <c r="Q24" s="167" t="str">
        <f t="shared" si="2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7">
        <f>'EB1'!$U$5*'EB1'!$U$23/(G25*H25)*1.01</f>
        <v>0</v>
      </c>
      <c r="F25" s="84">
        <v>1</v>
      </c>
      <c r="G25" s="84">
        <v>0.3</v>
      </c>
      <c r="H25" s="153">
        <v>1</v>
      </c>
      <c r="I25" s="57">
        <v>10</v>
      </c>
      <c r="J25" s="5"/>
      <c r="K25" s="44">
        <f>E25*G25*H25</f>
        <v>0</v>
      </c>
      <c r="M25" s="167"/>
      <c r="N25" s="167"/>
      <c r="O25" s="167" t="str">
        <f>LEFT($B$2)&amp;'EB1'!$C$23&amp;$I$2&amp;'EB1'!$U$2</f>
        <v>ROTEELC</v>
      </c>
      <c r="P25" s="172" t="str">
        <f>$D$2&amp;" "&amp;$C$2&amp; " Sector - "&amp;""&amp;$I$1&amp;" "&amp;'EB1'!$X$23&amp;" - "&amp;'EB1'!$U$3</f>
        <v>Demand Technologies Residential Sector - Existing Other - Electricity</v>
      </c>
      <c r="Q25" s="167" t="str">
        <f t="shared" si="2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16" sqref="E1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'EB1'!Z2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5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2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1" t="s">
        <v>35</v>
      </c>
      <c r="C9" s="1" t="str">
        <f>DemTechs_RSD!$O$5</f>
        <v>DRSH</v>
      </c>
      <c r="D9" s="41" t="s">
        <v>76</v>
      </c>
      <c r="E9" s="144">
        <f>SUM(DemTechs_RSD!K14:K19)</f>
        <v>3439.9697059999994</v>
      </c>
      <c r="G9" s="1" t="s">
        <v>125</v>
      </c>
      <c r="H9" s="1" t="str">
        <f>DemTechs_RSD!$O$5</f>
        <v>DRSH</v>
      </c>
      <c r="I9" s="40" t="s">
        <v>126</v>
      </c>
      <c r="J9" s="81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4">
        <f>SUM(DemTechs_RSD!K20)</f>
        <v>1305.2067390000002</v>
      </c>
      <c r="G10" s="1" t="s">
        <v>125</v>
      </c>
      <c r="H10" s="1" t="str">
        <f>DemTechs_RSD!$O$5</f>
        <v>DRSH</v>
      </c>
      <c r="I10" s="40" t="s">
        <v>127</v>
      </c>
      <c r="J10" s="81">
        <v>0</v>
      </c>
    </row>
    <row r="11" spans="2:11" x14ac:dyDescent="0.2">
      <c r="B11" s="30" t="s">
        <v>35</v>
      </c>
      <c r="C11" s="42" t="str">
        <f>DemTechs_RSD!$O$7</f>
        <v>DROT</v>
      </c>
      <c r="D11" s="42" t="s">
        <v>76</v>
      </c>
      <c r="E11" s="145">
        <f>SUM(DemTechs_RSD!K21:K25)</f>
        <v>1134.680662</v>
      </c>
      <c r="G11" s="1" t="s">
        <v>125</v>
      </c>
      <c r="H11" s="1" t="str">
        <f>DemTechs_RSD!$O$5</f>
        <v>DRSH</v>
      </c>
      <c r="I11" s="40" t="s">
        <v>128</v>
      </c>
      <c r="J11" s="81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4">
        <f>SUM(DemTechs_COM!K14:K19)</f>
        <v>904.4072017499999</v>
      </c>
      <c r="G12" s="42" t="s">
        <v>125</v>
      </c>
      <c r="H12" s="42" t="str">
        <f>DemTechs_RSD!$O$5</f>
        <v>DRSH</v>
      </c>
      <c r="I12" s="43" t="s">
        <v>129</v>
      </c>
      <c r="J12" s="87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4">
        <f>SUM(DemTechs_COM!K20)</f>
        <v>1148.6992095000001</v>
      </c>
      <c r="G13" s="1" t="s">
        <v>125</v>
      </c>
      <c r="H13" s="1" t="str">
        <f>DemTechs_RSD!$O$6</f>
        <v>DRAP</v>
      </c>
      <c r="I13" s="40" t="s">
        <v>126</v>
      </c>
      <c r="J13" s="140">
        <v>0.3</v>
      </c>
    </row>
    <row r="14" spans="2:11" x14ac:dyDescent="0.2">
      <c r="B14" s="30" t="s">
        <v>35</v>
      </c>
      <c r="C14" s="42" t="str">
        <f>DemTechs_COM!$O$7</f>
        <v>DCOT</v>
      </c>
      <c r="D14" s="42" t="s">
        <v>76</v>
      </c>
      <c r="E14" s="145">
        <f>SUM(DemTechs_COM!K21:K25)</f>
        <v>446.94027625000001</v>
      </c>
      <c r="G14" s="1" t="s">
        <v>125</v>
      </c>
      <c r="H14" s="1" t="str">
        <f>DemTechs_RSD!$O$6</f>
        <v>DRAP</v>
      </c>
      <c r="I14" s="40" t="s">
        <v>127</v>
      </c>
      <c r="J14" s="140">
        <v>0.25</v>
      </c>
    </row>
    <row r="15" spans="2:11" x14ac:dyDescent="0.2">
      <c r="B15" s="30" t="s">
        <v>35</v>
      </c>
      <c r="C15" s="42" t="str">
        <f>DemTechs_AGR!N5</f>
        <v>DAOT</v>
      </c>
      <c r="D15" s="42" t="s">
        <v>76</v>
      </c>
      <c r="E15" s="146">
        <f>SUM('EB1'!D8:E8,'EB1'!G8:J8,'EB1'!L8:M8,'EB1'!O8,'EB1'!U8)</f>
        <v>564.84090000000003</v>
      </c>
      <c r="G15" s="1" t="s">
        <v>125</v>
      </c>
      <c r="H15" s="1" t="str">
        <f>DemTechs_RSD!$O$6</f>
        <v>DRAP</v>
      </c>
      <c r="I15" s="40" t="s">
        <v>128</v>
      </c>
      <c r="J15" s="140">
        <v>0.2</v>
      </c>
      <c r="K15" s="21"/>
    </row>
    <row r="16" spans="2:11" x14ac:dyDescent="0.2">
      <c r="G16" s="42" t="s">
        <v>125</v>
      </c>
      <c r="H16" s="42" t="str">
        <f>DemTechs_RSD!$O$6</f>
        <v>DRAP</v>
      </c>
      <c r="I16" s="43" t="s">
        <v>129</v>
      </c>
      <c r="J16" s="87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0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0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0" t="s">
        <v>128</v>
      </c>
      <c r="J19" s="140">
        <v>0.25</v>
      </c>
    </row>
    <row r="20" spans="2:10" x14ac:dyDescent="0.2">
      <c r="G20" s="42" t="s">
        <v>125</v>
      </c>
      <c r="H20" s="42" t="str">
        <f>DemTechs_RSD!$O$7</f>
        <v>DROT</v>
      </c>
      <c r="I20" s="43" t="s">
        <v>129</v>
      </c>
      <c r="J20" s="87">
        <v>0.25</v>
      </c>
    </row>
    <row r="21" spans="2:10" x14ac:dyDescent="0.2">
      <c r="G21" s="1" t="s">
        <v>125</v>
      </c>
      <c r="H21" s="1" t="str">
        <f>DemTechs_COM!$O$5</f>
        <v>DCSH</v>
      </c>
      <c r="I21" s="40" t="s">
        <v>126</v>
      </c>
      <c r="J21" s="81">
        <v>0.1</v>
      </c>
    </row>
    <row r="22" spans="2:10" x14ac:dyDescent="0.2">
      <c r="G22" s="1" t="s">
        <v>125</v>
      </c>
      <c r="H22" s="1" t="str">
        <f>DemTechs_COM!$O$5</f>
        <v>DCSH</v>
      </c>
      <c r="I22" s="40" t="s">
        <v>127</v>
      </c>
      <c r="J22" s="81">
        <v>0.1</v>
      </c>
    </row>
    <row r="23" spans="2:10" x14ac:dyDescent="0.2">
      <c r="G23" s="1" t="s">
        <v>125</v>
      </c>
      <c r="H23" s="1" t="str">
        <f>DemTechs_COM!$O$5</f>
        <v>DCSH</v>
      </c>
      <c r="I23" s="40" t="s">
        <v>128</v>
      </c>
      <c r="J23" s="81">
        <f>1-J21-J22-J24</f>
        <v>0.4</v>
      </c>
    </row>
    <row r="24" spans="2:10" x14ac:dyDescent="0.2">
      <c r="G24" s="42" t="s">
        <v>125</v>
      </c>
      <c r="H24" s="42" t="str">
        <f>DemTechs_COM!$O$5</f>
        <v>DCSH</v>
      </c>
      <c r="I24" s="43" t="s">
        <v>129</v>
      </c>
      <c r="J24" s="87">
        <v>0.4</v>
      </c>
    </row>
    <row r="25" spans="2:10" x14ac:dyDescent="0.2">
      <c r="G25" s="1" t="s">
        <v>125</v>
      </c>
      <c r="H25" s="1" t="str">
        <f>DemTechs_COM!$O$6</f>
        <v>DCAP</v>
      </c>
      <c r="I25" s="40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0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0" t="s">
        <v>128</v>
      </c>
      <c r="J27" s="140">
        <v>0.25</v>
      </c>
    </row>
    <row r="28" spans="2:10" x14ac:dyDescent="0.2">
      <c r="G28" s="42" t="s">
        <v>125</v>
      </c>
      <c r="H28" s="42" t="str">
        <f>DemTechs_COM!$O$6</f>
        <v>DCAP</v>
      </c>
      <c r="I28" s="43" t="s">
        <v>129</v>
      </c>
      <c r="J28" s="87">
        <v>0.25</v>
      </c>
    </row>
    <row r="29" spans="2:10" x14ac:dyDescent="0.2">
      <c r="G29" s="1" t="s">
        <v>125</v>
      </c>
      <c r="H29" s="1" t="str">
        <f>DemTechs_COM!$O$7</f>
        <v>DCOT</v>
      </c>
      <c r="I29" s="40" t="s">
        <v>126</v>
      </c>
      <c r="J29" s="140">
        <v>0.25</v>
      </c>
    </row>
    <row r="30" spans="2:10" x14ac:dyDescent="0.2">
      <c r="B30" s="57"/>
      <c r="C30" s="1" t="s">
        <v>156</v>
      </c>
      <c r="G30" s="1" t="s">
        <v>125</v>
      </c>
      <c r="H30" s="1" t="str">
        <f>DemTechs_COM!$O$7</f>
        <v>DCOT</v>
      </c>
      <c r="I30" s="40" t="s">
        <v>127</v>
      </c>
      <c r="J30" s="140">
        <v>0.25</v>
      </c>
    </row>
    <row r="31" spans="2:10" x14ac:dyDescent="0.2">
      <c r="B31" s="80"/>
      <c r="C31" s="1" t="s">
        <v>157</v>
      </c>
      <c r="G31" s="1" t="s">
        <v>125</v>
      </c>
      <c r="H31" s="1" t="str">
        <f>DemTechs_COM!$O$7</f>
        <v>DCOT</v>
      </c>
      <c r="I31" s="40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