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"/>
    </mc:Choice>
  </mc:AlternateContent>
  <xr:revisionPtr revIDLastSave="0" documentId="8_{ACE0778F-609E-4359-87F7-4B6BD03F71BD}" xr6:coauthVersionLast="45" xr6:coauthVersionMax="45" xr10:uidLastSave="{00000000-0000-0000-0000-000000000000}"/>
  <bookViews>
    <workbookView xWindow="390" yWindow="390" windowWidth="15375" windowHeight="7875" tabRatio="901" activeTab="4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41" l="1"/>
  <c r="T23" i="141"/>
  <c r="T17" i="141"/>
  <c r="O26" i="133"/>
  <c r="D5" i="133"/>
  <c r="E5" i="133"/>
  <c r="F5" i="133"/>
  <c r="F13" i="133" s="1"/>
  <c r="G5" i="133"/>
  <c r="H5" i="133"/>
  <c r="I5" i="133"/>
  <c r="I13" i="133" s="1"/>
  <c r="J5" i="133"/>
  <c r="J13" i="133" s="1"/>
  <c r="K5" i="133"/>
  <c r="L5" i="133"/>
  <c r="M5" i="133"/>
  <c r="N5" i="133"/>
  <c r="N13" i="133" s="1"/>
  <c r="O5" i="133"/>
  <c r="P5" i="133"/>
  <c r="Q5" i="133"/>
  <c r="R5" i="133"/>
  <c r="S5" i="133"/>
  <c r="T5" i="133"/>
  <c r="U5" i="133"/>
  <c r="U13" i="133" s="1"/>
  <c r="D6" i="133"/>
  <c r="E6" i="133"/>
  <c r="F6" i="133"/>
  <c r="V6" i="133" s="1"/>
  <c r="G6" i="133"/>
  <c r="G13" i="133" s="1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D13" i="133" s="1"/>
  <c r="E7" i="133"/>
  <c r="F7" i="133"/>
  <c r="G7" i="133"/>
  <c r="H7" i="133"/>
  <c r="H13" i="133" s="1"/>
  <c r="I7" i="133"/>
  <c r="J7" i="133"/>
  <c r="K7" i="133"/>
  <c r="L7" i="133"/>
  <c r="L13" i="133" s="1"/>
  <c r="M7" i="133"/>
  <c r="N7" i="133"/>
  <c r="O7" i="133"/>
  <c r="O13" i="133" s="1"/>
  <c r="P7" i="133"/>
  <c r="Q7" i="133"/>
  <c r="R7" i="133"/>
  <c r="S7" i="133"/>
  <c r="S13" i="133" s="1"/>
  <c r="T7" i="133"/>
  <c r="U7" i="133"/>
  <c r="D8" i="133"/>
  <c r="E8" i="133"/>
  <c r="F8" i="133"/>
  <c r="G8" i="133"/>
  <c r="H8" i="133"/>
  <c r="I8" i="133"/>
  <c r="J8" i="133"/>
  <c r="K8" i="133"/>
  <c r="V8" i="133" s="1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E13" i="141"/>
  <c r="M13" i="141"/>
  <c r="F9" i="133"/>
  <c r="G9" i="133"/>
  <c r="H9" i="133"/>
  <c r="I9" i="133"/>
  <c r="E15" i="141" s="1"/>
  <c r="M15" i="141" s="1"/>
  <c r="J9" i="133"/>
  <c r="K9" i="133"/>
  <c r="L9" i="133"/>
  <c r="M9" i="133"/>
  <c r="M13" i="133" s="1"/>
  <c r="N9" i="133"/>
  <c r="O9" i="133"/>
  <c r="E17" i="141"/>
  <c r="M17" i="141"/>
  <c r="E23" i="141"/>
  <c r="M23" i="141" s="1"/>
  <c r="P9" i="133"/>
  <c r="Q9" i="133"/>
  <c r="R9" i="133"/>
  <c r="S9" i="133"/>
  <c r="T9" i="133"/>
  <c r="U9" i="133"/>
  <c r="E18" i="141" s="1"/>
  <c r="M18" i="141" s="1"/>
  <c r="D10" i="133"/>
  <c r="E10" i="133"/>
  <c r="F10" i="133"/>
  <c r="G10" i="133"/>
  <c r="H10" i="133"/>
  <c r="V10" i="133" s="1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T13" i="133" s="1"/>
  <c r="U10" i="133"/>
  <c r="D11" i="133"/>
  <c r="E11" i="133"/>
  <c r="E13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V12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E20" i="141"/>
  <c r="M20" i="141"/>
  <c r="I26" i="133"/>
  <c r="J26" i="133"/>
  <c r="E22" i="141" s="1"/>
  <c r="M22" i="141" s="1"/>
  <c r="U26" i="133"/>
  <c r="F2" i="152"/>
  <c r="E2" i="152"/>
  <c r="O21" i="152"/>
  <c r="T24" i="141"/>
  <c r="T22" i="141"/>
  <c r="T21" i="141"/>
  <c r="T20" i="141"/>
  <c r="T19" i="141"/>
  <c r="T18" i="141"/>
  <c r="T13" i="141"/>
  <c r="E2" i="134"/>
  <c r="E8" i="134"/>
  <c r="C2" i="152"/>
  <c r="M9" i="152" s="1"/>
  <c r="M20" i="152" s="1"/>
  <c r="B2" i="152"/>
  <c r="L7" i="152" s="1"/>
  <c r="L10" i="152"/>
  <c r="L21" i="152" s="1"/>
  <c r="B21" i="152" s="1"/>
  <c r="T16" i="141"/>
  <c r="T15" i="141"/>
  <c r="T14" i="141"/>
  <c r="E12" i="141"/>
  <c r="E2" i="141"/>
  <c r="C2" i="141"/>
  <c r="R23" i="141"/>
  <c r="B2" i="141"/>
  <c r="F2" i="141"/>
  <c r="I12" i="141"/>
  <c r="G2" i="134"/>
  <c r="L5" i="152"/>
  <c r="C6" i="149" s="1"/>
  <c r="R14" i="141"/>
  <c r="Q22" i="141"/>
  <c r="B22" i="141" s="1"/>
  <c r="M7" i="152"/>
  <c r="M18" i="152" s="1"/>
  <c r="M8" i="152"/>
  <c r="M19" i="152" s="1"/>
  <c r="F15" i="152"/>
  <c r="O17" i="152"/>
  <c r="R13" i="141"/>
  <c r="R15" i="141"/>
  <c r="N19" i="152"/>
  <c r="N20" i="152"/>
  <c r="N10" i="152"/>
  <c r="O18" i="152"/>
  <c r="R21" i="141"/>
  <c r="N9" i="152"/>
  <c r="R24" i="141"/>
  <c r="R16" i="141"/>
  <c r="R5" i="141"/>
  <c r="N16" i="152"/>
  <c r="Q16" i="141"/>
  <c r="B16" i="141" s="1"/>
  <c r="N6" i="152"/>
  <c r="R20" i="141"/>
  <c r="O20" i="152"/>
  <c r="R6" i="141"/>
  <c r="R22" i="141"/>
  <c r="R19" i="141"/>
  <c r="N17" i="152"/>
  <c r="N21" i="152"/>
  <c r="O19" i="152"/>
  <c r="N18" i="152"/>
  <c r="O16" i="152"/>
  <c r="N8" i="152"/>
  <c r="R7" i="141"/>
  <c r="D16" i="152"/>
  <c r="C16" i="152" s="1"/>
  <c r="N7" i="152"/>
  <c r="N5" i="152"/>
  <c r="Q18" i="141"/>
  <c r="B18" i="141" s="1"/>
  <c r="R17" i="141"/>
  <c r="R18" i="141"/>
  <c r="E14" i="141"/>
  <c r="M14" i="141"/>
  <c r="E19" i="141"/>
  <c r="M19" i="141"/>
  <c r="V7" i="133"/>
  <c r="K13" i="133"/>
  <c r="L6" i="152"/>
  <c r="L17" i="152" s="1"/>
  <c r="B17" i="152" s="1"/>
  <c r="D17" i="152"/>
  <c r="C17" i="152" s="1"/>
  <c r="E16" i="141"/>
  <c r="M16" i="141" s="1"/>
  <c r="V11" i="133"/>
  <c r="E6" i="149" l="1"/>
  <c r="L18" i="152"/>
  <c r="B18" i="152" s="1"/>
  <c r="D18" i="152"/>
  <c r="C18" i="152" s="1"/>
  <c r="C17" i="141"/>
  <c r="E9" i="134"/>
  <c r="Q6" i="141"/>
  <c r="Q20" i="141"/>
  <c r="B20" i="141" s="1"/>
  <c r="Q21" i="141"/>
  <c r="B21" i="141" s="1"/>
  <c r="D6" i="149"/>
  <c r="C18" i="141"/>
  <c r="C16" i="141"/>
  <c r="Q23" i="141"/>
  <c r="B23" i="141" s="1"/>
  <c r="C23" i="141" s="1"/>
  <c r="Q5" i="141"/>
  <c r="C22" i="141"/>
  <c r="Q24" i="141"/>
  <c r="B24" i="141" s="1"/>
  <c r="C24" i="141" s="1"/>
  <c r="L8" i="152"/>
  <c r="C19" i="141"/>
  <c r="E24" i="141"/>
  <c r="M24" i="141" s="1"/>
  <c r="E21" i="141"/>
  <c r="M21" i="141" s="1"/>
  <c r="E10" i="134" s="1"/>
  <c r="L9" i="152"/>
  <c r="D21" i="152"/>
  <c r="C21" i="152" s="1"/>
  <c r="V5" i="133"/>
  <c r="V13" i="133" s="1"/>
  <c r="Q14" i="141"/>
  <c r="B14" i="141" s="1"/>
  <c r="Q15" i="141"/>
  <c r="B15" i="141" s="1"/>
  <c r="Q13" i="141"/>
  <c r="B13" i="141" s="1"/>
  <c r="C13" i="141" s="1"/>
  <c r="M5" i="152"/>
  <c r="M16" i="152" s="1"/>
  <c r="Q17" i="141"/>
  <c r="B17" i="141" s="1"/>
  <c r="L16" i="152"/>
  <c r="B16" i="152" s="1"/>
  <c r="C14" i="141"/>
  <c r="M6" i="152"/>
  <c r="M17" i="152" s="1"/>
  <c r="C15" i="141"/>
  <c r="Q7" i="141"/>
  <c r="B8" i="149" s="1"/>
  <c r="C20" i="141"/>
  <c r="Q19" i="141"/>
  <c r="B19" i="141" s="1"/>
  <c r="C21" i="141"/>
  <c r="M10" i="152"/>
  <c r="M21" i="152" s="1"/>
  <c r="D18" i="141" l="1"/>
  <c r="D14" i="141"/>
  <c r="D13" i="141"/>
  <c r="C9" i="134"/>
  <c r="D17" i="141"/>
  <c r="H9" i="134"/>
  <c r="H11" i="134"/>
  <c r="D15" i="141"/>
  <c r="H10" i="134"/>
  <c r="D16" i="141"/>
  <c r="H12" i="134"/>
  <c r="D20" i="152"/>
  <c r="C20" i="152" s="1"/>
  <c r="L20" i="152"/>
  <c r="B20" i="152" s="1"/>
  <c r="F6" i="149"/>
  <c r="L19" i="152"/>
  <c r="B19" i="152" s="1"/>
  <c r="D19" i="152"/>
  <c r="C19" i="152" s="1"/>
  <c r="D23" i="141"/>
  <c r="D21" i="141"/>
  <c r="H16" i="134"/>
  <c r="H15" i="134"/>
  <c r="D22" i="141"/>
  <c r="C10" i="134"/>
  <c r="D24" i="141"/>
  <c r="D20" i="141"/>
  <c r="D19" i="141"/>
  <c r="H14" i="134"/>
  <c r="H13" i="134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<sst xmlns="http://schemas.openxmlformats.org/spreadsheetml/2006/main" count="338" uniqueCount="185">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</sst>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7" applyNumberFormat="0" applyAlignment="0" applyProtection="0"/>
    <xf numFmtId="171" fontId="18" fillId="0" borderId="0" applyFont="0" applyFill="0" applyBorder="0" applyAlignment="0" applyProtection="0"/>
    <xf numFmtId="0" fontId="21" fillId="9" borderId="0" applyNumberFormat="0" applyBorder="0" applyAlignment="0" applyProtection="0"/>
    <xf numFmtId="0" fontId="22" fillId="10" borderId="17" applyNumberFormat="0" applyAlignment="0" applyProtection="0"/>
    <xf numFmtId="0" fontId="23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50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7" borderId="0" xfId="4"/>
    <xf numFmtId="0" fontId="24" fillId="0" borderId="0" xfId="7" applyFont="1" applyFill="1"/>
    <xf numFmtId="0" fontId="24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24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7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1" fontId="28" fillId="13" borderId="0" xfId="2" applyNumberFormat="1" applyFont="1" applyFill="1" applyBorder="1" applyAlignment="1">
      <alignment horizontal="right" wrapText="1"/>
    </xf>
    <xf numFmtId="0" fontId="19" fillId="0" borderId="0" xfId="4" applyFill="1"/>
    <xf numFmtId="0" fontId="24" fillId="12" borderId="0" xfId="7" quotePrefix="1" applyFont="1" applyFill="1"/>
    <xf numFmtId="0" fontId="25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2" applyFont="1" applyFill="1" applyBorder="1" applyAlignment="1">
      <alignment horizontal="left" vertical="center"/>
    </xf>
    <xf numFmtId="0" fontId="3" fillId="2" borderId="3" xfId="12" applyFont="1" applyFill="1" applyBorder="1" applyAlignment="1">
      <alignment horizontal="left" vertical="center"/>
    </xf>
    <xf numFmtId="0" fontId="29" fillId="0" borderId="0" xfId="0" applyFont="1" applyFill="1"/>
    <xf numFmtId="0" fontId="24" fillId="12" borderId="0" xfId="7" applyFont="1" applyFill="1" applyAlignment="1">
      <alignment horizontal="left"/>
    </xf>
    <xf numFmtId="0" fontId="29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9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22" fillId="10" borderId="0" xfId="8" applyNumberFormat="1" applyBorder="1" applyAlignment="1"/>
    <xf numFmtId="1" fontId="20" fillId="8" borderId="4" xfId="5" applyNumberFormat="1" applyBorder="1" applyAlignment="1">
      <alignment horizontal="right"/>
    </xf>
    <xf numFmtId="1" fontId="20" fillId="8" borderId="5" xfId="5" applyNumberFormat="1" applyBorder="1" applyAlignment="1">
      <alignment horizontal="right"/>
    </xf>
    <xf numFmtId="187" fontId="20" fillId="8" borderId="6" xfId="5" applyNumberFormat="1" applyBorder="1" applyAlignment="1">
      <alignment horizontal="right" vertical="center"/>
    </xf>
    <xf numFmtId="187" fontId="13" fillId="15" borderId="7" xfId="0" applyNumberFormat="1" applyFont="1" applyFill="1" applyBorder="1" applyAlignment="1">
      <alignment horizontal="lef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0" fontId="27" fillId="0" borderId="6" xfId="0" applyFont="1" applyBorder="1" applyAlignment="1">
      <alignment horizontal="center"/>
    </xf>
    <xf numFmtId="0" fontId="29" fillId="14" borderId="12" xfId="0" applyFont="1" applyFill="1" applyBorder="1" applyAlignment="1">
      <alignment wrapText="1"/>
    </xf>
    <xf numFmtId="0" fontId="29" fillId="14" borderId="5" xfId="0" applyFont="1" applyFill="1" applyBorder="1" applyAlignment="1">
      <alignment wrapText="1"/>
    </xf>
    <xf numFmtId="0" fontId="29" fillId="14" borderId="6" xfId="0" applyFont="1" applyFill="1" applyBorder="1" applyAlignment="1">
      <alignment wrapText="1"/>
    </xf>
    <xf numFmtId="0" fontId="30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9" applyNumberFormat="1" applyFont="1" applyFill="1"/>
    <xf numFmtId="0" fontId="31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3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25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19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29" fillId="14" borderId="0" xfId="0" applyFont="1" applyFill="1" applyBorder="1"/>
    <xf numFmtId="9" fontId="13" fillId="15" borderId="10" xfId="17" applyFont="1" applyFill="1" applyBorder="1" applyAlignment="1">
      <alignment horizontal="left" vertical="center"/>
    </xf>
    <xf numFmtId="9" fontId="13" fillId="15" borderId="1" xfId="17" applyFont="1" applyFill="1" applyBorder="1" applyAlignment="1">
      <alignment horizontal="left" vertical="center"/>
    </xf>
    <xf numFmtId="9" fontId="13" fillId="15" borderId="11" xfId="17" applyFont="1" applyFill="1" applyBorder="1" applyAlignment="1">
      <alignment horizontal="left" vertical="center"/>
    </xf>
    <xf numFmtId="9" fontId="13" fillId="15" borderId="2" xfId="17" applyFont="1" applyFill="1" applyBorder="1" applyAlignment="1">
      <alignment horizontal="left" vertical="center"/>
    </xf>
    <xf numFmtId="9" fontId="22" fillId="10" borderId="1" xfId="17" applyFont="1" applyFill="1" applyBorder="1" applyAlignment="1"/>
    <xf numFmtId="9" fontId="22" fillId="10" borderId="16" xfId="17" applyFont="1" applyFill="1" applyBorder="1" applyAlignment="1"/>
    <xf numFmtId="9" fontId="22" fillId="10" borderId="2" xfId="17" applyFont="1" applyFill="1" applyBorder="1" applyAlignment="1"/>
    <xf numFmtId="9" fontId="22" fillId="10" borderId="14" xfId="17" applyFont="1" applyFill="1" applyBorder="1" applyAlignment="1"/>
    <xf numFmtId="9" fontId="4" fillId="0" borderId="0" xfId="2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8" fillId="13" borderId="2" xfId="2" applyNumberFormat="1" applyFont="1" applyFill="1" applyBorder="1" applyAlignment="1">
      <alignment horizontal="right" wrapText="1"/>
    </xf>
    <xf numFmtId="0" fontId="4" fillId="0" borderId="0" xfId="10" applyFont="1" applyFill="1" applyBorder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6" xfId="0" applyNumberFormat="1" applyFont="1" applyFill="1" applyBorder="1" applyAlignment="1">
      <alignment horizontal="center" vertical="center"/>
    </xf>
    <xf numFmtId="187" fontId="13" fillId="15" borderId="5" xfId="0" applyNumberFormat="1" applyFont="1" applyFill="1" applyBorder="1" applyAlignment="1">
      <alignment horizontal="center" vertical="center"/>
    </xf>
    <xf numFmtId="1" fontId="28" fillId="13" borderId="1" xfId="2" applyNumberFormat="1" applyFont="1" applyFill="1" applyBorder="1" applyAlignment="1">
      <alignment horizontal="center" wrapText="1"/>
    </xf>
    <xf numFmtId="1" fontId="28" fillId="13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0" xfId="0" applyNumberFormat="1" applyFont="1" applyFill="1" applyBorder="1"/>
  </cellXfs>
  <cellStyles count="23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4" xfId="20"/>
    <cellStyle name="Percent 5" xfId="21"/>
    <cellStyle name="Standard_Sce_D_Extraction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593853-EFB1-4714-84A6-211539765370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165" name="Picture 6">
          <a:extLst>
            <a:ext uri="{FF2B5EF4-FFF2-40B4-BE49-F238E27FC236}">
              <a16:creationId xmlns:a16="http://schemas.microsoft.com/office/drawing/2014/main" id="{7332B4D3-FBB2-4212-8AEB-C5D93693D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166" name="Picture 8">
          <a:extLst>
            <a:ext uri="{FF2B5EF4-FFF2-40B4-BE49-F238E27FC236}">
              <a16:creationId xmlns:a16="http://schemas.microsoft.com/office/drawing/2014/main" id="{AB0BBCB3-945D-4126-9D98-4FF9E1A92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167" name="Picture 4">
          <a:extLst>
            <a:ext uri="{FF2B5EF4-FFF2-40B4-BE49-F238E27FC236}">
              <a16:creationId xmlns:a16="http://schemas.microsoft.com/office/drawing/2014/main" id="{EBA4D564-D19B-440C-A9C1-E9BB7E7ED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168" name="Picture 5">
          <a:extLst>
            <a:ext uri="{FF2B5EF4-FFF2-40B4-BE49-F238E27FC236}">
              <a16:creationId xmlns:a16="http://schemas.microsoft.com/office/drawing/2014/main" id="{BEEE8942-6074-4DAB-AB58-5B6E23DAD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4287CD-D88D-482D-A70F-AC0DC297C577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BF71FC-D8BD-4ED1-B100-3290FE2DF8C1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8A959D-BE1B-4AB0-AC09-8D1885E0B005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8854FA-3D96-44C8-A215-26E17A918C48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="80" zoomScaleNormal="8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4" t="s">
        <v>44</v>
      </c>
      <c r="E2" s="54" t="s">
        <v>45</v>
      </c>
      <c r="F2" s="54" t="s">
        <v>46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 t="s">
        <v>47</v>
      </c>
      <c r="O2" s="54" t="s">
        <v>167</v>
      </c>
      <c r="P2" s="54" t="s">
        <v>168</v>
      </c>
      <c r="Q2" s="54" t="s">
        <v>169</v>
      </c>
      <c r="R2" s="54" t="s">
        <v>170</v>
      </c>
      <c r="S2" s="54" t="s">
        <v>48</v>
      </c>
      <c r="T2" s="54" t="s">
        <v>49</v>
      </c>
      <c r="U2" s="54" t="s">
        <v>50</v>
      </c>
      <c r="V2" s="54" t="s">
        <v>175</v>
      </c>
      <c r="X2" s="8"/>
      <c r="Y2" s="53" t="s">
        <v>156</v>
      </c>
      <c r="Z2" s="14" t="s">
        <v>76</v>
      </c>
      <c r="AA2" s="14" t="s">
        <v>104</v>
      </c>
    </row>
    <row r="3" spans="1:27" ht="38.25" x14ac:dyDescent="0.2">
      <c r="C3" s="74" t="s">
        <v>126</v>
      </c>
      <c r="D3" s="55" t="s">
        <v>51</v>
      </c>
      <c r="E3" s="55" t="s">
        <v>52</v>
      </c>
      <c r="F3" s="55" t="s">
        <v>128</v>
      </c>
      <c r="G3" s="55" t="s">
        <v>141</v>
      </c>
      <c r="H3" s="55" t="s">
        <v>138</v>
      </c>
      <c r="I3" s="55" t="s">
        <v>131</v>
      </c>
      <c r="J3" s="55" t="s">
        <v>139</v>
      </c>
      <c r="K3" s="55" t="s">
        <v>140</v>
      </c>
      <c r="L3" s="55" t="s">
        <v>136</v>
      </c>
      <c r="M3" s="55" t="s">
        <v>137</v>
      </c>
      <c r="N3" s="55" t="s">
        <v>53</v>
      </c>
      <c r="O3" s="55" t="s">
        <v>176</v>
      </c>
      <c r="P3" s="55" t="s">
        <v>172</v>
      </c>
      <c r="Q3" s="55" t="s">
        <v>173</v>
      </c>
      <c r="R3" s="55" t="s">
        <v>174</v>
      </c>
      <c r="S3" s="55" t="s">
        <v>54</v>
      </c>
      <c r="T3" s="55" t="s">
        <v>55</v>
      </c>
      <c r="U3" s="55" t="s">
        <v>88</v>
      </c>
      <c r="V3" s="55" t="s">
        <v>56</v>
      </c>
    </row>
    <row r="4" spans="1:27" x14ac:dyDescent="0.2">
      <c r="B4" s="52"/>
      <c r="C4" s="96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7"/>
    </row>
    <row r="5" spans="1:27" x14ac:dyDescent="0.2">
      <c r="A5" s="6"/>
      <c r="B5" s="56" t="s">
        <v>58</v>
      </c>
      <c r="C5" s="64" t="s">
        <v>59</v>
      </c>
      <c r="D5" s="98">
        <f>[2]EB1!D16</f>
        <v>231.76075</v>
      </c>
      <c r="E5" s="98">
        <f>[2]EB1!E16</f>
        <v>2063.9171999999999</v>
      </c>
      <c r="F5" s="98">
        <f>[2]EB1!F16</f>
        <v>0</v>
      </c>
      <c r="G5" s="98">
        <f>[2]EB1!G16</f>
        <v>862.053</v>
      </c>
      <c r="H5" s="98">
        <f>[2]EB1!H16</f>
        <v>72.9495</v>
      </c>
      <c r="I5" s="98">
        <f>[2]EB1!I16</f>
        <v>190.17599999999999</v>
      </c>
      <c r="J5" s="98">
        <f>[2]EB1!J16</f>
        <v>3.1680000000000001</v>
      </c>
      <c r="K5" s="98">
        <f>[2]EB1!K16</f>
        <v>0</v>
      </c>
      <c r="L5" s="98">
        <f>[2]EB1!L16</f>
        <v>15.38</v>
      </c>
      <c r="M5" s="98">
        <f>[2]EB1!M16</f>
        <v>0.92</v>
      </c>
      <c r="N5" s="99">
        <f>[2]EB1!N16</f>
        <v>0</v>
      </c>
      <c r="O5" s="98">
        <f>[2]EB1!O16</f>
        <v>895.44524999999999</v>
      </c>
      <c r="P5" s="98">
        <f>[2]EB1!P16</f>
        <v>0</v>
      </c>
      <c r="Q5" s="98">
        <f>[2]EB1!Q16</f>
        <v>0</v>
      </c>
      <c r="R5" s="98">
        <f>[2]EB1!R16</f>
        <v>50</v>
      </c>
      <c r="S5" s="98">
        <f>[2]EB1!S16</f>
        <v>0</v>
      </c>
      <c r="T5" s="98">
        <f>[2]EB1!T16</f>
        <v>432.74250000000001</v>
      </c>
      <c r="U5" s="98">
        <f>[2]EB1!U16</f>
        <v>1435.8710000000001</v>
      </c>
      <c r="V5" s="100">
        <f>SUM(D5:U5)</f>
        <v>6254.3832000000002</v>
      </c>
    </row>
    <row r="6" spans="1:27" x14ac:dyDescent="0.2">
      <c r="A6" s="6"/>
      <c r="B6" s="56" t="s">
        <v>60</v>
      </c>
      <c r="C6" s="65" t="s">
        <v>61</v>
      </c>
      <c r="D6" s="98">
        <f>[2]EB1!D17</f>
        <v>37.001249999999999</v>
      </c>
      <c r="E6" s="98">
        <f>[2]EB1!E17</f>
        <v>700.69200000000001</v>
      </c>
      <c r="F6" s="98">
        <f>[2]EB1!F17</f>
        <v>0</v>
      </c>
      <c r="G6" s="98">
        <f>[2]EB1!G17</f>
        <v>368.84399999999999</v>
      </c>
      <c r="H6" s="98">
        <f>[2]EB1!H17</f>
        <v>1.677</v>
      </c>
      <c r="I6" s="98">
        <f>[2]EB1!I17</f>
        <v>31.602</v>
      </c>
      <c r="J6" s="98">
        <f>[2]EB1!J17</f>
        <v>5.72</v>
      </c>
      <c r="K6" s="98">
        <f>[2]EB1!K17</f>
        <v>0</v>
      </c>
      <c r="L6" s="98">
        <f>[2]EB1!L17</f>
        <v>19.32</v>
      </c>
      <c r="M6" s="98">
        <f>[2]EB1!M17</f>
        <v>0.24199999999999999</v>
      </c>
      <c r="N6" s="99">
        <f>[2]EB1!N17</f>
        <v>0</v>
      </c>
      <c r="O6" s="98">
        <f>[2]EB1!O17</f>
        <v>39</v>
      </c>
      <c r="P6" s="98">
        <f>[2]EB1!P17</f>
        <v>0</v>
      </c>
      <c r="Q6" s="98">
        <f>[2]EB1!Q17</f>
        <v>0</v>
      </c>
      <c r="R6" s="98">
        <f>[2]EB1!R17</f>
        <v>7.5</v>
      </c>
      <c r="S6" s="98">
        <f>[2]EB1!S17</f>
        <v>0.60850000000000004</v>
      </c>
      <c r="T6" s="98">
        <f>[2]EB1!T17</f>
        <v>127.32299999999999</v>
      </c>
      <c r="U6" s="98">
        <f>[2]EB1!U17</f>
        <v>1263.6955</v>
      </c>
      <c r="V6" s="100">
        <f t="shared" ref="V6:V12" si="0">SUM(D6:U6)</f>
        <v>2603.2252500000004</v>
      </c>
    </row>
    <row r="7" spans="1:27" x14ac:dyDescent="0.2">
      <c r="A7" s="6"/>
      <c r="B7" s="56" t="s">
        <v>62</v>
      </c>
      <c r="C7" s="65" t="s">
        <v>63</v>
      </c>
      <c r="D7" s="98">
        <f>[2]EB1!D18</f>
        <v>1233.0409000000002</v>
      </c>
      <c r="E7" s="98">
        <f>[2]EB1!E18</f>
        <v>1774.8644000000002</v>
      </c>
      <c r="F7" s="98">
        <f>[2]EB1!F18</f>
        <v>0</v>
      </c>
      <c r="G7" s="98">
        <f>[2]EB1!G18</f>
        <v>298.68</v>
      </c>
      <c r="H7" s="98">
        <f>[2]EB1!H18</f>
        <v>36.356499999999997</v>
      </c>
      <c r="I7" s="98">
        <f>[2]EB1!I18</f>
        <v>142.97149999999999</v>
      </c>
      <c r="J7" s="98">
        <f>[2]EB1!J18</f>
        <v>7.766</v>
      </c>
      <c r="K7" s="98">
        <f>[2]EB1!K18</f>
        <v>44.066000000000003</v>
      </c>
      <c r="L7" s="98">
        <f>[2]EB1!L18</f>
        <v>286.0505</v>
      </c>
      <c r="M7" s="98">
        <f>[2]EB1!M18</f>
        <v>191.57300000000001</v>
      </c>
      <c r="N7" s="99">
        <f>[2]EB1!N18</f>
        <v>0</v>
      </c>
      <c r="O7" s="98">
        <f>[2]EB1!O18</f>
        <v>541.25324999999998</v>
      </c>
      <c r="P7" s="98">
        <f>[2]EB1!P18</f>
        <v>0</v>
      </c>
      <c r="Q7" s="98">
        <f>[2]EB1!Q18</f>
        <v>0</v>
      </c>
      <c r="R7" s="98">
        <f>[2]EB1!R18</f>
        <v>0</v>
      </c>
      <c r="S7" s="98">
        <f>[2]EB1!S18</f>
        <v>58.595999999999997</v>
      </c>
      <c r="T7" s="98">
        <f>[2]EB1!T18</f>
        <v>316.79149999999998</v>
      </c>
      <c r="U7" s="98">
        <f>[2]EB1!U18</f>
        <v>2044.222</v>
      </c>
      <c r="V7" s="100">
        <f t="shared" si="0"/>
        <v>6976.2315499999995</v>
      </c>
    </row>
    <row r="8" spans="1:27" x14ac:dyDescent="0.2">
      <c r="A8" s="6"/>
      <c r="B8" s="56" t="s">
        <v>64</v>
      </c>
      <c r="C8" s="65" t="s">
        <v>65</v>
      </c>
      <c r="D8" s="98">
        <f>[2]EB1!D19</f>
        <v>28.665000000000003</v>
      </c>
      <c r="E8" s="98">
        <f>[2]EB1!E19</f>
        <v>80.482399999999998</v>
      </c>
      <c r="F8" s="98">
        <f>[2]EB1!F19</f>
        <v>0</v>
      </c>
      <c r="G8" s="98">
        <f>[2]EB1!G19</f>
        <v>366.58800000000002</v>
      </c>
      <c r="H8" s="98">
        <f>[2]EB1!H19</f>
        <v>0.47299999999999998</v>
      </c>
      <c r="I8" s="98">
        <f>[2]EB1!I19</f>
        <v>16.169</v>
      </c>
      <c r="J8" s="98">
        <f>[2]EB1!J19</f>
        <v>1.716</v>
      </c>
      <c r="K8" s="98">
        <f>[2]EB1!K19</f>
        <v>0</v>
      </c>
      <c r="L8" s="98">
        <f>[2]EB1!L19</f>
        <v>13.74</v>
      </c>
      <c r="M8" s="98">
        <f>[2]EB1!M19</f>
        <v>0</v>
      </c>
      <c r="N8" s="99">
        <f>[2]EB1!N19</f>
        <v>0</v>
      </c>
      <c r="O8" s="98">
        <f>[2]EB1!O19</f>
        <v>47.314499999999995</v>
      </c>
      <c r="P8" s="98">
        <f>[2]EB1!P19</f>
        <v>0</v>
      </c>
      <c r="Q8" s="98">
        <f>[2]EB1!Q19</f>
        <v>0</v>
      </c>
      <c r="R8" s="98">
        <f>[2]EB1!R19</f>
        <v>0</v>
      </c>
      <c r="S8" s="98">
        <f>[2]EB1!S19</f>
        <v>5.0000000000000001E-4</v>
      </c>
      <c r="T8" s="98">
        <f>[2]EB1!T19</f>
        <v>7.7869999999999999</v>
      </c>
      <c r="U8" s="98">
        <f>[2]EB1!U19</f>
        <v>9.6930000000000014</v>
      </c>
      <c r="V8" s="100">
        <f t="shared" si="0"/>
        <v>572.62840000000006</v>
      </c>
    </row>
    <row r="9" spans="1:27" ht="15" x14ac:dyDescent="0.25">
      <c r="A9" s="6"/>
      <c r="B9" s="56" t="s">
        <v>66</v>
      </c>
      <c r="C9" s="65" t="s">
        <v>67</v>
      </c>
      <c r="D9" s="98">
        <f>[2]EB1!D20</f>
        <v>0.36140000000000005</v>
      </c>
      <c r="E9" s="60">
        <f>[2]EB1!E20</f>
        <v>8.4995999999999992</v>
      </c>
      <c r="F9" s="98">
        <f>[2]EB1!F20</f>
        <v>0</v>
      </c>
      <c r="G9" s="60">
        <f>[2]EB1!G20</f>
        <v>3856.2855</v>
      </c>
      <c r="H9" s="98">
        <f>[2]EB1!H20</f>
        <v>1047.652</v>
      </c>
      <c r="I9" s="60">
        <f>[2]EB1!I20</f>
        <v>94.230999999999995</v>
      </c>
      <c r="J9" s="60">
        <f>[2]EB1!J20</f>
        <v>2394.2159999999999</v>
      </c>
      <c r="K9" s="98">
        <f>[2]EB1!K20</f>
        <v>0</v>
      </c>
      <c r="L9" s="98">
        <f>[2]EB1!L20</f>
        <v>33.24</v>
      </c>
      <c r="M9" s="98">
        <f>[2]EB1!M20</f>
        <v>0</v>
      </c>
      <c r="N9" s="98">
        <f>[2]EB1!N20</f>
        <v>0</v>
      </c>
      <c r="O9" s="60">
        <f>[2]EB1!O20</f>
        <v>120.75</v>
      </c>
      <c r="P9" s="98">
        <f>[2]EB1!P20</f>
        <v>0</v>
      </c>
      <c r="Q9" s="98">
        <f>[2]EB1!Q20</f>
        <v>0</v>
      </c>
      <c r="R9" s="98">
        <f>[2]EB1!R20</f>
        <v>0</v>
      </c>
      <c r="S9" s="98">
        <f>[2]EB1!S20</f>
        <v>0</v>
      </c>
      <c r="T9" s="98">
        <f>[2]EB1!T20</f>
        <v>0</v>
      </c>
      <c r="U9" s="60">
        <f>[2]EB1!U20</f>
        <v>132.98599999999999</v>
      </c>
      <c r="V9" s="100">
        <f t="shared" si="0"/>
        <v>7688.2214999999987</v>
      </c>
    </row>
    <row r="10" spans="1:27" x14ac:dyDescent="0.2">
      <c r="A10" s="6"/>
      <c r="B10" s="56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1">
        <f t="shared" si="0"/>
        <v>1411.5191499999987</v>
      </c>
    </row>
    <row r="11" spans="1:27" x14ac:dyDescent="0.2">
      <c r="A11" s="6"/>
      <c r="B11" s="56" t="s">
        <v>86</v>
      </c>
      <c r="C11" s="65" t="s">
        <v>70</v>
      </c>
      <c r="D11" s="98">
        <f>[2]EB1!D22</f>
        <v>34.094450000000002</v>
      </c>
      <c r="E11" s="98">
        <f>[2]EB1!E22</f>
        <v>253.5292</v>
      </c>
      <c r="F11" s="98">
        <f>[2]EB1!F22</f>
        <v>0</v>
      </c>
      <c r="G11" s="98">
        <f>[2]EB1!G22</f>
        <v>76.465000000000003</v>
      </c>
      <c r="H11" s="98">
        <f>[2]EB1!H22</f>
        <v>4.7945000000000002</v>
      </c>
      <c r="I11" s="98">
        <f>[2]EB1!I22</f>
        <v>199.87350000000001</v>
      </c>
      <c r="J11" s="98">
        <f>[2]EB1!J22</f>
        <v>3.1459999999999999</v>
      </c>
      <c r="K11" s="98">
        <f>[2]EB1!K22</f>
        <v>899.20600000000002</v>
      </c>
      <c r="L11" s="98">
        <f>[2]EB1!L22</f>
        <v>52.04</v>
      </c>
      <c r="M11" s="98">
        <f>[2]EB1!M22</f>
        <v>800.72900000000004</v>
      </c>
      <c r="N11" s="99">
        <f>[2]EB1!N22</f>
        <v>0</v>
      </c>
      <c r="O11" s="98">
        <f>[2]EB1!O22</f>
        <v>0</v>
      </c>
      <c r="P11" s="98">
        <f>[2]EB1!P22</f>
        <v>0</v>
      </c>
      <c r="Q11" s="98">
        <f>[2]EB1!Q22</f>
        <v>0</v>
      </c>
      <c r="R11" s="98">
        <f>[2]EB1!R22</f>
        <v>0</v>
      </c>
      <c r="S11" s="98">
        <f>[2]EB1!S22</f>
        <v>0</v>
      </c>
      <c r="T11" s="98">
        <f>[2]EB1!T22</f>
        <v>0</v>
      </c>
      <c r="U11" s="98">
        <f>[2]EB1!U22</f>
        <v>0</v>
      </c>
      <c r="V11" s="100">
        <f t="shared" si="0"/>
        <v>2323.8776500000004</v>
      </c>
    </row>
    <row r="12" spans="1:27" x14ac:dyDescent="0.2">
      <c r="A12" s="6"/>
      <c r="B12" s="56" t="s">
        <v>87</v>
      </c>
      <c r="C12" s="65" t="s">
        <v>71</v>
      </c>
      <c r="D12" s="98">
        <f>[2]EB1!D23</f>
        <v>0</v>
      </c>
      <c r="E12" s="98">
        <f>[2]EB1!E23</f>
        <v>0</v>
      </c>
      <c r="F12" s="98">
        <f>[2]EB1!F23</f>
        <v>0</v>
      </c>
      <c r="G12" s="98">
        <f>[2]EB1!G23</f>
        <v>146.90600000000001</v>
      </c>
      <c r="H12" s="98">
        <f>[2]EB1!H23</f>
        <v>0</v>
      </c>
      <c r="I12" s="98">
        <f>[2]EB1!I23</f>
        <v>0</v>
      </c>
      <c r="J12" s="98">
        <f>[2]EB1!J23</f>
        <v>0</v>
      </c>
      <c r="K12" s="98">
        <f>[2]EB1!K23</f>
        <v>0</v>
      </c>
      <c r="L12" s="98">
        <f>[2]EB1!L23</f>
        <v>902.14</v>
      </c>
      <c r="M12" s="98">
        <f>[2]EB1!M23</f>
        <v>6.5</v>
      </c>
      <c r="N12" s="99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59">
        <f>[2]EB1!R23</f>
        <v>0</v>
      </c>
      <c r="S12" s="98">
        <f>[2]EB1!S23</f>
        <v>0</v>
      </c>
      <c r="T12" s="98">
        <f>[2]EB1!T23</f>
        <v>0</v>
      </c>
      <c r="U12" s="98">
        <f>[2]EB1!U23</f>
        <v>0</v>
      </c>
      <c r="V12" s="100">
        <f t="shared" si="0"/>
        <v>1055.546</v>
      </c>
    </row>
    <row r="13" spans="1:27" ht="15" x14ac:dyDescent="0.25">
      <c r="A13" s="6"/>
      <c r="B13" s="95" t="s">
        <v>89</v>
      </c>
      <c r="C13" s="63" t="s">
        <v>162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/>
      <c r="Q13" s="61"/>
      <c r="R13" s="61"/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60" t="s">
        <v>157</v>
      </c>
      <c r="D16" s="60"/>
      <c r="E16" s="60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</row>
    <row r="24" spans="1:24" ht="38.25" x14ac:dyDescent="0.2">
      <c r="A24" s="6"/>
      <c r="B24" s="28" t="s">
        <v>102</v>
      </c>
      <c r="C24" s="70" t="s">
        <v>116</v>
      </c>
      <c r="D24" s="127" t="s">
        <v>51</v>
      </c>
      <c r="E24" s="128" t="s">
        <v>52</v>
      </c>
      <c r="F24" s="128" t="s">
        <v>128</v>
      </c>
      <c r="G24" s="128" t="s">
        <v>141</v>
      </c>
      <c r="H24" s="128" t="s">
        <v>138</v>
      </c>
      <c r="I24" s="128" t="s">
        <v>131</v>
      </c>
      <c r="J24" s="128" t="s">
        <v>139</v>
      </c>
      <c r="K24" s="128" t="s">
        <v>140</v>
      </c>
      <c r="L24" s="128" t="s">
        <v>136</v>
      </c>
      <c r="M24" s="128" t="s">
        <v>137</v>
      </c>
      <c r="N24" s="128" t="s">
        <v>53</v>
      </c>
      <c r="O24" s="128" t="s">
        <v>171</v>
      </c>
      <c r="P24" s="128" t="s">
        <v>172</v>
      </c>
      <c r="Q24" s="128" t="s">
        <v>173</v>
      </c>
      <c r="R24" s="128" t="s">
        <v>174</v>
      </c>
      <c r="S24" s="128" t="s">
        <v>54</v>
      </c>
      <c r="T24" s="128" t="s">
        <v>55</v>
      </c>
      <c r="U24" s="129" t="s">
        <v>88</v>
      </c>
      <c r="V24" s="55" t="s">
        <v>56</v>
      </c>
    </row>
    <row r="25" spans="1:24" ht="15" x14ac:dyDescent="0.25">
      <c r="A25" s="6"/>
      <c r="B25" s="105" t="s">
        <v>66</v>
      </c>
      <c r="C25" s="67" t="s">
        <v>164</v>
      </c>
      <c r="D25" s="106"/>
      <c r="E25" s="110">
        <v>1</v>
      </c>
      <c r="F25" s="107"/>
      <c r="G25" s="110">
        <v>0.9</v>
      </c>
      <c r="H25" s="107"/>
      <c r="I25" s="110">
        <v>1</v>
      </c>
      <c r="J25" s="110">
        <v>1</v>
      </c>
      <c r="K25" s="107"/>
      <c r="L25" s="107"/>
      <c r="M25" s="107"/>
      <c r="N25" s="107"/>
      <c r="O25" s="110">
        <v>0.75</v>
      </c>
      <c r="P25" s="107"/>
      <c r="Q25" s="107"/>
      <c r="R25" s="107"/>
      <c r="S25" s="107"/>
      <c r="T25" s="107"/>
      <c r="U25" s="111">
        <v>0</v>
      </c>
      <c r="V25" s="68"/>
      <c r="W25" s="8"/>
      <c r="X25" s="64" t="s">
        <v>142</v>
      </c>
    </row>
    <row r="26" spans="1:24" ht="15" x14ac:dyDescent="0.25">
      <c r="A26" s="6"/>
      <c r="B26" s="105" t="s">
        <v>66</v>
      </c>
      <c r="C26" s="69" t="s">
        <v>165</v>
      </c>
      <c r="D26" s="108"/>
      <c r="E26" s="112">
        <f>1-E25</f>
        <v>0</v>
      </c>
      <c r="F26" s="109"/>
      <c r="G26" s="112">
        <f>1-G25</f>
        <v>9.9999999999999978E-2</v>
      </c>
      <c r="H26" s="109"/>
      <c r="I26" s="112">
        <f>1-I25</f>
        <v>0</v>
      </c>
      <c r="J26" s="112">
        <f>1-J25</f>
        <v>0</v>
      </c>
      <c r="K26" s="109"/>
      <c r="L26" s="109"/>
      <c r="M26" s="109"/>
      <c r="N26" s="109"/>
      <c r="O26" s="112">
        <f>1-O25</f>
        <v>0.25</v>
      </c>
      <c r="P26" s="109"/>
      <c r="Q26" s="109"/>
      <c r="R26" s="109"/>
      <c r="S26" s="109"/>
      <c r="T26" s="109"/>
      <c r="U26" s="113">
        <f>1-U25</f>
        <v>1</v>
      </c>
      <c r="V26" s="57"/>
      <c r="W26" s="8"/>
      <c r="X26" s="66" t="s">
        <v>163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71" t="s">
        <v>106</v>
      </c>
      <c r="D29" s="73" t="s">
        <v>107</v>
      </c>
      <c r="E29" s="72" t="s">
        <v>108</v>
      </c>
      <c r="V29" s="8"/>
    </row>
    <row r="30" spans="1:24" x14ac:dyDescent="0.2">
      <c r="A30" s="6"/>
      <c r="B30" s="24" t="s">
        <v>117</v>
      </c>
      <c r="C30" s="103" t="s">
        <v>109</v>
      </c>
      <c r="D30" s="103" t="s">
        <v>110</v>
      </c>
      <c r="E30" s="104" t="s">
        <v>108</v>
      </c>
      <c r="V30" s="8"/>
    </row>
    <row r="31" spans="1:24" x14ac:dyDescent="0.2">
      <c r="A31" s="6"/>
      <c r="B31" s="56" t="s">
        <v>66</v>
      </c>
      <c r="C31" s="130">
        <v>1</v>
      </c>
      <c r="D31" s="131"/>
      <c r="E31" s="13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D7" sqref="D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</cols>
  <sheetData>
    <row r="3" spans="2:7" ht="18" x14ac:dyDescent="0.25">
      <c r="B3" s="86" t="s">
        <v>161</v>
      </c>
    </row>
    <row r="5" spans="2:7" x14ac:dyDescent="0.2">
      <c r="D5" s="87" t="s">
        <v>166</v>
      </c>
      <c r="E5" s="87"/>
      <c r="F5" s="87"/>
      <c r="G5" s="8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22" sqref="H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3"/>
    </row>
    <row r="2" spans="2:18" ht="15.75" x14ac:dyDescent="0.25">
      <c r="B2" s="14" t="str">
        <f>'EB1'!B9</f>
        <v>TRA</v>
      </c>
      <c r="C2" s="14" t="str">
        <f>'EB1'!C9</f>
        <v>Transport</v>
      </c>
      <c r="D2" s="14" t="s">
        <v>111</v>
      </c>
      <c r="E2" s="14" t="str">
        <f>'EB1'!Z2</f>
        <v>PJ</v>
      </c>
      <c r="F2" s="14" t="str">
        <f>'EB1'!Y2</f>
        <v>M€2005</v>
      </c>
      <c r="G2" s="14" t="s">
        <v>101</v>
      </c>
      <c r="H2" s="13"/>
      <c r="J2" s="135" t="s">
        <v>14</v>
      </c>
      <c r="K2" s="135"/>
      <c r="L2" s="136"/>
      <c r="M2" s="136"/>
      <c r="N2" s="136"/>
      <c r="O2" s="136"/>
      <c r="P2" s="136"/>
      <c r="Q2" s="136"/>
      <c r="R2" s="136"/>
    </row>
    <row r="3" spans="2:18" x14ac:dyDescent="0.2">
      <c r="J3" s="137" t="s">
        <v>7</v>
      </c>
      <c r="K3" s="138" t="s">
        <v>30</v>
      </c>
      <c r="L3" s="137" t="s">
        <v>0</v>
      </c>
      <c r="M3" s="137" t="s">
        <v>3</v>
      </c>
      <c r="N3" s="137" t="s">
        <v>4</v>
      </c>
      <c r="O3" s="137" t="s">
        <v>8</v>
      </c>
      <c r="P3" s="137" t="s">
        <v>9</v>
      </c>
      <c r="Q3" s="137" t="s">
        <v>10</v>
      </c>
      <c r="R3" s="137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9" t="s">
        <v>37</v>
      </c>
      <c r="K4" s="139" t="s">
        <v>31</v>
      </c>
      <c r="L4" s="139" t="s">
        <v>26</v>
      </c>
      <c r="M4" s="139" t="s">
        <v>27</v>
      </c>
      <c r="N4" s="139" t="s">
        <v>4</v>
      </c>
      <c r="O4" s="139" t="s">
        <v>40</v>
      </c>
      <c r="P4" s="139" t="s">
        <v>41</v>
      </c>
      <c r="Q4" s="139" t="s">
        <v>28</v>
      </c>
      <c r="R4" s="139" t="s">
        <v>29</v>
      </c>
    </row>
    <row r="5" spans="2:18" x14ac:dyDescent="0.2">
      <c r="B5" s="8"/>
      <c r="C5" s="8"/>
      <c r="D5" s="8"/>
      <c r="E5" s="16"/>
      <c r="F5" s="16"/>
      <c r="G5" s="85"/>
      <c r="H5" s="15"/>
      <c r="J5" s="140" t="s">
        <v>72</v>
      </c>
      <c r="K5" s="140"/>
      <c r="L5" s="140" t="str">
        <f>$B$2&amp;'EB1'!$E$2</f>
        <v>TRAGAS</v>
      </c>
      <c r="M5" s="141" t="str">
        <f>$C$2&amp;" "&amp;'EB1'!$E$3</f>
        <v>Transport Natural Gas</v>
      </c>
      <c r="N5" s="140" t="str">
        <f t="shared" ref="N5:N10" si="0">$E$2</f>
        <v>PJ</v>
      </c>
      <c r="O5" s="140"/>
      <c r="P5" s="140"/>
      <c r="Q5" s="140"/>
      <c r="R5" s="140"/>
    </row>
    <row r="6" spans="2:18" x14ac:dyDescent="0.2">
      <c r="B6" s="8"/>
      <c r="C6" s="8"/>
      <c r="D6" s="8"/>
      <c r="E6" s="16"/>
      <c r="F6" s="16"/>
      <c r="G6" s="85"/>
      <c r="H6" s="15"/>
      <c r="J6" s="140"/>
      <c r="K6" s="140"/>
      <c r="L6" s="140" t="str">
        <f>$B$2&amp;'EB1'!$G$2</f>
        <v>TRADSL</v>
      </c>
      <c r="M6" s="141" t="str">
        <f>$C$2&amp;" "&amp;'EB1'!$G$3</f>
        <v>Transport Diesel oil</v>
      </c>
      <c r="N6" s="140" t="str">
        <f t="shared" si="0"/>
        <v>PJ</v>
      </c>
      <c r="O6" s="140"/>
      <c r="P6" s="140"/>
      <c r="Q6" s="140"/>
      <c r="R6" s="140"/>
    </row>
    <row r="7" spans="2:18" x14ac:dyDescent="0.2">
      <c r="B7" s="8"/>
      <c r="C7" s="8"/>
      <c r="D7" s="8"/>
      <c r="E7" s="16"/>
      <c r="F7" s="16"/>
      <c r="G7" s="85"/>
      <c r="H7" s="15"/>
      <c r="J7" s="140"/>
      <c r="K7" s="140"/>
      <c r="L7" s="140" t="str">
        <f>$B$2&amp;'EB1'!$I$2</f>
        <v>TRALPG</v>
      </c>
      <c r="M7" s="141" t="str">
        <f>$C$2&amp;" "&amp;'EB1'!$I$3</f>
        <v>Transport LPG</v>
      </c>
      <c r="N7" s="140" t="str">
        <f t="shared" si="0"/>
        <v>PJ</v>
      </c>
      <c r="O7" s="140"/>
      <c r="P7" s="140"/>
      <c r="Q7" s="140"/>
      <c r="R7" s="140"/>
    </row>
    <row r="8" spans="2:18" x14ac:dyDescent="0.2">
      <c r="B8" s="8"/>
      <c r="C8" s="8"/>
      <c r="D8" s="8"/>
      <c r="E8" s="16"/>
      <c r="F8" s="16"/>
      <c r="G8" s="85"/>
      <c r="H8" s="15"/>
      <c r="J8" s="140"/>
      <c r="K8" s="140"/>
      <c r="L8" s="140" t="str">
        <f>$B$2&amp;'EB1'!$J$2</f>
        <v>TRAGSL</v>
      </c>
      <c r="M8" s="141" t="str">
        <f>$C$2&amp;" "&amp;'EB1'!$J$3</f>
        <v>Transport Motor spirit</v>
      </c>
      <c r="N8" s="140" t="str">
        <f t="shared" si="0"/>
        <v>PJ</v>
      </c>
      <c r="O8" s="140"/>
      <c r="P8" s="140"/>
      <c r="Q8" s="140"/>
      <c r="R8" s="140"/>
    </row>
    <row r="9" spans="2:18" x14ac:dyDescent="0.2">
      <c r="B9" s="8"/>
      <c r="C9" s="8"/>
      <c r="D9" s="8"/>
      <c r="E9" s="16"/>
      <c r="F9" s="16"/>
      <c r="G9" s="85"/>
      <c r="H9" s="15"/>
      <c r="J9" s="140"/>
      <c r="K9" s="140"/>
      <c r="L9" s="140" t="str">
        <f>$B$2&amp;'EB1'!$O$2</f>
        <v>TRABIO</v>
      </c>
      <c r="M9" s="141" t="str">
        <f>$C$2&amp;" "&amp;'EB1'!O3</f>
        <v>Transport Biofuels</v>
      </c>
      <c r="N9" s="140" t="str">
        <f t="shared" si="0"/>
        <v>PJ</v>
      </c>
      <c r="O9" s="140"/>
      <c r="P9" s="142"/>
      <c r="Q9" s="142"/>
      <c r="R9" s="142"/>
    </row>
    <row r="10" spans="2:18" x14ac:dyDescent="0.2">
      <c r="B10" s="8"/>
      <c r="C10" s="8"/>
      <c r="D10" s="8"/>
      <c r="E10" s="16"/>
      <c r="F10" s="16"/>
      <c r="G10" s="85"/>
      <c r="H10" s="15"/>
      <c r="J10" s="140"/>
      <c r="K10" s="140"/>
      <c r="L10" s="140" t="str">
        <f>$B$2&amp;'EB1'!$U$2</f>
        <v>TRAELC</v>
      </c>
      <c r="M10" s="141" t="str">
        <f>$C$2&amp;" "&amp;'EB1'!$U$3</f>
        <v>Transport Electricity</v>
      </c>
      <c r="N10" s="140" t="str">
        <f t="shared" si="0"/>
        <v>PJ</v>
      </c>
      <c r="O10" s="140"/>
      <c r="P10" s="140" t="s">
        <v>125</v>
      </c>
      <c r="Q10" s="140"/>
      <c r="R10" s="140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5" t="s">
        <v>15</v>
      </c>
      <c r="K12" s="135"/>
      <c r="L12" s="142"/>
      <c r="M12" s="142"/>
      <c r="N12" s="142"/>
      <c r="O12" s="142"/>
      <c r="P12" s="142"/>
      <c r="Q12" s="142"/>
      <c r="R12" s="142"/>
    </row>
    <row r="13" spans="2:18" x14ac:dyDescent="0.2">
      <c r="B13" s="21" t="s">
        <v>1</v>
      </c>
      <c r="C13" s="21" t="s">
        <v>5</v>
      </c>
      <c r="D13" s="21" t="s">
        <v>6</v>
      </c>
      <c r="E13" s="91" t="s">
        <v>155</v>
      </c>
      <c r="F13" s="88" t="s">
        <v>127</v>
      </c>
      <c r="G13" s="88" t="s">
        <v>85</v>
      </c>
      <c r="H13" s="88" t="s">
        <v>79</v>
      </c>
      <c r="J13" s="137" t="s">
        <v>11</v>
      </c>
      <c r="K13" s="138" t="s">
        <v>30</v>
      </c>
      <c r="L13" s="137" t="s">
        <v>1</v>
      </c>
      <c r="M13" s="137" t="s">
        <v>2</v>
      </c>
      <c r="N13" s="137" t="s">
        <v>16</v>
      </c>
      <c r="O13" s="137" t="s">
        <v>17</v>
      </c>
      <c r="P13" s="137" t="s">
        <v>18</v>
      </c>
      <c r="Q13" s="137" t="s">
        <v>19</v>
      </c>
      <c r="R13" s="137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154</v>
      </c>
      <c r="F14" s="20" t="s">
        <v>34</v>
      </c>
      <c r="G14" s="20" t="s">
        <v>90</v>
      </c>
      <c r="H14" s="20" t="s">
        <v>177</v>
      </c>
      <c r="J14" s="139" t="s">
        <v>38</v>
      </c>
      <c r="K14" s="139" t="s">
        <v>31</v>
      </c>
      <c r="L14" s="139" t="s">
        <v>21</v>
      </c>
      <c r="M14" s="139" t="s">
        <v>22</v>
      </c>
      <c r="N14" s="139" t="s">
        <v>23</v>
      </c>
      <c r="O14" s="139" t="s">
        <v>24</v>
      </c>
      <c r="P14" s="139" t="s">
        <v>43</v>
      </c>
      <c r="Q14" s="139" t="s">
        <v>42</v>
      </c>
      <c r="R14" s="139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9" t="s">
        <v>81</v>
      </c>
      <c r="K15" s="143"/>
      <c r="L15" s="143"/>
      <c r="M15" s="143"/>
      <c r="N15" s="143"/>
      <c r="O15" s="143"/>
      <c r="P15" s="143"/>
      <c r="Q15" s="143"/>
      <c r="R15" s="143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8">
        <v>1</v>
      </c>
      <c r="H16" s="79">
        <v>30</v>
      </c>
      <c r="J16" s="144" t="s">
        <v>112</v>
      </c>
      <c r="K16" s="140"/>
      <c r="L16" s="140" t="str">
        <f t="shared" ref="L16:L21" si="4">"FT"&amp;$G$2&amp;"-"&amp;L5</f>
        <v>FTE-TRAGAS</v>
      </c>
      <c r="M16" s="141" t="str">
        <f t="shared" ref="M16:M21" si="5">$D$2&amp;" Technology"&amp;" "&amp;$G$1&amp;" "&amp;M5</f>
        <v>Sector Fuel Technology Existing Transport Natural Gas</v>
      </c>
      <c r="N16" s="140" t="str">
        <f t="shared" ref="N16:N21" si="6">$E$2</f>
        <v>PJ</v>
      </c>
      <c r="O16" s="140" t="str">
        <f t="shared" ref="O16:O21" si="7">$E$2&amp;"a"</f>
        <v>PJa</v>
      </c>
      <c r="P16" s="140"/>
      <c r="Q16" s="140"/>
      <c r="R16" s="140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8">
        <v>1</v>
      </c>
      <c r="H17" s="79">
        <v>30</v>
      </c>
      <c r="J17" s="144"/>
      <c r="K17" s="140"/>
      <c r="L17" s="140" t="str">
        <f t="shared" si="4"/>
        <v>FTE-TRADSL</v>
      </c>
      <c r="M17" s="141" t="str">
        <f t="shared" si="5"/>
        <v>Sector Fuel Technology Existing Transport Diesel oil</v>
      </c>
      <c r="N17" s="140" t="str">
        <f t="shared" si="6"/>
        <v>PJ</v>
      </c>
      <c r="O17" s="140" t="str">
        <f t="shared" si="7"/>
        <v>PJa</v>
      </c>
      <c r="P17" s="140"/>
      <c r="Q17" s="140"/>
      <c r="R17" s="140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8">
        <v>1</v>
      </c>
      <c r="H18" s="79">
        <v>30</v>
      </c>
      <c r="J18" s="140"/>
      <c r="K18" s="140"/>
      <c r="L18" s="140" t="str">
        <f t="shared" si="4"/>
        <v>FTE-TRALPG</v>
      </c>
      <c r="M18" s="141" t="str">
        <f t="shared" si="5"/>
        <v>Sector Fuel Technology Existing Transport LPG</v>
      </c>
      <c r="N18" s="140" t="str">
        <f t="shared" si="6"/>
        <v>PJ</v>
      </c>
      <c r="O18" s="140" t="str">
        <f t="shared" si="7"/>
        <v>PJa</v>
      </c>
      <c r="P18" s="140"/>
      <c r="Q18" s="140"/>
      <c r="R18" s="140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8">
        <v>1</v>
      </c>
      <c r="H19" s="79">
        <v>30</v>
      </c>
      <c r="J19" s="140"/>
      <c r="K19" s="140"/>
      <c r="L19" s="140" t="str">
        <f t="shared" si="4"/>
        <v>FTE-TRAGSL</v>
      </c>
      <c r="M19" s="141" t="str">
        <f t="shared" si="5"/>
        <v>Sector Fuel Technology Existing Transport Motor spirit</v>
      </c>
      <c r="N19" s="140" t="str">
        <f t="shared" si="6"/>
        <v>PJ</v>
      </c>
      <c r="O19" s="140" t="str">
        <f t="shared" si="7"/>
        <v>PJa</v>
      </c>
      <c r="P19" s="140"/>
      <c r="Q19" s="140"/>
      <c r="R19" s="140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8">
        <v>1</v>
      </c>
      <c r="H20" s="79">
        <v>30</v>
      </c>
      <c r="J20" s="140"/>
      <c r="K20" s="140"/>
      <c r="L20" s="140" t="str">
        <f t="shared" si="4"/>
        <v>FTE-TRABIO</v>
      </c>
      <c r="M20" s="141" t="str">
        <f t="shared" si="5"/>
        <v>Sector Fuel Technology Existing Transport Biofuels</v>
      </c>
      <c r="N20" s="140" t="str">
        <f t="shared" si="6"/>
        <v>PJ</v>
      </c>
      <c r="O20" s="140" t="str">
        <f t="shared" si="7"/>
        <v>PJa</v>
      </c>
      <c r="P20" s="140"/>
      <c r="Q20" s="140"/>
      <c r="R20" s="140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8">
        <v>1</v>
      </c>
      <c r="H21" s="79">
        <v>30</v>
      </c>
      <c r="J21" s="140"/>
      <c r="K21" s="140"/>
      <c r="L21" s="140" t="str">
        <f t="shared" si="4"/>
        <v>FTE-TRAELC</v>
      </c>
      <c r="M21" s="141" t="str">
        <f t="shared" si="5"/>
        <v>Sector Fuel Technology Existing Transport Electricity</v>
      </c>
      <c r="N21" s="140" t="str">
        <f t="shared" si="6"/>
        <v>PJ</v>
      </c>
      <c r="O21" s="140" t="str">
        <f t="shared" si="7"/>
        <v>PJa</v>
      </c>
      <c r="P21" s="140" t="s">
        <v>125</v>
      </c>
      <c r="Q21" s="140"/>
      <c r="R21" s="140"/>
    </row>
    <row r="22" spans="2:18" x14ac:dyDescent="0.2">
      <c r="B22" s="6"/>
      <c r="C22" s="6"/>
      <c r="D22" s="6"/>
      <c r="E22" s="16"/>
      <c r="F22" s="16"/>
      <c r="G22" s="85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5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5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5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4"/>
      <c r="F26" s="16"/>
      <c r="G26" s="85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4"/>
      <c r="F27" s="16"/>
      <c r="G27" s="85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4"/>
      <c r="F28" s="16"/>
      <c r="G28" s="85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4"/>
      <c r="F29" s="16"/>
      <c r="G29" s="85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5"/>
      <c r="H30" s="15"/>
    </row>
    <row r="31" spans="2:18" x14ac:dyDescent="0.2">
      <c r="B31" s="32"/>
      <c r="C31" s="6"/>
      <c r="D31" s="31"/>
      <c r="E31" s="16"/>
      <c r="F31" s="16"/>
      <c r="G31" s="85"/>
      <c r="H31" s="15"/>
    </row>
    <row r="35" spans="2:3" x14ac:dyDescent="0.2">
      <c r="B35" s="58"/>
      <c r="C35" s="1" t="s">
        <v>159</v>
      </c>
    </row>
    <row r="36" spans="2:3" x14ac:dyDescent="0.2">
      <c r="B36" s="77"/>
      <c r="C36" s="1" t="s">
        <v>160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zoomScale="90" zoomScaleNormal="90" workbookViewId="0">
      <selection activeCell="S40" sqref="S40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143</v>
      </c>
      <c r="H1" s="12" t="s">
        <v>100</v>
      </c>
      <c r="I1" s="43"/>
    </row>
    <row r="2" spans="2:23" ht="31.5" x14ac:dyDescent="0.25">
      <c r="B2" s="14" t="str">
        <f>'EB1'!B9</f>
        <v>TRA</v>
      </c>
      <c r="C2" s="14" t="str">
        <f>'EB1'!C9</f>
        <v>Transport</v>
      </c>
      <c r="D2" s="22" t="s">
        <v>115</v>
      </c>
      <c r="E2" s="14" t="str">
        <f>'EB1'!Z2</f>
        <v>PJ</v>
      </c>
      <c r="F2" s="14" t="str">
        <f>'EB1'!Y2</f>
        <v>M€2005</v>
      </c>
      <c r="G2" s="44" t="s">
        <v>144</v>
      </c>
      <c r="H2" s="14" t="s">
        <v>101</v>
      </c>
      <c r="I2" s="13"/>
      <c r="O2" s="135" t="s">
        <v>14</v>
      </c>
      <c r="P2" s="135"/>
      <c r="Q2" s="136"/>
      <c r="R2" s="136"/>
      <c r="S2" s="136"/>
      <c r="T2" s="136"/>
      <c r="U2" s="136"/>
      <c r="V2" s="136"/>
      <c r="W2" s="136"/>
    </row>
    <row r="3" spans="2:23" x14ac:dyDescent="0.2">
      <c r="O3" s="137" t="s">
        <v>7</v>
      </c>
      <c r="P3" s="138" t="s">
        <v>30</v>
      </c>
      <c r="Q3" s="137" t="s">
        <v>0</v>
      </c>
      <c r="R3" s="137" t="s">
        <v>3</v>
      </c>
      <c r="S3" s="137" t="s">
        <v>4</v>
      </c>
      <c r="T3" s="137" t="s">
        <v>8</v>
      </c>
      <c r="U3" s="137" t="s">
        <v>9</v>
      </c>
      <c r="V3" s="137" t="s">
        <v>10</v>
      </c>
      <c r="W3" s="137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9" t="s">
        <v>37</v>
      </c>
      <c r="P4" s="139" t="s">
        <v>31</v>
      </c>
      <c r="Q4" s="139" t="s">
        <v>26</v>
      </c>
      <c r="R4" s="139" t="s">
        <v>27</v>
      </c>
      <c r="S4" s="139" t="s">
        <v>4</v>
      </c>
      <c r="T4" s="139" t="s">
        <v>40</v>
      </c>
      <c r="U4" s="139" t="s">
        <v>41</v>
      </c>
      <c r="V4" s="139" t="s">
        <v>28</v>
      </c>
      <c r="W4" s="139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4" t="s">
        <v>83</v>
      </c>
      <c r="P5" s="140"/>
      <c r="Q5" s="144" t="str">
        <f>LEFT($O$5,1)&amp;LEFT($B$2,1)&amp;'EB1'!$C$25</f>
        <v>DTCAR</v>
      </c>
      <c r="R5" s="144" t="str">
        <f>LEFT($D$2,6)&amp;" "&amp;$C$2&amp; " Sector - "&amp;'EB1'!$X$25</f>
        <v>Demand Transport Sector - Cars</v>
      </c>
      <c r="S5" s="144" t="s">
        <v>183</v>
      </c>
      <c r="T5" s="144"/>
      <c r="U5" s="144"/>
      <c r="V5" s="144"/>
      <c r="W5" s="144"/>
    </row>
    <row r="6" spans="2:23" s="6" customFormat="1" ht="15.75" x14ac:dyDescent="0.25">
      <c r="B6" s="13"/>
      <c r="C6" s="13"/>
      <c r="D6" s="13"/>
      <c r="E6" s="13"/>
      <c r="F6" s="13"/>
      <c r="L6" s="38"/>
      <c r="O6" s="144"/>
      <c r="P6" s="140"/>
      <c r="Q6" s="144" t="str">
        <f>LEFT($O$5,1)&amp;LEFT($B$2,1)&amp;'EB1'!$C$26</f>
        <v>DTPUB</v>
      </c>
      <c r="R6" s="144" t="str">
        <f>LEFT($D$2,6)&amp;" "&amp;$C$2&amp; " Sector - "&amp;'EB1'!$X$26</f>
        <v>Demand Transport Sector - Pub</v>
      </c>
      <c r="S6" s="144" t="s">
        <v>183</v>
      </c>
      <c r="T6" s="144"/>
      <c r="U6" s="144"/>
      <c r="V6" s="144"/>
      <c r="W6" s="144"/>
    </row>
    <row r="7" spans="2:23" x14ac:dyDescent="0.2">
      <c r="O7" s="142" t="s">
        <v>105</v>
      </c>
      <c r="P7" s="142"/>
      <c r="Q7" s="142" t="str">
        <f>$B$2&amp;'EB1'!$C$29</f>
        <v>TRACO2</v>
      </c>
      <c r="R7" s="142" t="str">
        <f>$C$2&amp;" "&amp;'EB1'!$C$30</f>
        <v>Transport Carbon dioxide</v>
      </c>
      <c r="S7" s="142" t="str">
        <f>'EB1'!$AA$2</f>
        <v>kt</v>
      </c>
      <c r="T7" s="142"/>
      <c r="U7" s="142"/>
      <c r="V7" s="142"/>
      <c r="W7" s="142"/>
    </row>
    <row r="9" spans="2:23" x14ac:dyDescent="0.2">
      <c r="D9" s="5" t="s">
        <v>13</v>
      </c>
      <c r="E9" s="5"/>
      <c r="G9" s="5"/>
      <c r="I9" s="4"/>
      <c r="J9" s="18"/>
      <c r="O9" s="135" t="s">
        <v>15</v>
      </c>
      <c r="P9" s="135"/>
      <c r="Q9" s="142"/>
      <c r="R9" s="142"/>
      <c r="S9" s="142"/>
      <c r="T9" s="142"/>
      <c r="U9" s="142"/>
      <c r="V9" s="142"/>
      <c r="W9" s="142"/>
    </row>
    <row r="10" spans="2:23" x14ac:dyDescent="0.2">
      <c r="B10" s="21" t="s">
        <v>1</v>
      </c>
      <c r="C10" s="21" t="s">
        <v>5</v>
      </c>
      <c r="D10" s="21" t="s">
        <v>6</v>
      </c>
      <c r="E10" s="88" t="s">
        <v>127</v>
      </c>
      <c r="F10" s="88" t="s">
        <v>85</v>
      </c>
      <c r="G10" s="88" t="s">
        <v>98</v>
      </c>
      <c r="H10" s="88" t="s">
        <v>146</v>
      </c>
      <c r="I10" s="88" t="s">
        <v>84</v>
      </c>
      <c r="J10" s="88" t="s">
        <v>79</v>
      </c>
      <c r="K10" s="88" t="s">
        <v>178</v>
      </c>
      <c r="L10" s="35"/>
      <c r="M10" s="42" t="s">
        <v>118</v>
      </c>
      <c r="O10" s="137" t="s">
        <v>11</v>
      </c>
      <c r="P10" s="138" t="s">
        <v>30</v>
      </c>
      <c r="Q10" s="137" t="s">
        <v>1</v>
      </c>
      <c r="R10" s="137" t="s">
        <v>2</v>
      </c>
      <c r="S10" s="137" t="s">
        <v>16</v>
      </c>
      <c r="T10" s="137" t="s">
        <v>17</v>
      </c>
      <c r="U10" s="137" t="s">
        <v>18</v>
      </c>
      <c r="V10" s="137" t="s">
        <v>19</v>
      </c>
      <c r="W10" s="137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102" t="s">
        <v>99</v>
      </c>
      <c r="H11" s="102" t="s">
        <v>148</v>
      </c>
      <c r="I11" s="20" t="s">
        <v>96</v>
      </c>
      <c r="J11" s="20" t="s">
        <v>177</v>
      </c>
      <c r="K11" s="20" t="s">
        <v>179</v>
      </c>
      <c r="L11" s="45"/>
      <c r="M11" s="133" t="s">
        <v>35</v>
      </c>
      <c r="O11" s="139" t="s">
        <v>38</v>
      </c>
      <c r="P11" s="139" t="s">
        <v>31</v>
      </c>
      <c r="Q11" s="139" t="s">
        <v>21</v>
      </c>
      <c r="R11" s="139" t="s">
        <v>22</v>
      </c>
      <c r="S11" s="139" t="s">
        <v>23</v>
      </c>
      <c r="T11" s="139" t="s">
        <v>24</v>
      </c>
      <c r="U11" s="139" t="s">
        <v>43</v>
      </c>
      <c r="V11" s="139" t="s">
        <v>42</v>
      </c>
      <c r="W11" s="139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180</v>
      </c>
      <c r="G12" s="92" t="s">
        <v>151</v>
      </c>
      <c r="H12" s="90" t="s">
        <v>147</v>
      </c>
      <c r="I12" s="17" t="str">
        <f>$F$2&amp;"/"&amp;G2&amp;"a"</f>
        <v>M€2005/000_Unitsa</v>
      </c>
      <c r="J12" s="17" t="s">
        <v>92</v>
      </c>
      <c r="K12" s="17" t="s">
        <v>181</v>
      </c>
      <c r="L12" s="45"/>
      <c r="M12" s="134" t="s">
        <v>182</v>
      </c>
      <c r="O12" s="139" t="s">
        <v>81</v>
      </c>
      <c r="P12" s="139"/>
      <c r="Q12" s="139"/>
      <c r="R12" s="139"/>
      <c r="S12" s="139"/>
      <c r="T12" s="139"/>
      <c r="U12" s="139"/>
      <c r="V12" s="139"/>
      <c r="W12" s="139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6">
        <f>('EB1'!E$9*'EB1'!$E$25*F13/(K13*G13))*1.01</f>
        <v>233.01046285714281</v>
      </c>
      <c r="F13" s="58">
        <v>0.38</v>
      </c>
      <c r="G13" s="58">
        <v>14</v>
      </c>
      <c r="H13" s="80">
        <v>1.25</v>
      </c>
      <c r="I13" s="80">
        <v>0.16</v>
      </c>
      <c r="J13" s="58">
        <v>10</v>
      </c>
      <c r="K13" s="83">
        <v>1E-3</v>
      </c>
      <c r="M13" s="42">
        <f>E13*G13*K13*H13</f>
        <v>4.0776830999999989</v>
      </c>
      <c r="O13" s="144" t="s">
        <v>97</v>
      </c>
      <c r="P13" s="140"/>
      <c r="Q13" s="140" t="str">
        <f>LEFT($B$2)&amp;'EB1'!$C$25&amp;$H$2&amp;'EB1'!$E$2</f>
        <v>TCAREGAS</v>
      </c>
      <c r="R13" s="141" t="str">
        <f>$D$2&amp;" "&amp;$C$2&amp; " Sector - "&amp;""&amp;$H$1&amp;" "&amp;'EB1'!$X$25&amp;" - "&amp;'EB1'!$E$3</f>
        <v>Demand Technologies Transport Sector - Existing Cars - Natural Gas</v>
      </c>
      <c r="S13" s="144" t="s">
        <v>183</v>
      </c>
      <c r="T13" s="144" t="str">
        <f t="shared" ref="T13:T24" si="3">$G$2</f>
        <v>000_Units</v>
      </c>
      <c r="U13" s="140"/>
      <c r="V13" s="144" t="s">
        <v>145</v>
      </c>
      <c r="W13" s="140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6">
        <f>('EB1'!G$9*'EB1'!$G$25*F14/(K14*G14))*1.01</f>
        <v>87102.97230272727</v>
      </c>
      <c r="F14" s="80">
        <v>0.41</v>
      </c>
      <c r="G14" s="75">
        <v>16.5</v>
      </c>
      <c r="H14" s="80">
        <v>1.25</v>
      </c>
      <c r="I14" s="80">
        <v>0.16</v>
      </c>
      <c r="J14" s="58">
        <v>10</v>
      </c>
      <c r="K14" s="83">
        <v>1E-3</v>
      </c>
      <c r="M14" s="42">
        <f t="shared" ref="M14:M22" si="4">E14*G14*K14*H14</f>
        <v>1796.4988037437502</v>
      </c>
      <c r="O14" s="140"/>
      <c r="P14" s="140"/>
      <c r="Q14" s="140" t="str">
        <f>LEFT($B$2)&amp;'EB1'!$C$25&amp;$H$2&amp;'EB1'!$G$2</f>
        <v>TCAREDSL</v>
      </c>
      <c r="R14" s="141" t="str">
        <f>$D$2&amp;" "&amp;$C$2&amp; " Sector - "&amp;""&amp;$H$1&amp;" "&amp;'EB1'!$X$25&amp;" - "&amp;'EB1'!$G$3</f>
        <v>Demand Technologies Transport Sector - Existing Cars - Diesel oil</v>
      </c>
      <c r="S14" s="149" t="s">
        <v>183</v>
      </c>
      <c r="T14" s="144" t="str">
        <f t="shared" si="3"/>
        <v>000_Units</v>
      </c>
      <c r="U14" s="140"/>
      <c r="V14" s="144" t="s">
        <v>145</v>
      </c>
      <c r="W14" s="140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6">
        <f>('EB1'!I$9*'EB1'!$I$25*F15/(K15*G15))*1.01</f>
        <v>2583.2755571428575</v>
      </c>
      <c r="F15" s="80">
        <v>0.38</v>
      </c>
      <c r="G15" s="75">
        <v>14</v>
      </c>
      <c r="H15" s="80">
        <v>1.25</v>
      </c>
      <c r="I15" s="84">
        <v>0.16</v>
      </c>
      <c r="J15" s="58">
        <v>10</v>
      </c>
      <c r="K15" s="83">
        <v>1E-3</v>
      </c>
      <c r="M15" s="42">
        <f t="shared" si="4"/>
        <v>45.207322250000004</v>
      </c>
      <c r="O15" s="140"/>
      <c r="P15" s="140"/>
      <c r="Q15" s="140" t="str">
        <f>LEFT($B$2)&amp;'EB1'!$C$25&amp;$H$2&amp;'EB1'!$I$2</f>
        <v>TCARELPG</v>
      </c>
      <c r="R15" s="141" t="str">
        <f>$D$2&amp;" "&amp;$C$2&amp; " Sector - "&amp;""&amp;$H$1&amp;" "&amp;'EB1'!$X$25&amp;" - "&amp;'EB1'!$I$3</f>
        <v>Demand Technologies Transport Sector - Existing Cars - LPG</v>
      </c>
      <c r="S15" s="149" t="s">
        <v>183</v>
      </c>
      <c r="T15" s="144" t="str">
        <f t="shared" si="3"/>
        <v>000_Units</v>
      </c>
      <c r="U15" s="140"/>
      <c r="V15" s="144" t="s">
        <v>145</v>
      </c>
      <c r="W15" s="140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6">
        <f>('EB1'!J$9*'EB1'!$J$25*F16/(K16*G16))*1.01</f>
        <v>84109.849043478273</v>
      </c>
      <c r="F16" s="81">
        <v>0.4</v>
      </c>
      <c r="G16" s="82">
        <v>11.5</v>
      </c>
      <c r="H16" s="80">
        <v>1.25</v>
      </c>
      <c r="I16" s="80">
        <v>0.15</v>
      </c>
      <c r="J16" s="58">
        <v>10</v>
      </c>
      <c r="K16" s="83">
        <v>1E-3</v>
      </c>
      <c r="M16" s="42">
        <f t="shared" si="4"/>
        <v>1209.07908</v>
      </c>
      <c r="O16" s="140"/>
      <c r="P16" s="140"/>
      <c r="Q16" s="140" t="str">
        <f>LEFT($B$2)&amp;'EB1'!$C$25&amp;$H$2&amp;'EB1'!$J$2</f>
        <v>TCAREGSL</v>
      </c>
      <c r="R16" s="145" t="str">
        <f>$D$2&amp;" "&amp;$C$2&amp; " Sector - "&amp;""&amp;$H$1&amp;" "&amp;'EB1'!$X$25&amp;" - "&amp;'EB1'!$J$3</f>
        <v>Demand Technologies Transport Sector - Existing Cars - Motor spirit</v>
      </c>
      <c r="S16" s="149" t="s">
        <v>183</v>
      </c>
      <c r="T16" s="144" t="str">
        <f t="shared" si="3"/>
        <v>000_Units</v>
      </c>
      <c r="U16" s="140"/>
      <c r="V16" s="144" t="s">
        <v>145</v>
      </c>
      <c r="W16" s="140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6">
        <f>('EB1'!O$9*'EB1'!$O$25*F17/(K17*G17))*1.01</f>
        <v>3181.5</v>
      </c>
      <c r="F17" s="81">
        <v>0.4</v>
      </c>
      <c r="G17" s="82">
        <v>11.5</v>
      </c>
      <c r="H17" s="80">
        <v>1.25</v>
      </c>
      <c r="I17" s="80">
        <v>0.15</v>
      </c>
      <c r="J17" s="58">
        <v>10</v>
      </c>
      <c r="K17" s="83">
        <v>1E-3</v>
      </c>
      <c r="M17" s="42">
        <f>E17*G17*K17*H17</f>
        <v>45.734062499999993</v>
      </c>
      <c r="O17" s="140"/>
      <c r="P17" s="140"/>
      <c r="Q17" s="140" t="str">
        <f>LEFT($B$2)&amp;'EB1'!$C$25&amp;$H$2&amp;'EB1'!$O$2</f>
        <v>TCAREBIO</v>
      </c>
      <c r="R17" s="145" t="str">
        <f>$D$2&amp;" "&amp;$C$2&amp; " Sector - "&amp;""&amp;$H$1&amp;" "&amp;'EB1'!$X$25&amp;" - "&amp;'EB1'!O3</f>
        <v>Demand Technologies Transport Sector - Existing Cars - Biofuels</v>
      </c>
      <c r="S17" s="149" t="s">
        <v>183</v>
      </c>
      <c r="T17" s="144" t="str">
        <f t="shared" si="3"/>
        <v>000_Units</v>
      </c>
      <c r="U17" s="140"/>
      <c r="V17" s="144" t="s">
        <v>145</v>
      </c>
      <c r="W17" s="140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4">
        <f>('EB1'!U$9*'EB1'!$U$25*F18/(K18*G18))*1.01</f>
        <v>0</v>
      </c>
      <c r="F18" s="115">
        <v>0.4</v>
      </c>
      <c r="G18" s="116">
        <v>11.5</v>
      </c>
      <c r="H18" s="117">
        <v>1.25</v>
      </c>
      <c r="I18" s="117">
        <v>0.15</v>
      </c>
      <c r="J18" s="118">
        <v>10</v>
      </c>
      <c r="K18" s="119">
        <v>1E-3</v>
      </c>
      <c r="L18" s="120"/>
      <c r="M18" s="121">
        <f t="shared" si="4"/>
        <v>0</v>
      </c>
      <c r="O18" s="146"/>
      <c r="P18" s="146"/>
      <c r="Q18" s="146" t="str">
        <f>LEFT($B$2)&amp;'EB1'!$C$25&amp;$H$2&amp;'EB1'!$U$2</f>
        <v>TCAREELC</v>
      </c>
      <c r="R18" s="147" t="str">
        <f>$D$2&amp;" "&amp;$C$2&amp; " Sector - "&amp;""&amp;$H$1&amp;" "&amp;'EB1'!$X$25&amp;" - "&amp;'EB1'!$U$3</f>
        <v>Demand Technologies Transport Sector - Existing Cars - Electricity</v>
      </c>
      <c r="S18" s="148" t="s">
        <v>183</v>
      </c>
      <c r="T18" s="148" t="str">
        <f t="shared" si="3"/>
        <v>000_Units</v>
      </c>
      <c r="U18" s="146"/>
      <c r="V18" s="148" t="s">
        <v>145</v>
      </c>
      <c r="W18" s="146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6">
        <f>('EB1'!E$9*'EB1'!$E$26*F19/(K19*G19))*1.01</f>
        <v>0</v>
      </c>
      <c r="F19" s="80">
        <v>0.1</v>
      </c>
      <c r="G19" s="58">
        <v>50</v>
      </c>
      <c r="H19" s="80">
        <v>15</v>
      </c>
      <c r="I19" s="125">
        <v>0.24</v>
      </c>
      <c r="J19" s="58">
        <v>30</v>
      </c>
      <c r="K19" s="83">
        <v>1E-3</v>
      </c>
      <c r="M19" s="42">
        <f>E19*G19*K19*H19</f>
        <v>0</v>
      </c>
      <c r="O19" s="140"/>
      <c r="P19" s="140"/>
      <c r="Q19" s="140" t="str">
        <f>LEFT($B$2)&amp;'EB1'!$C$26&amp;$H$2&amp;'EB1'!$E$2</f>
        <v>TPUBEGAS</v>
      </c>
      <c r="R19" s="141" t="str">
        <f>$D$2&amp;" "&amp;$C$2&amp; " Sector - "&amp;""&amp;$H$1&amp;" "&amp;'EB1'!$X$26&amp;" - "&amp;'EB1'!$E$3</f>
        <v>Demand Technologies Transport Sector - Existing Pub - Natural Gas</v>
      </c>
      <c r="S19" s="149" t="s">
        <v>183</v>
      </c>
      <c r="T19" s="144" t="str">
        <f t="shared" si="3"/>
        <v>000_Units</v>
      </c>
      <c r="U19" s="140"/>
      <c r="V19" s="144" t="s">
        <v>145</v>
      </c>
      <c r="W19" s="140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6">
        <f>('EB1'!G$9*'EB1'!$G$26*F20/(K20*G20))*1.01</f>
        <v>1168.4545064999998</v>
      </c>
      <c r="F20" s="80">
        <v>0.15</v>
      </c>
      <c r="G20" s="75">
        <v>50</v>
      </c>
      <c r="H20" s="80">
        <v>15</v>
      </c>
      <c r="I20" s="126">
        <v>0.24</v>
      </c>
      <c r="J20" s="58">
        <v>30</v>
      </c>
      <c r="K20" s="83">
        <v>1E-3</v>
      </c>
      <c r="M20" s="42">
        <f>E20*G20*K20*H20</f>
        <v>876.34087987499981</v>
      </c>
      <c r="O20" s="140"/>
      <c r="P20" s="140"/>
      <c r="Q20" s="140" t="str">
        <f>LEFT($B$2)&amp;'EB1'!$C$26&amp;$H$2&amp;'EB1'!$G$2</f>
        <v>TPUBEDSL</v>
      </c>
      <c r="R20" s="141" t="str">
        <f>$D$2&amp;" "&amp;$C$2&amp; " Sector - "&amp;""&amp;$H$1&amp;" "&amp;'EB1'!$X$26&amp;" - "&amp;'EB1'!$G$3</f>
        <v>Demand Technologies Transport Sector - Existing Pub - Diesel oil</v>
      </c>
      <c r="S20" s="149" t="s">
        <v>183</v>
      </c>
      <c r="T20" s="144" t="str">
        <f t="shared" si="3"/>
        <v>000_Units</v>
      </c>
      <c r="U20" s="140"/>
      <c r="V20" s="144" t="s">
        <v>145</v>
      </c>
      <c r="W20" s="140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6">
        <f>('EB1'!I$9*'EB1'!$I$26*F21/(K21*G21))*1.01</f>
        <v>0</v>
      </c>
      <c r="F21" s="80">
        <v>0.1</v>
      </c>
      <c r="G21" s="75">
        <v>50</v>
      </c>
      <c r="H21" s="80">
        <v>15</v>
      </c>
      <c r="I21" s="126">
        <v>0.24</v>
      </c>
      <c r="J21" s="58">
        <v>30</v>
      </c>
      <c r="K21" s="83">
        <v>1E-3</v>
      </c>
      <c r="M21" s="42">
        <f>E21*G21*K21*H21</f>
        <v>0</v>
      </c>
      <c r="O21" s="140"/>
      <c r="P21" s="140"/>
      <c r="Q21" s="140" t="str">
        <f>LEFT($B$2)&amp;'EB1'!$C$26&amp;$H$2&amp;'EB1'!$I$2</f>
        <v>TPUBELPG</v>
      </c>
      <c r="R21" s="141" t="str">
        <f>$D$2&amp;" "&amp;$C$2&amp; " Sector - "&amp;""&amp;$H$1&amp;" "&amp;'EB1'!$X$26&amp;" - "&amp;'EB1'!$I$3</f>
        <v>Demand Technologies Transport Sector - Existing Pub - LPG</v>
      </c>
      <c r="S21" s="149" t="s">
        <v>183</v>
      </c>
      <c r="T21" s="144" t="str">
        <f t="shared" si="3"/>
        <v>000_Units</v>
      </c>
      <c r="U21" s="140"/>
      <c r="V21" s="144" t="s">
        <v>145</v>
      </c>
      <c r="W21" s="140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6">
        <f>('EB1'!J$9*'EB1'!$J$26*F22/(K22*G22))*1.01</f>
        <v>0</v>
      </c>
      <c r="F22" s="81">
        <v>0.15</v>
      </c>
      <c r="G22" s="82">
        <v>20</v>
      </c>
      <c r="H22" s="80">
        <v>15</v>
      </c>
      <c r="I22" s="126">
        <v>0.22499999999999998</v>
      </c>
      <c r="J22" s="58">
        <v>30</v>
      </c>
      <c r="K22" s="83">
        <v>1E-3</v>
      </c>
      <c r="M22" s="42">
        <f t="shared" si="4"/>
        <v>0</v>
      </c>
      <c r="O22" s="140"/>
      <c r="P22" s="140"/>
      <c r="Q22" s="140" t="str">
        <f>LEFT($B$2)&amp;'EB1'!$C$26&amp;$H$2&amp;'EB1'!$J$2</f>
        <v>TPUBEGSL</v>
      </c>
      <c r="R22" s="145" t="str">
        <f>$D$2&amp;" "&amp;$C$2&amp; " Sector - "&amp;""&amp;$H$1&amp;" "&amp;'EB1'!$X$26&amp;" - "&amp;'EB1'!$J$3</f>
        <v>Demand Technologies Transport Sector - Existing Pub - Motor spirit</v>
      </c>
      <c r="S22" s="149" t="s">
        <v>183</v>
      </c>
      <c r="T22" s="144" t="str">
        <f t="shared" si="3"/>
        <v>000_Units</v>
      </c>
      <c r="U22" s="140"/>
      <c r="V22" s="144" t="s">
        <v>145</v>
      </c>
      <c r="W22" s="140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6">
        <f>('EB1'!O$9*'EB1'!$O$26*F23/(K23*G23))*1.01</f>
        <v>228.67031249999999</v>
      </c>
      <c r="F23" s="81">
        <v>0.15</v>
      </c>
      <c r="G23" s="82">
        <v>20</v>
      </c>
      <c r="H23" s="80">
        <v>15</v>
      </c>
      <c r="I23" s="126">
        <v>0.22499999999999998</v>
      </c>
      <c r="J23" s="58">
        <v>30</v>
      </c>
      <c r="K23" s="83">
        <v>1E-3</v>
      </c>
      <c r="M23" s="42">
        <f>E23*G23*K23*H23</f>
        <v>68.60109374999999</v>
      </c>
      <c r="O23" s="140"/>
      <c r="P23" s="140"/>
      <c r="Q23" s="140" t="str">
        <f>LEFT($B$2)&amp;'EB1'!$C$26&amp;$H$2&amp;'EB1'!$O$2</f>
        <v>TPUBEBIO</v>
      </c>
      <c r="R23" s="145" t="str">
        <f>$D$2&amp;" "&amp;$C$2&amp; " Sector - "&amp;""&amp;$H$1&amp;" "&amp;'EB1'!$X$26&amp;" - "&amp;'EB1'!O3</f>
        <v>Demand Technologies Transport Sector - Existing Pub - Biofuels</v>
      </c>
      <c r="S23" s="149" t="s">
        <v>183</v>
      </c>
      <c r="T23" s="144" t="str">
        <f t="shared" si="3"/>
        <v>000_Units</v>
      </c>
      <c r="U23" s="140"/>
      <c r="V23" s="144" t="s">
        <v>145</v>
      </c>
      <c r="W23" s="140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4">
        <f>('EB1'!U$9*'EB1'!$U$26*F24/(K24*G24))*1.01</f>
        <v>40.294757999999995</v>
      </c>
      <c r="F24" s="115">
        <v>0.03</v>
      </c>
      <c r="G24" s="116">
        <v>100</v>
      </c>
      <c r="H24" s="117">
        <v>200</v>
      </c>
      <c r="I24" s="117">
        <v>0.22499999999999998</v>
      </c>
      <c r="J24" s="118">
        <v>30</v>
      </c>
      <c r="K24" s="119">
        <v>1E-3</v>
      </c>
      <c r="M24" s="121">
        <f>E24*G24*K24*H24</f>
        <v>805.89515999999981</v>
      </c>
      <c r="O24" s="146"/>
      <c r="P24" s="146"/>
      <c r="Q24" s="146" t="str">
        <f>LEFT($B$2)&amp;'EB1'!$C$26&amp;$H$2&amp;'EB1'!$U$2</f>
        <v>TPUBEELC</v>
      </c>
      <c r="R24" s="147" t="str">
        <f>$D$2&amp;" "&amp;$C$2&amp; " Sector - "&amp;""&amp;$H$1&amp;" "&amp;'EB1'!$X$26&amp;" - "&amp;'EB1'!$U$3</f>
        <v>Demand Technologies Transport Sector - Existing Pub - Electricity</v>
      </c>
      <c r="S24" s="148" t="s">
        <v>183</v>
      </c>
      <c r="T24" s="148" t="str">
        <f t="shared" si="3"/>
        <v>000_Units</v>
      </c>
      <c r="U24" s="146"/>
      <c r="V24" s="148" t="s">
        <v>145</v>
      </c>
      <c r="W24" s="146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8"/>
      <c r="C27" s="1" t="s">
        <v>159</v>
      </c>
      <c r="K27" s="1"/>
      <c r="L27" s="11"/>
      <c r="M27" s="1"/>
    </row>
    <row r="28" spans="1:23" x14ac:dyDescent="0.2">
      <c r="B28" s="77"/>
      <c r="C28" s="1" t="s">
        <v>160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L30" sqref="L3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8" width="13.5703125" customWidth="1"/>
    <col min="9" max="9" width="5" bestFit="1" customWidth="1"/>
  </cols>
  <sheetData>
    <row r="1" spans="2:10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0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80</v>
      </c>
      <c r="C6" s="2" t="s">
        <v>0</v>
      </c>
      <c r="D6" s="2" t="s">
        <v>152</v>
      </c>
      <c r="E6" s="93">
        <v>2005</v>
      </c>
      <c r="G6" s="2" t="s">
        <v>80</v>
      </c>
      <c r="H6" s="2" t="s">
        <v>0</v>
      </c>
      <c r="I6" s="2" t="s">
        <v>119</v>
      </c>
      <c r="J6" s="2">
        <v>2005</v>
      </c>
    </row>
    <row r="7" spans="2:10" ht="22.5" x14ac:dyDescent="0.2">
      <c r="B7" s="20" t="s">
        <v>81</v>
      </c>
      <c r="C7" s="20" t="s">
        <v>82</v>
      </c>
      <c r="D7" s="20" t="s">
        <v>153</v>
      </c>
      <c r="E7" s="89" t="s">
        <v>36</v>
      </c>
      <c r="G7" s="20" t="s">
        <v>81</v>
      </c>
      <c r="H7" s="20" t="s">
        <v>82</v>
      </c>
      <c r="I7" s="20"/>
      <c r="J7" s="20"/>
    </row>
    <row r="8" spans="2:10" ht="13.5" thickBot="1" x14ac:dyDescent="0.25">
      <c r="B8" s="19" t="s">
        <v>91</v>
      </c>
      <c r="C8" s="19"/>
      <c r="D8" s="19"/>
      <c r="E8" s="17" t="str">
        <f>E2</f>
        <v>BPkm</v>
      </c>
      <c r="G8" s="19" t="s">
        <v>91</v>
      </c>
      <c r="H8" s="19"/>
      <c r="I8" s="19"/>
      <c r="J8" s="19"/>
    </row>
    <row r="9" spans="2:10" x14ac:dyDescent="0.2">
      <c r="B9" s="8" t="s">
        <v>35</v>
      </c>
      <c r="C9" s="8" t="str">
        <f>DemTechs_TRA!$Q$5</f>
        <v>DTCAR</v>
      </c>
      <c r="D9" s="25" t="s">
        <v>184</v>
      </c>
      <c r="E9" s="82">
        <f>SUM(DemTechs_TRA!M13:M18)</f>
        <v>3100.5969515937504</v>
      </c>
      <c r="G9" s="1" t="s">
        <v>120</v>
      </c>
      <c r="H9" s="8" t="str">
        <f>DemTechs_TRA!$Q$5</f>
        <v>DTCAR</v>
      </c>
      <c r="I9" s="39" t="s">
        <v>121</v>
      </c>
      <c r="J9" s="58">
        <v>0.25</v>
      </c>
    </row>
    <row r="10" spans="2:10" x14ac:dyDescent="0.2">
      <c r="B10" s="8" t="s">
        <v>35</v>
      </c>
      <c r="C10" s="8" t="str">
        <f>DemTechs_TRA!$Q$6</f>
        <v>DTPUB</v>
      </c>
      <c r="D10" s="25" t="s">
        <v>184</v>
      </c>
      <c r="E10" s="82">
        <f>SUM(DemTechs_TRA!M19:M24)</f>
        <v>1750.8371336249998</v>
      </c>
      <c r="G10" s="1" t="s">
        <v>120</v>
      </c>
      <c r="H10" s="8" t="str">
        <f>DemTechs_TRA!$Q$5</f>
        <v>DTCAR</v>
      </c>
      <c r="I10" s="39" t="s">
        <v>122</v>
      </c>
      <c r="J10" s="58">
        <v>0.25</v>
      </c>
    </row>
    <row r="11" spans="2:10" x14ac:dyDescent="0.2">
      <c r="G11" s="1" t="s">
        <v>120</v>
      </c>
      <c r="H11" s="8" t="str">
        <f>DemTechs_TRA!$Q$5</f>
        <v>DTCAR</v>
      </c>
      <c r="I11" s="39" t="s">
        <v>123</v>
      </c>
      <c r="J11" s="58">
        <v>0.25</v>
      </c>
    </row>
    <row r="12" spans="2:10" x14ac:dyDescent="0.2">
      <c r="E12" s="36"/>
      <c r="G12" s="40" t="s">
        <v>120</v>
      </c>
      <c r="H12" s="27" t="str">
        <f>DemTechs_TRA!$Q$5</f>
        <v>DTCAR</v>
      </c>
      <c r="I12" s="41" t="s">
        <v>124</v>
      </c>
      <c r="J12" s="118">
        <v>0.25</v>
      </c>
    </row>
    <row r="13" spans="2:10" x14ac:dyDescent="0.2">
      <c r="E13" s="10"/>
      <c r="G13" s="1" t="s">
        <v>120</v>
      </c>
      <c r="H13" s="8" t="str">
        <f>DemTechs_TRA!$Q$6</f>
        <v>DTPUB</v>
      </c>
      <c r="I13" s="39" t="s">
        <v>121</v>
      </c>
      <c r="J13" s="58">
        <v>0.25</v>
      </c>
    </row>
    <row r="14" spans="2:10" x14ac:dyDescent="0.2">
      <c r="G14" s="1" t="s">
        <v>120</v>
      </c>
      <c r="H14" s="8" t="str">
        <f>DemTechs_TRA!$Q$6</f>
        <v>DTPUB</v>
      </c>
      <c r="I14" s="39" t="s">
        <v>122</v>
      </c>
      <c r="J14" s="58">
        <v>0.25</v>
      </c>
    </row>
    <row r="15" spans="2:10" x14ac:dyDescent="0.2">
      <c r="E15" s="10"/>
      <c r="G15" s="1" t="s">
        <v>120</v>
      </c>
      <c r="H15" s="8" t="str">
        <f>DemTechs_TRA!$Q$6</f>
        <v>DTPUB</v>
      </c>
      <c r="I15" s="39" t="s">
        <v>123</v>
      </c>
      <c r="J15" s="58">
        <v>0.25</v>
      </c>
    </row>
    <row r="16" spans="2:10" x14ac:dyDescent="0.2">
      <c r="G16" s="1" t="s">
        <v>120</v>
      </c>
      <c r="H16" s="8" t="str">
        <f>DemTechs_TRA!$Q$6</f>
        <v>DTPUB</v>
      </c>
      <c r="I16" s="122" t="s">
        <v>124</v>
      </c>
      <c r="J16" s="58">
        <v>0.25</v>
      </c>
    </row>
    <row r="23" spans="2:3" x14ac:dyDescent="0.2">
      <c r="B23" s="58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8" t="s">
        <v>149</v>
      </c>
      <c r="C3" s="48"/>
      <c r="D3" s="48"/>
      <c r="E3" s="48"/>
      <c r="F3" s="48"/>
      <c r="G3" s="48"/>
      <c r="H3" s="48"/>
    </row>
    <row r="4" spans="2:9" s="6" customFormat="1" ht="17.45" customHeight="1" x14ac:dyDescent="0.25">
      <c r="B4" s="49"/>
      <c r="C4" s="49"/>
      <c r="D4" s="49"/>
      <c r="E4" s="49"/>
      <c r="F4" s="49"/>
      <c r="G4" s="49"/>
    </row>
    <row r="5" spans="2:9" ht="18" x14ac:dyDescent="0.25">
      <c r="B5" s="46" t="s">
        <v>150</v>
      </c>
      <c r="C5" s="47"/>
      <c r="G5" s="38"/>
      <c r="H5" s="38"/>
    </row>
    <row r="6" spans="2:9" ht="13.5" thickBot="1" x14ac:dyDescent="0.25">
      <c r="B6" s="51" t="s">
        <v>0</v>
      </c>
      <c r="C6" s="51" t="str">
        <f>Sector_Fuels_TRA!L5</f>
        <v>TRAGAS</v>
      </c>
      <c r="D6" s="51" t="str">
        <f>Sector_Fuels_TRA!L6</f>
        <v>TRADSL</v>
      </c>
      <c r="E6" s="51" t="str">
        <f>Sector_Fuels_TRA!L7</f>
        <v>TRALPG</v>
      </c>
      <c r="F6" s="51" t="str">
        <f>Sector_Fuels_TRA!L8</f>
        <v>TRAGSL</v>
      </c>
      <c r="G6" s="50"/>
      <c r="H6" s="50"/>
      <c r="I6" s="1"/>
    </row>
    <row r="7" spans="2:9" ht="13.5" thickBot="1" x14ac:dyDescent="0.25">
      <c r="B7" s="19" t="s">
        <v>91</v>
      </c>
      <c r="C7" s="19" t="s">
        <v>158</v>
      </c>
      <c r="D7" s="19" t="s">
        <v>158</v>
      </c>
      <c r="E7" s="19" t="s">
        <v>158</v>
      </c>
      <c r="F7" s="19" t="s">
        <v>158</v>
      </c>
      <c r="G7" s="123"/>
      <c r="H7" s="123"/>
      <c r="I7" s="1"/>
    </row>
    <row r="8" spans="2:9" x14ac:dyDescent="0.2">
      <c r="B8" s="50" t="str">
        <f>DemTechs_TRA!Q7</f>
        <v>TRACO2</v>
      </c>
      <c r="C8" s="80">
        <v>56.1</v>
      </c>
      <c r="D8" s="80">
        <v>75</v>
      </c>
      <c r="E8" s="80">
        <v>64</v>
      </c>
      <c r="F8" s="80">
        <v>73</v>
      </c>
      <c r="G8" s="124"/>
      <c r="H8" s="124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8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787696480751037</vt:r8>
  </property>
</Properties>
</file>