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5B864BA6-BBE6-4CB2-8D54-F6AA63330D4A}" xr6:coauthVersionLast="45" xr6:coauthVersionMax="45" xr10:uidLastSave="{00000000-0000-0000-0000-000000000000}"/>
  <bookViews>
    <workbookView xWindow="390" yWindow="390" windowWidth="15375" windowHeight="7875" tabRatio="901" activeTab="4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M9" i="152"/>
  <c r="M20" i="152" s="1"/>
  <c r="O26" i="133"/>
  <c r="D5" i="133"/>
  <c r="E5" i="133"/>
  <c r="E13" i="133" s="1"/>
  <c r="F5" i="133"/>
  <c r="G5" i="133"/>
  <c r="H5" i="133"/>
  <c r="H13" i="133" s="1"/>
  <c r="I5" i="133"/>
  <c r="J5" i="133"/>
  <c r="K5" i="133"/>
  <c r="K13" i="133" s="1"/>
  <c r="L5" i="133"/>
  <c r="L13" i="133" s="1"/>
  <c r="M5" i="133"/>
  <c r="N5" i="133"/>
  <c r="O5" i="133"/>
  <c r="O13" i="133" s="1"/>
  <c r="P5" i="133"/>
  <c r="Q5" i="133"/>
  <c r="R5" i="133"/>
  <c r="S5" i="133"/>
  <c r="S13" i="133" s="1"/>
  <c r="T5" i="133"/>
  <c r="U5" i="133"/>
  <c r="U13" i="133" s="1"/>
  <c r="D6" i="133"/>
  <c r="D13" i="133" s="1"/>
  <c r="E6" i="133"/>
  <c r="F6" i="133"/>
  <c r="G6" i="133"/>
  <c r="H6" i="133"/>
  <c r="I6" i="133"/>
  <c r="J6" i="133"/>
  <c r="K6" i="133"/>
  <c r="L6" i="133"/>
  <c r="M6" i="133"/>
  <c r="N6" i="133"/>
  <c r="N13" i="133" s="1"/>
  <c r="O6" i="133"/>
  <c r="P6" i="133"/>
  <c r="Q6" i="133"/>
  <c r="R6" i="133"/>
  <c r="S6" i="133"/>
  <c r="T6" i="133"/>
  <c r="T13" i="133" s="1"/>
  <c r="U6" i="133"/>
  <c r="D7" i="133"/>
  <c r="V7" i="133" s="1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F13" i="133" s="1"/>
  <c r="G8" i="133"/>
  <c r="H8" i="133"/>
  <c r="I8" i="133"/>
  <c r="J8" i="133"/>
  <c r="J13" i="133" s="1"/>
  <c r="K8" i="133"/>
  <c r="L8" i="133"/>
  <c r="M8" i="133"/>
  <c r="M13" i="133" s="1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E14" i="141" s="1"/>
  <c r="M14" i="141" s="1"/>
  <c r="H9" i="133"/>
  <c r="I9" i="133"/>
  <c r="E15" i="141" s="1"/>
  <c r="M15" i="141" s="1"/>
  <c r="J9" i="133"/>
  <c r="E16" i="141"/>
  <c r="M16" i="141" s="1"/>
  <c r="K9" i="133"/>
  <c r="L9" i="133"/>
  <c r="M9" i="133"/>
  <c r="N9" i="133"/>
  <c r="O9" i="133"/>
  <c r="E17" i="141"/>
  <c r="M17" i="141"/>
  <c r="P9" i="133"/>
  <c r="Q9" i="133"/>
  <c r="R9" i="133"/>
  <c r="S9" i="133"/>
  <c r="T9" i="133"/>
  <c r="U9" i="133"/>
  <c r="E18" i="141"/>
  <c r="M18" i="14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G13" i="133"/>
  <c r="H11" i="133"/>
  <c r="I11" i="133"/>
  <c r="J11" i="133"/>
  <c r="K11" i="133"/>
  <c r="V11" i="133" s="1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V12" i="133" s="1"/>
  <c r="G12" i="133"/>
  <c r="H12" i="133"/>
  <c r="I12" i="133"/>
  <c r="I13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E19" i="141"/>
  <c r="M19" i="141"/>
  <c r="G26" i="133"/>
  <c r="I26" i="133"/>
  <c r="J26" i="133"/>
  <c r="U26" i="133"/>
  <c r="E24" i="141"/>
  <c r="M24" i="141"/>
  <c r="F2" i="152"/>
  <c r="E2" i="152"/>
  <c r="N10" i="152" s="1"/>
  <c r="N20" i="152"/>
  <c r="T24" i="141"/>
  <c r="T22" i="141"/>
  <c r="T21" i="141"/>
  <c r="T20" i="141"/>
  <c r="T19" i="141"/>
  <c r="T18" i="141"/>
  <c r="T13" i="141"/>
  <c r="E2" i="134"/>
  <c r="E8" i="134"/>
  <c r="S7" i="141"/>
  <c r="C2" i="152"/>
  <c r="M6" i="152" s="1"/>
  <c r="M17" i="152" s="1"/>
  <c r="M5" i="152"/>
  <c r="M16" i="152"/>
  <c r="B2" i="152"/>
  <c r="L5" i="152" s="1"/>
  <c r="L10" i="152"/>
  <c r="D21" i="152" s="1"/>
  <c r="C21" i="152" s="1"/>
  <c r="L7" i="152"/>
  <c r="E6" i="149" s="1"/>
  <c r="L18" i="152"/>
  <c r="B18" i="152" s="1"/>
  <c r="T16" i="141"/>
  <c r="T15" i="141"/>
  <c r="T14" i="141"/>
  <c r="E12" i="141"/>
  <c r="E2" i="141"/>
  <c r="C2" i="141"/>
  <c r="R6" i="141" s="1"/>
  <c r="R23" i="141"/>
  <c r="B2" i="141"/>
  <c r="Q17" i="141"/>
  <c r="B17" i="141"/>
  <c r="C17" i="141"/>
  <c r="F2" i="141"/>
  <c r="I12" i="141"/>
  <c r="G2" i="134"/>
  <c r="O16" i="152"/>
  <c r="Q19" i="141"/>
  <c r="B19" i="141"/>
  <c r="Q24" i="141"/>
  <c r="B24" i="141" s="1"/>
  <c r="C24" i="141" s="1"/>
  <c r="O18" i="152"/>
  <c r="N5" i="152"/>
  <c r="F15" i="152"/>
  <c r="M7" i="152"/>
  <c r="M18" i="152"/>
  <c r="R14" i="141"/>
  <c r="L8" i="152"/>
  <c r="F6" i="149"/>
  <c r="R22" i="141"/>
  <c r="Q20" i="141"/>
  <c r="B20" i="141"/>
  <c r="L6" i="152"/>
  <c r="D17" i="152" s="1"/>
  <c r="C17" i="152" s="1"/>
  <c r="D6" i="149"/>
  <c r="R19" i="141"/>
  <c r="D19" i="152"/>
  <c r="C19" i="152"/>
  <c r="L17" i="152"/>
  <c r="B17" i="152" s="1"/>
  <c r="N19" i="152"/>
  <c r="N7" i="152"/>
  <c r="O21" i="152"/>
  <c r="N18" i="152"/>
  <c r="O19" i="152"/>
  <c r="O20" i="152"/>
  <c r="N8" i="152"/>
  <c r="N9" i="152"/>
  <c r="O17" i="152"/>
  <c r="L9" i="152"/>
  <c r="D20" i="152"/>
  <c r="C20" i="152"/>
  <c r="N16" i="152"/>
  <c r="M8" i="152"/>
  <c r="M19" i="152" s="1"/>
  <c r="M10" i="152"/>
  <c r="M21" i="152"/>
  <c r="R15" i="141"/>
  <c r="L20" i="152"/>
  <c r="B20" i="152"/>
  <c r="E13" i="141"/>
  <c r="M13" i="141" s="1"/>
  <c r="V10" i="133"/>
  <c r="E23" i="141"/>
  <c r="M23" i="141"/>
  <c r="C19" i="141"/>
  <c r="Q22" i="141"/>
  <c r="B22" i="141"/>
  <c r="R20" i="141"/>
  <c r="Q23" i="141"/>
  <c r="B23" i="141"/>
  <c r="C23" i="141"/>
  <c r="L19" i="152"/>
  <c r="B19" i="152" s="1"/>
  <c r="R18" i="141"/>
  <c r="C20" i="141"/>
  <c r="R13" i="141"/>
  <c r="R5" i="141"/>
  <c r="R24" i="141"/>
  <c r="Q5" i="141"/>
  <c r="D18" i="141" s="1"/>
  <c r="Q18" i="141"/>
  <c r="B18" i="141"/>
  <c r="C18" i="141"/>
  <c r="Q6" i="141"/>
  <c r="D22" i="141" s="1"/>
  <c r="Q15" i="141"/>
  <c r="B15" i="141"/>
  <c r="C15" i="141"/>
  <c r="Q13" i="141"/>
  <c r="B13" i="141" s="1"/>
  <c r="C13" i="141" s="1"/>
  <c r="R7" i="141"/>
  <c r="C22" i="141"/>
  <c r="Q21" i="141"/>
  <c r="B21" i="141"/>
  <c r="C21" i="141"/>
  <c r="Q16" i="141"/>
  <c r="B16" i="141" s="1"/>
  <c r="C16" i="141" s="1"/>
  <c r="Q14" i="141"/>
  <c r="B14" i="141"/>
  <c r="C14" i="141" s="1"/>
  <c r="Q7" i="141"/>
  <c r="B8" i="149"/>
  <c r="D20" i="141"/>
  <c r="H14" i="134"/>
  <c r="D23" i="141"/>
  <c r="C9" i="134"/>
  <c r="H11" i="134"/>
  <c r="D13" i="141"/>
  <c r="E22" i="141"/>
  <c r="M22" i="141" s="1"/>
  <c r="E9" i="134" l="1"/>
  <c r="L16" i="152"/>
  <c r="B16" i="152" s="1"/>
  <c r="C6" i="149"/>
  <c r="D16" i="152"/>
  <c r="C16" i="152" s="1"/>
  <c r="V5" i="133"/>
  <c r="D17" i="141"/>
  <c r="C10" i="134"/>
  <c r="D19" i="141"/>
  <c r="E21" i="141"/>
  <c r="M21" i="141" s="1"/>
  <c r="V6" i="133"/>
  <c r="H12" i="134"/>
  <c r="D14" i="141"/>
  <c r="D21" i="141"/>
  <c r="H16" i="134"/>
  <c r="E20" i="141"/>
  <c r="M20" i="141" s="1"/>
  <c r="E10" i="134" s="1"/>
  <c r="R17" i="141"/>
  <c r="D16" i="141"/>
  <c r="L21" i="152"/>
  <c r="B21" i="152" s="1"/>
  <c r="H10" i="134"/>
  <c r="D24" i="141"/>
  <c r="D15" i="141"/>
  <c r="H9" i="134"/>
  <c r="H13" i="134"/>
  <c r="H15" i="134"/>
  <c r="R21" i="141"/>
  <c r="N21" i="152"/>
  <c r="D18" i="152"/>
  <c r="C18" i="152" s="1"/>
  <c r="N6" i="152"/>
  <c r="N17" i="152"/>
  <c r="R16" i="141"/>
  <c r="V13" i="133" l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<sst xmlns="http://schemas.openxmlformats.org/spreadsheetml/2006/main" count="337" uniqueCount="184">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</sst>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7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7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8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24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2" fillId="11" borderId="0" xfId="9" applyNumberFormat="1" applyBorder="1" applyAlignment="1"/>
    <xf numFmtId="1" fontId="20" fillId="9" borderId="4" xfId="6" applyNumberFormat="1" applyBorder="1" applyAlignment="1">
      <alignment horizontal="right"/>
    </xf>
    <xf numFmtId="1" fontId="20" fillId="9" borderId="5" xfId="6" applyNumberFormat="1" applyBorder="1" applyAlignment="1">
      <alignment horizontal="right"/>
    </xf>
    <xf numFmtId="187" fontId="20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5" borderId="12" xfId="0" applyFont="1" applyFill="1" applyBorder="1" applyAlignment="1">
      <alignment wrapText="1"/>
    </xf>
    <xf numFmtId="0" fontId="29" fillId="15" borderId="5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0" applyNumberFormat="1" applyFont="1" applyFill="1"/>
    <xf numFmtId="0" fontId="4" fillId="16" borderId="0" xfId="10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0" applyNumberFormat="1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9" fillId="15" borderId="0" xfId="0" applyFont="1" applyFill="1" applyBorder="1"/>
    <xf numFmtId="9" fontId="13" fillId="17" borderId="10" xfId="18" applyFont="1" applyFill="1" applyBorder="1" applyAlignment="1">
      <alignment horizontal="left" vertical="center"/>
    </xf>
    <xf numFmtId="9" fontId="13" fillId="17" borderId="1" xfId="18" applyFont="1" applyFill="1" applyBorder="1" applyAlignment="1">
      <alignment horizontal="left" vertical="center"/>
    </xf>
    <xf numFmtId="9" fontId="13" fillId="17" borderId="11" xfId="18" applyFont="1" applyFill="1" applyBorder="1" applyAlignment="1">
      <alignment horizontal="left" vertical="center"/>
    </xf>
    <xf numFmtId="9" fontId="13" fillId="17" borderId="2" xfId="18" applyFont="1" applyFill="1" applyBorder="1" applyAlignment="1">
      <alignment horizontal="left" vertical="center"/>
    </xf>
    <xf numFmtId="9" fontId="22" fillId="11" borderId="1" xfId="18" applyFont="1" applyFill="1" applyBorder="1" applyAlignment="1"/>
    <xf numFmtId="9" fontId="22" fillId="11" borderId="2" xfId="18" applyFont="1" applyFill="1" applyBorder="1" applyAlignment="1"/>
    <xf numFmtId="9" fontId="4" fillId="0" borderId="0" xfId="22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4" fillId="0" borderId="0" xfId="11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1" fillId="0" borderId="0" xfId="11" applyFont="1"/>
    <xf numFmtId="0" fontId="3" fillId="19" borderId="0" xfId="11" applyFont="1" applyFill="1"/>
    <xf numFmtId="9" fontId="22" fillId="11" borderId="16" xfId="18" applyFont="1" applyFill="1" applyBorder="1" applyAlignment="1"/>
    <xf numFmtId="9" fontId="22" fillId="11" borderId="14" xfId="18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8" fillId="14" borderId="1" xfId="2" applyNumberFormat="1" applyFont="1" applyFill="1" applyBorder="1" applyAlignment="1">
      <alignment horizontal="center" wrapText="1"/>
    </xf>
    <xf numFmtId="1" fontId="28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</cellXfs>
  <cellStyles count="2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4" xfId="21"/>
    <cellStyle name="Percent 5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628AD-49AF-4CEA-9D3A-9F3D0BE4CAD1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20" name="Picture 6">
          <a:extLst>
            <a:ext uri="{FF2B5EF4-FFF2-40B4-BE49-F238E27FC236}">
              <a16:creationId xmlns:a16="http://schemas.microsoft.com/office/drawing/2014/main" id="{43CE3C2D-39A5-4505-A2C7-98792B2D6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21" name="Picture 8">
          <a:extLst>
            <a:ext uri="{FF2B5EF4-FFF2-40B4-BE49-F238E27FC236}">
              <a16:creationId xmlns:a16="http://schemas.microsoft.com/office/drawing/2014/main" id="{59480AFF-7658-4AF3-A0F9-66C778DB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22" name="Picture 4">
          <a:extLst>
            <a:ext uri="{FF2B5EF4-FFF2-40B4-BE49-F238E27FC236}">
              <a16:creationId xmlns:a16="http://schemas.microsoft.com/office/drawing/2014/main" id="{9C960150-782C-4102-A805-D5ABDCC6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23" name="Picture 5">
          <a:extLst>
            <a:ext uri="{FF2B5EF4-FFF2-40B4-BE49-F238E27FC236}">
              <a16:creationId xmlns:a16="http://schemas.microsoft.com/office/drawing/2014/main" id="{006C0057-0FAA-4576-81A6-3D3C5386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D64D5F-56FC-489B-B84A-AAB0770DB34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6A6429-BC6C-41F4-86F2-BFCE5CC5477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8DD0AA-05C9-41D3-95A4-397DD0C2F428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C9EC96-1A6E-4710-A50F-4CCF8F18C48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168</v>
      </c>
      <c r="P2" s="54" t="s">
        <v>169</v>
      </c>
      <c r="Q2" s="54" t="s">
        <v>170</v>
      </c>
      <c r="R2" s="54" t="s">
        <v>171</v>
      </c>
      <c r="S2" s="54" t="s">
        <v>48</v>
      </c>
      <c r="T2" s="54" t="s">
        <v>49</v>
      </c>
      <c r="U2" s="54" t="s">
        <v>50</v>
      </c>
      <c r="V2" s="54" t="s">
        <v>166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173</v>
      </c>
      <c r="Q3" s="55" t="s">
        <v>174</v>
      </c>
      <c r="R3" s="55" t="s">
        <v>175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4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5"/>
    </row>
    <row r="5" spans="1:27" x14ac:dyDescent="0.2">
      <c r="A5" s="6"/>
      <c r="B5" s="56" t="s">
        <v>58</v>
      </c>
      <c r="C5" s="64" t="s">
        <v>59</v>
      </c>
      <c r="D5" s="96">
        <f>[2]EB2!D16</f>
        <v>124.79425000000001</v>
      </c>
      <c r="E5" s="96">
        <f>[2]EB2!E16</f>
        <v>3095.8757999999998</v>
      </c>
      <c r="F5" s="96">
        <f>[2]EB2!F16</f>
        <v>0</v>
      </c>
      <c r="G5" s="96">
        <f>[2]EB2!G16</f>
        <v>862.053</v>
      </c>
      <c r="H5" s="96">
        <f>[2]EB2!H16</f>
        <v>72.9495</v>
      </c>
      <c r="I5" s="96">
        <f>[2]EB2!I16</f>
        <v>190.17599999999999</v>
      </c>
      <c r="J5" s="96">
        <f>[2]EB2!J16</f>
        <v>3.1680000000000001</v>
      </c>
      <c r="K5" s="96">
        <f>[2]EB2!K16</f>
        <v>0</v>
      </c>
      <c r="L5" s="96">
        <f>[2]EB2!L16</f>
        <v>15.38</v>
      </c>
      <c r="M5" s="96">
        <f>[2]EB2!M16</f>
        <v>0.92</v>
      </c>
      <c r="N5" s="97">
        <f>[2]EB2!N16</f>
        <v>0</v>
      </c>
      <c r="O5" s="96">
        <f>[2]EB2!O16</f>
        <v>298.48174999999992</v>
      </c>
      <c r="P5" s="96">
        <f>[2]EB2!P16</f>
        <v>0</v>
      </c>
      <c r="Q5" s="96">
        <f>[2]EB2!Q16</f>
        <v>0</v>
      </c>
      <c r="R5" s="96">
        <f>[2]EB2!R16</f>
        <v>50</v>
      </c>
      <c r="S5" s="96">
        <f>[2]EB2!S16</f>
        <v>0</v>
      </c>
      <c r="T5" s="96">
        <f>[2]EB2!T16</f>
        <v>432.74250000000001</v>
      </c>
      <c r="U5" s="96">
        <f>[2]EB2!U16</f>
        <v>1435.8710000000001</v>
      </c>
      <c r="V5" s="98">
        <f>SUM(D5:U5)</f>
        <v>6582.4117999999999</v>
      </c>
    </row>
    <row r="6" spans="1:27" x14ac:dyDescent="0.2">
      <c r="A6" s="6"/>
      <c r="B6" s="56" t="s">
        <v>60</v>
      </c>
      <c r="C6" s="65" t="s">
        <v>61</v>
      </c>
      <c r="D6" s="96">
        <f>[2]EB2!D17</f>
        <v>19.923749999999998</v>
      </c>
      <c r="E6" s="96">
        <f>[2]EB2!E17</f>
        <v>1051.038</v>
      </c>
      <c r="F6" s="96">
        <f>[2]EB2!F17</f>
        <v>0</v>
      </c>
      <c r="G6" s="96">
        <f>[2]EB2!G17</f>
        <v>368.84399999999999</v>
      </c>
      <c r="H6" s="96">
        <f>[2]EB2!H17</f>
        <v>1.677</v>
      </c>
      <c r="I6" s="96">
        <f>[2]EB2!I17</f>
        <v>31.602</v>
      </c>
      <c r="J6" s="96">
        <f>[2]EB2!J17</f>
        <v>5.72</v>
      </c>
      <c r="K6" s="96">
        <f>[2]EB2!K17</f>
        <v>0</v>
      </c>
      <c r="L6" s="96">
        <f>[2]EB2!L17</f>
        <v>19.32</v>
      </c>
      <c r="M6" s="96">
        <f>[2]EB2!M17</f>
        <v>0.24199999999999999</v>
      </c>
      <c r="N6" s="97">
        <f>[2]EB2!N17</f>
        <v>0</v>
      </c>
      <c r="O6" s="96">
        <f>[2]EB2!O17</f>
        <v>13</v>
      </c>
      <c r="P6" s="96">
        <f>[2]EB2!P17</f>
        <v>0</v>
      </c>
      <c r="Q6" s="96">
        <f>[2]EB2!Q17</f>
        <v>0</v>
      </c>
      <c r="R6" s="96">
        <f>[2]EB2!R17</f>
        <v>7.5</v>
      </c>
      <c r="S6" s="96">
        <f>[2]EB2!S17</f>
        <v>0.60850000000000004</v>
      </c>
      <c r="T6" s="96">
        <f>[2]EB2!T17</f>
        <v>127.32299999999999</v>
      </c>
      <c r="U6" s="96">
        <f>[2]EB2!U17</f>
        <v>1263.6955</v>
      </c>
      <c r="V6" s="98">
        <f t="shared" ref="V6:V12" si="0">SUM(D6:U6)</f>
        <v>2910.4937500000001</v>
      </c>
    </row>
    <row r="7" spans="1:27" x14ac:dyDescent="0.2">
      <c r="A7" s="6"/>
      <c r="B7" s="56" t="s">
        <v>62</v>
      </c>
      <c r="C7" s="65" t="s">
        <v>63</v>
      </c>
      <c r="D7" s="96">
        <f>[2]EB2!D18</f>
        <v>663.94509999999991</v>
      </c>
      <c r="E7" s="96">
        <f>[2]EB2!E18</f>
        <v>2662.2965999999997</v>
      </c>
      <c r="F7" s="96">
        <f>[2]EB2!F18</f>
        <v>0</v>
      </c>
      <c r="G7" s="96">
        <f>[2]EB2!G18</f>
        <v>298.68</v>
      </c>
      <c r="H7" s="96">
        <f>[2]EB2!H18</f>
        <v>36.356499999999997</v>
      </c>
      <c r="I7" s="96">
        <f>[2]EB2!I18</f>
        <v>142.97149999999999</v>
      </c>
      <c r="J7" s="96">
        <f>[2]EB2!J18</f>
        <v>7.766</v>
      </c>
      <c r="K7" s="96">
        <f>[2]EB2!K18</f>
        <v>44.066000000000003</v>
      </c>
      <c r="L7" s="96">
        <f>[2]EB2!L18</f>
        <v>286.0505</v>
      </c>
      <c r="M7" s="96">
        <f>[2]EB2!M18</f>
        <v>191.57300000000001</v>
      </c>
      <c r="N7" s="97">
        <f>[2]EB2!N18</f>
        <v>0</v>
      </c>
      <c r="O7" s="96">
        <f>[2]EB2!O18</f>
        <v>180.41775000000007</v>
      </c>
      <c r="P7" s="96">
        <f>[2]EB2!P18</f>
        <v>0</v>
      </c>
      <c r="Q7" s="96">
        <f>[2]EB2!Q18</f>
        <v>0</v>
      </c>
      <c r="R7" s="96">
        <f>[2]EB2!R18</f>
        <v>0</v>
      </c>
      <c r="S7" s="96">
        <f>[2]EB2!S18</f>
        <v>58.595999999999997</v>
      </c>
      <c r="T7" s="96">
        <f>[2]EB2!T18</f>
        <v>316.79149999999998</v>
      </c>
      <c r="U7" s="96">
        <f>[2]EB2!U18</f>
        <v>2044.222</v>
      </c>
      <c r="V7" s="98">
        <f t="shared" si="0"/>
        <v>6933.7324499999986</v>
      </c>
    </row>
    <row r="8" spans="1:27" x14ac:dyDescent="0.2">
      <c r="A8" s="6"/>
      <c r="B8" s="56" t="s">
        <v>64</v>
      </c>
      <c r="C8" s="65" t="s">
        <v>65</v>
      </c>
      <c r="D8" s="96">
        <f>[2]EB2!D19</f>
        <v>15.434999999999999</v>
      </c>
      <c r="E8" s="96">
        <f>[2]EB2!E19</f>
        <v>120.72359999999999</v>
      </c>
      <c r="F8" s="96">
        <f>[2]EB2!F19</f>
        <v>0</v>
      </c>
      <c r="G8" s="96">
        <f>[2]EB2!G19</f>
        <v>366.58800000000002</v>
      </c>
      <c r="H8" s="96">
        <f>[2]EB2!H19</f>
        <v>0.47299999999999998</v>
      </c>
      <c r="I8" s="96">
        <f>[2]EB2!I19</f>
        <v>16.169</v>
      </c>
      <c r="J8" s="96">
        <f>[2]EB2!J19</f>
        <v>1.716</v>
      </c>
      <c r="K8" s="96">
        <f>[2]EB2!K19</f>
        <v>0</v>
      </c>
      <c r="L8" s="96">
        <f>[2]EB2!L19</f>
        <v>13.74</v>
      </c>
      <c r="M8" s="96">
        <f>[2]EB2!M19</f>
        <v>0</v>
      </c>
      <c r="N8" s="97">
        <f>[2]EB2!N19</f>
        <v>0</v>
      </c>
      <c r="O8" s="96">
        <f>[2]EB2!O19</f>
        <v>15.771500000000003</v>
      </c>
      <c r="P8" s="96">
        <f>[2]EB2!P19</f>
        <v>0</v>
      </c>
      <c r="Q8" s="96">
        <f>[2]EB2!Q19</f>
        <v>0</v>
      </c>
      <c r="R8" s="96">
        <f>[2]EB2!R19</f>
        <v>0</v>
      </c>
      <c r="S8" s="96">
        <f>[2]EB2!S19</f>
        <v>5.0000000000000001E-4</v>
      </c>
      <c r="T8" s="96">
        <f>[2]EB2!T19</f>
        <v>7.7869999999999999</v>
      </c>
      <c r="U8" s="96">
        <f>[2]EB2!U19</f>
        <v>9.6930000000000014</v>
      </c>
      <c r="V8" s="98">
        <f t="shared" si="0"/>
        <v>568.09659999999997</v>
      </c>
    </row>
    <row r="9" spans="1:27" ht="15" x14ac:dyDescent="0.25">
      <c r="A9" s="6"/>
      <c r="B9" s="56" t="s">
        <v>66</v>
      </c>
      <c r="C9" s="65" t="s">
        <v>67</v>
      </c>
      <c r="D9" s="96">
        <f>[2]EB2!D20</f>
        <v>0.1946</v>
      </c>
      <c r="E9" s="60">
        <f>[2]EB2!E20</f>
        <v>12.7494</v>
      </c>
      <c r="F9" s="96">
        <f>[2]EB2!F20</f>
        <v>0</v>
      </c>
      <c r="G9" s="60">
        <f>[2]EB2!G20</f>
        <v>3856.2855</v>
      </c>
      <c r="H9" s="96">
        <f>[2]EB2!H20</f>
        <v>1047.652</v>
      </c>
      <c r="I9" s="60">
        <f>[2]EB2!I20</f>
        <v>94.230999999999995</v>
      </c>
      <c r="J9" s="60">
        <f>[2]EB2!J20</f>
        <v>2394.2159999999999</v>
      </c>
      <c r="K9" s="96">
        <f>[2]EB2!K20</f>
        <v>0</v>
      </c>
      <c r="L9" s="96">
        <f>[2]EB2!L20</f>
        <v>33.24</v>
      </c>
      <c r="M9" s="96">
        <f>[2]EB2!M20</f>
        <v>0</v>
      </c>
      <c r="N9" s="96">
        <f>[2]EB2!N20</f>
        <v>0</v>
      </c>
      <c r="O9" s="60">
        <f>[2]EB2!O20</f>
        <v>40.25</v>
      </c>
      <c r="P9" s="96">
        <f>[2]EB2!P20</f>
        <v>0</v>
      </c>
      <c r="Q9" s="96">
        <f>[2]EB2!Q20</f>
        <v>0</v>
      </c>
      <c r="R9" s="96">
        <f>[2]EB2!R20</f>
        <v>0</v>
      </c>
      <c r="S9" s="96">
        <f>[2]EB2!S20</f>
        <v>0</v>
      </c>
      <c r="T9" s="96">
        <f>[2]EB2!T20</f>
        <v>0</v>
      </c>
      <c r="U9" s="60">
        <f>[2]EB2!U20</f>
        <v>132.98599999999999</v>
      </c>
      <c r="V9" s="98">
        <f t="shared" si="0"/>
        <v>7611.8044999999993</v>
      </c>
    </row>
    <row r="10" spans="1:27" x14ac:dyDescent="0.2">
      <c r="A10" s="6"/>
      <c r="B10" s="56" t="s">
        <v>68</v>
      </c>
      <c r="C10" s="66" t="s">
        <v>69</v>
      </c>
      <c r="D10" s="59">
        <f>[2]EB2!D21</f>
        <v>416.23084999999924</v>
      </c>
      <c r="E10" s="59">
        <f>[2]EB2!E21</f>
        <v>0</v>
      </c>
      <c r="F10" s="59">
        <f>[2]EB2!F21</f>
        <v>0</v>
      </c>
      <c r="G10" s="59">
        <f>[2]EB2!G21</f>
        <v>0</v>
      </c>
      <c r="H10" s="59">
        <f>[2]EB2!H21</f>
        <v>0</v>
      </c>
      <c r="I10" s="59">
        <f>[2]EB2!I21</f>
        <v>0</v>
      </c>
      <c r="J10" s="59">
        <f>[2]EB2!J21</f>
        <v>0</v>
      </c>
      <c r="K10" s="59">
        <f>[2]EB2!K21</f>
        <v>0</v>
      </c>
      <c r="L10" s="59">
        <f>[2]EB2!L21</f>
        <v>0</v>
      </c>
      <c r="M10" s="59">
        <f>[2]EB2!M21</f>
        <v>0</v>
      </c>
      <c r="N10" s="59">
        <f>[2]EB2!N21</f>
        <v>0</v>
      </c>
      <c r="O10" s="59">
        <f>[2]EB2!O21</f>
        <v>0</v>
      </c>
      <c r="P10" s="59">
        <f>[2]EB2!P21</f>
        <v>0</v>
      </c>
      <c r="Q10" s="59">
        <f>[2]EB2!Q21</f>
        <v>0</v>
      </c>
      <c r="R10" s="59">
        <f>[2]EB2!R21</f>
        <v>0</v>
      </c>
      <c r="S10" s="59">
        <f>[2]EB2!S21</f>
        <v>0</v>
      </c>
      <c r="T10" s="59">
        <f>[2]EB2!T21</f>
        <v>313.51900000000001</v>
      </c>
      <c r="U10" s="59">
        <f>[2]EB2!U21</f>
        <v>325</v>
      </c>
      <c r="V10" s="99">
        <f t="shared" si="0"/>
        <v>1054.7498499999992</v>
      </c>
    </row>
    <row r="11" spans="1:27" x14ac:dyDescent="0.2">
      <c r="A11" s="6"/>
      <c r="B11" s="56" t="s">
        <v>86</v>
      </c>
      <c r="C11" s="65" t="s">
        <v>70</v>
      </c>
      <c r="D11" s="96">
        <f>[2]EB2!D22</f>
        <v>18.358550000000001</v>
      </c>
      <c r="E11" s="96">
        <f>[2]EB2!E22</f>
        <v>380.29379999999998</v>
      </c>
      <c r="F11" s="96">
        <f>[2]EB2!F22</f>
        <v>0</v>
      </c>
      <c r="G11" s="96">
        <f>[2]EB2!G22</f>
        <v>76.465000000000003</v>
      </c>
      <c r="H11" s="96">
        <f>[2]EB2!H22</f>
        <v>4.7945000000000002</v>
      </c>
      <c r="I11" s="96">
        <f>[2]EB2!I22</f>
        <v>199.87350000000001</v>
      </c>
      <c r="J11" s="96">
        <f>[2]EB2!J22</f>
        <v>3.1459999999999999</v>
      </c>
      <c r="K11" s="96">
        <f>[2]EB2!K22</f>
        <v>899.20600000000002</v>
      </c>
      <c r="L11" s="96">
        <f>[2]EB2!L22</f>
        <v>52.04</v>
      </c>
      <c r="M11" s="96">
        <f>[2]EB2!M22</f>
        <v>800.72900000000004</v>
      </c>
      <c r="N11" s="97">
        <f>[2]EB2!N22</f>
        <v>0</v>
      </c>
      <c r="O11" s="96">
        <f>[2]EB2!O22</f>
        <v>0</v>
      </c>
      <c r="P11" s="96">
        <f>[2]EB2!P22</f>
        <v>0</v>
      </c>
      <c r="Q11" s="96">
        <f>[2]EB2!Q22</f>
        <v>0</v>
      </c>
      <c r="R11" s="96">
        <f>[2]EB2!R22</f>
        <v>0</v>
      </c>
      <c r="S11" s="96">
        <f>[2]EB2!S22</f>
        <v>0</v>
      </c>
      <c r="T11" s="96">
        <f>[2]EB2!T22</f>
        <v>0</v>
      </c>
      <c r="U11" s="96">
        <f>[2]EB2!U22</f>
        <v>0</v>
      </c>
      <c r="V11" s="98">
        <f t="shared" si="0"/>
        <v>2434.9063500000002</v>
      </c>
    </row>
    <row r="12" spans="1:27" x14ac:dyDescent="0.2">
      <c r="A12" s="6"/>
      <c r="B12" s="56" t="s">
        <v>87</v>
      </c>
      <c r="C12" s="65" t="s">
        <v>71</v>
      </c>
      <c r="D12" s="96">
        <f>[2]EB2!D23</f>
        <v>0</v>
      </c>
      <c r="E12" s="96">
        <f>[2]EB2!E23</f>
        <v>0</v>
      </c>
      <c r="F12" s="96">
        <f>[2]EB2!F23</f>
        <v>0</v>
      </c>
      <c r="G12" s="96">
        <f>[2]EB2!G23</f>
        <v>146.90600000000001</v>
      </c>
      <c r="H12" s="96">
        <f>[2]EB2!H23</f>
        <v>0</v>
      </c>
      <c r="I12" s="96">
        <f>[2]EB2!I23</f>
        <v>0</v>
      </c>
      <c r="J12" s="96">
        <f>[2]EB2!J23</f>
        <v>0</v>
      </c>
      <c r="K12" s="96">
        <f>[2]EB2!K23</f>
        <v>0</v>
      </c>
      <c r="L12" s="96">
        <f>[2]EB2!L23</f>
        <v>902.14</v>
      </c>
      <c r="M12" s="96">
        <f>[2]EB2!M23</f>
        <v>6.5</v>
      </c>
      <c r="N12" s="97">
        <f>[2]EB2!N23</f>
        <v>0</v>
      </c>
      <c r="O12" s="59">
        <f>[2]EB2!O23</f>
        <v>0</v>
      </c>
      <c r="P12" s="59">
        <f>[2]EB2!P23</f>
        <v>0</v>
      </c>
      <c r="Q12" s="59">
        <f>[2]EB2!Q23</f>
        <v>0</v>
      </c>
      <c r="R12" s="59">
        <f>[2]EB2!R23</f>
        <v>0</v>
      </c>
      <c r="S12" s="96">
        <f>[2]EB2!S23</f>
        <v>0</v>
      </c>
      <c r="T12" s="96">
        <f>[2]EB2!T23</f>
        <v>0</v>
      </c>
      <c r="U12" s="96">
        <f>[2]EB2!U23</f>
        <v>0</v>
      </c>
      <c r="V12" s="98">
        <f t="shared" si="0"/>
        <v>1055.546</v>
      </c>
    </row>
    <row r="13" spans="1:27" ht="15" x14ac:dyDescent="0.25">
      <c r="A13" s="6"/>
      <c r="B13" s="93" t="s">
        <v>89</v>
      </c>
      <c r="C13" s="63" t="s">
        <v>162</v>
      </c>
      <c r="D13" s="61">
        <f t="shared" ref="D13:V13" si="1">SUM(D5:D12)</f>
        <v>1258.8820999999991</v>
      </c>
      <c r="E13" s="61">
        <f t="shared" si="1"/>
        <v>7322.9772000000003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547.92100000000005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70" t="s">
        <v>116</v>
      </c>
      <c r="D24" s="121" t="s">
        <v>51</v>
      </c>
      <c r="E24" s="122" t="s">
        <v>52</v>
      </c>
      <c r="F24" s="122" t="s">
        <v>128</v>
      </c>
      <c r="G24" s="122" t="s">
        <v>141</v>
      </c>
      <c r="H24" s="122" t="s">
        <v>138</v>
      </c>
      <c r="I24" s="122" t="s">
        <v>131</v>
      </c>
      <c r="J24" s="122" t="s">
        <v>139</v>
      </c>
      <c r="K24" s="122" t="s">
        <v>140</v>
      </c>
      <c r="L24" s="122" t="s">
        <v>136</v>
      </c>
      <c r="M24" s="122" t="s">
        <v>137</v>
      </c>
      <c r="N24" s="122" t="s">
        <v>53</v>
      </c>
      <c r="O24" s="55" t="s">
        <v>172</v>
      </c>
      <c r="P24" s="55" t="s">
        <v>173</v>
      </c>
      <c r="Q24" s="55" t="s">
        <v>174</v>
      </c>
      <c r="R24" s="55" t="s">
        <v>175</v>
      </c>
      <c r="S24" s="122" t="s">
        <v>54</v>
      </c>
      <c r="T24" s="122" t="s">
        <v>55</v>
      </c>
      <c r="U24" s="123" t="s">
        <v>88</v>
      </c>
      <c r="V24" s="55" t="s">
        <v>56</v>
      </c>
    </row>
    <row r="25" spans="1:24" ht="15" x14ac:dyDescent="0.25">
      <c r="A25" s="6"/>
      <c r="B25" s="103" t="s">
        <v>66</v>
      </c>
      <c r="C25" s="67" t="s">
        <v>164</v>
      </c>
      <c r="D25" s="104"/>
      <c r="E25" s="108">
        <v>1</v>
      </c>
      <c r="F25" s="105"/>
      <c r="G25" s="108">
        <v>0.9</v>
      </c>
      <c r="H25" s="105"/>
      <c r="I25" s="108">
        <v>1</v>
      </c>
      <c r="J25" s="108">
        <v>1</v>
      </c>
      <c r="K25" s="105"/>
      <c r="L25" s="105"/>
      <c r="M25" s="105"/>
      <c r="N25" s="105"/>
      <c r="O25" s="108">
        <v>0.5</v>
      </c>
      <c r="P25" s="105"/>
      <c r="Q25" s="105"/>
      <c r="R25" s="105"/>
      <c r="S25" s="105"/>
      <c r="T25" s="105"/>
      <c r="U25" s="126">
        <v>0</v>
      </c>
      <c r="V25" s="68"/>
      <c r="W25" s="8"/>
      <c r="X25" s="64" t="s">
        <v>142</v>
      </c>
    </row>
    <row r="26" spans="1:24" ht="15" x14ac:dyDescent="0.25">
      <c r="A26" s="6"/>
      <c r="B26" s="103" t="s">
        <v>66</v>
      </c>
      <c r="C26" s="69" t="s">
        <v>165</v>
      </c>
      <c r="D26" s="106"/>
      <c r="E26" s="109">
        <f>1-E25</f>
        <v>0</v>
      </c>
      <c r="F26" s="107"/>
      <c r="G26" s="109">
        <f>1-G25</f>
        <v>9.9999999999999978E-2</v>
      </c>
      <c r="H26" s="107"/>
      <c r="I26" s="109">
        <f>1-I25</f>
        <v>0</v>
      </c>
      <c r="J26" s="109">
        <f>1-J25</f>
        <v>0</v>
      </c>
      <c r="K26" s="107"/>
      <c r="L26" s="107"/>
      <c r="M26" s="107"/>
      <c r="N26" s="107"/>
      <c r="O26" s="109">
        <f>1-O25</f>
        <v>0.5</v>
      </c>
      <c r="P26" s="107"/>
      <c r="Q26" s="107"/>
      <c r="R26" s="107"/>
      <c r="S26" s="107"/>
      <c r="T26" s="107"/>
      <c r="U26" s="127">
        <f>1-U25</f>
        <v>1</v>
      </c>
      <c r="V26" s="58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1" t="s">
        <v>109</v>
      </c>
      <c r="D30" s="101" t="s">
        <v>110</v>
      </c>
      <c r="E30" s="102" t="s">
        <v>108</v>
      </c>
      <c r="V30" s="8"/>
    </row>
    <row r="31" spans="1:24" x14ac:dyDescent="0.2">
      <c r="A31" s="6"/>
      <c r="B31" s="56" t="s">
        <v>66</v>
      </c>
      <c r="C31" s="128">
        <v>1</v>
      </c>
      <c r="D31" s="129"/>
      <c r="E31" s="1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4" t="s">
        <v>161</v>
      </c>
    </row>
    <row r="5" spans="2:7" x14ac:dyDescent="0.2">
      <c r="D5" s="125" t="s">
        <v>167</v>
      </c>
      <c r="E5" s="125"/>
      <c r="F5" s="125"/>
      <c r="G5" s="1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33" t="s">
        <v>14</v>
      </c>
      <c r="K2" s="133"/>
      <c r="L2" s="134"/>
      <c r="M2" s="134"/>
      <c r="N2" s="134"/>
      <c r="O2" s="134"/>
      <c r="P2" s="134"/>
      <c r="Q2" s="134"/>
      <c r="R2" s="134"/>
    </row>
    <row r="3" spans="2:18" x14ac:dyDescent="0.2">
      <c r="J3" s="135" t="s">
        <v>7</v>
      </c>
      <c r="K3" s="136" t="s">
        <v>30</v>
      </c>
      <c r="L3" s="135" t="s">
        <v>0</v>
      </c>
      <c r="M3" s="135" t="s">
        <v>3</v>
      </c>
      <c r="N3" s="135" t="s">
        <v>4</v>
      </c>
      <c r="O3" s="135" t="s">
        <v>8</v>
      </c>
      <c r="P3" s="135" t="s">
        <v>9</v>
      </c>
      <c r="Q3" s="135" t="s">
        <v>10</v>
      </c>
      <c r="R3" s="135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7" t="s">
        <v>37</v>
      </c>
      <c r="K4" s="137" t="s">
        <v>31</v>
      </c>
      <c r="L4" s="137" t="s">
        <v>26</v>
      </c>
      <c r="M4" s="137" t="s">
        <v>27</v>
      </c>
      <c r="N4" s="137" t="s">
        <v>4</v>
      </c>
      <c r="O4" s="137" t="s">
        <v>40</v>
      </c>
      <c r="P4" s="137" t="s">
        <v>41</v>
      </c>
      <c r="Q4" s="137" t="s">
        <v>28</v>
      </c>
      <c r="R4" s="137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38" t="s">
        <v>72</v>
      </c>
      <c r="K5" s="138"/>
      <c r="L5" s="138" t="str">
        <f>$B$2&amp;'EB2'!$E$2</f>
        <v>TRAGAS</v>
      </c>
      <c r="M5" s="139" t="str">
        <f>$C$2&amp;" "&amp;'EB2'!$E$3</f>
        <v>Transport Natural Gas</v>
      </c>
      <c r="N5" s="138" t="str">
        <f t="shared" ref="N5:N10" si="0">$E$2</f>
        <v>PJ</v>
      </c>
      <c r="O5" s="138"/>
      <c r="P5" s="138"/>
      <c r="Q5" s="138"/>
      <c r="R5" s="138"/>
    </row>
    <row r="6" spans="2:18" x14ac:dyDescent="0.2">
      <c r="B6" s="8"/>
      <c r="C6" s="8"/>
      <c r="D6" s="8"/>
      <c r="E6" s="16"/>
      <c r="F6" s="16"/>
      <c r="G6" s="85"/>
      <c r="H6" s="15"/>
      <c r="J6" s="138"/>
      <c r="K6" s="138"/>
      <c r="L6" s="138" t="str">
        <f>$B$2&amp;'EB2'!$G$2</f>
        <v>TRADSL</v>
      </c>
      <c r="M6" s="139" t="str">
        <f>$C$2&amp;" "&amp;'EB2'!$G$3</f>
        <v>Transport Diesel oil</v>
      </c>
      <c r="N6" s="138" t="str">
        <f t="shared" si="0"/>
        <v>PJ</v>
      </c>
      <c r="O6" s="138"/>
      <c r="P6" s="138"/>
      <c r="Q6" s="138"/>
      <c r="R6" s="138"/>
    </row>
    <row r="7" spans="2:18" x14ac:dyDescent="0.2">
      <c r="B7" s="8"/>
      <c r="C7" s="8"/>
      <c r="D7" s="8"/>
      <c r="E7" s="16"/>
      <c r="F7" s="16"/>
      <c r="G7" s="85"/>
      <c r="H7" s="15"/>
      <c r="J7" s="138"/>
      <c r="K7" s="138"/>
      <c r="L7" s="138" t="str">
        <f>$B$2&amp;'EB2'!$I$2</f>
        <v>TRALPG</v>
      </c>
      <c r="M7" s="139" t="str">
        <f>$C$2&amp;" "&amp;'EB2'!$I$3</f>
        <v>Transport LPG</v>
      </c>
      <c r="N7" s="138" t="str">
        <f t="shared" si="0"/>
        <v>PJ</v>
      </c>
      <c r="O7" s="138"/>
      <c r="P7" s="138"/>
      <c r="Q7" s="138"/>
      <c r="R7" s="138"/>
    </row>
    <row r="8" spans="2:18" x14ac:dyDescent="0.2">
      <c r="B8" s="8"/>
      <c r="C8" s="8"/>
      <c r="D8" s="8"/>
      <c r="E8" s="16"/>
      <c r="F8" s="16"/>
      <c r="G8" s="85"/>
      <c r="H8" s="15"/>
      <c r="J8" s="138"/>
      <c r="K8" s="138"/>
      <c r="L8" s="138" t="str">
        <f>$B$2&amp;'EB2'!$J$2</f>
        <v>TRAGSL</v>
      </c>
      <c r="M8" s="139" t="str">
        <f>$C$2&amp;" "&amp;'EB2'!$J$3</f>
        <v>Transport Motor spirit</v>
      </c>
      <c r="N8" s="138" t="str">
        <f t="shared" si="0"/>
        <v>PJ</v>
      </c>
      <c r="O8" s="138"/>
      <c r="P8" s="138"/>
      <c r="Q8" s="138"/>
      <c r="R8" s="138"/>
    </row>
    <row r="9" spans="2:18" x14ac:dyDescent="0.2">
      <c r="B9" s="8"/>
      <c r="C9" s="8"/>
      <c r="D9" s="8"/>
      <c r="E9" s="16"/>
      <c r="F9" s="16"/>
      <c r="G9" s="85"/>
      <c r="H9" s="15"/>
      <c r="J9" s="138"/>
      <c r="K9" s="138"/>
      <c r="L9" s="138" t="str">
        <f>$B$2&amp;'EB2'!$O$2</f>
        <v>TRABIO</v>
      </c>
      <c r="M9" s="139" t="str">
        <f>$C$2&amp;" "&amp;'EB2'!$O$3</f>
        <v>Transport Biofuels</v>
      </c>
      <c r="N9" s="138" t="str">
        <f t="shared" si="0"/>
        <v>PJ</v>
      </c>
      <c r="O9" s="140"/>
      <c r="P9" s="140"/>
      <c r="Q9" s="140"/>
      <c r="R9" s="140"/>
    </row>
    <row r="10" spans="2:18" x14ac:dyDescent="0.2">
      <c r="B10" s="8"/>
      <c r="C10" s="8"/>
      <c r="D10" s="8"/>
      <c r="E10" s="16"/>
      <c r="F10" s="16"/>
      <c r="G10" s="85"/>
      <c r="H10" s="15"/>
      <c r="J10" s="138"/>
      <c r="K10" s="138"/>
      <c r="L10" s="138" t="str">
        <f>$B$2&amp;'EB2'!$U$2</f>
        <v>TRAELC</v>
      </c>
      <c r="M10" s="139" t="str">
        <f>$C$2&amp;" "&amp;'EB2'!$U$3</f>
        <v>Transport Electricity</v>
      </c>
      <c r="N10" s="138" t="str">
        <f t="shared" si="0"/>
        <v>PJ</v>
      </c>
      <c r="O10" s="138"/>
      <c r="P10" s="138" t="s">
        <v>125</v>
      </c>
      <c r="Q10" s="138"/>
      <c r="R10" s="138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3" t="s">
        <v>15</v>
      </c>
      <c r="K12" s="133"/>
      <c r="L12" s="140"/>
      <c r="M12" s="140"/>
      <c r="N12" s="140"/>
      <c r="O12" s="140"/>
      <c r="P12" s="140"/>
      <c r="Q12" s="140"/>
      <c r="R12" s="140"/>
    </row>
    <row r="13" spans="2:18" x14ac:dyDescent="0.2">
      <c r="B13" s="21" t="s">
        <v>1</v>
      </c>
      <c r="C13" s="21" t="s">
        <v>5</v>
      </c>
      <c r="D13" s="21" t="s">
        <v>6</v>
      </c>
      <c r="E13" s="89" t="s">
        <v>155</v>
      </c>
      <c r="F13" s="86" t="s">
        <v>127</v>
      </c>
      <c r="G13" s="86" t="s">
        <v>85</v>
      </c>
      <c r="H13" s="86" t="s">
        <v>79</v>
      </c>
      <c r="J13" s="135" t="s">
        <v>11</v>
      </c>
      <c r="K13" s="136" t="s">
        <v>30</v>
      </c>
      <c r="L13" s="135" t="s">
        <v>1</v>
      </c>
      <c r="M13" s="135" t="s">
        <v>2</v>
      </c>
      <c r="N13" s="135" t="s">
        <v>16</v>
      </c>
      <c r="O13" s="135" t="s">
        <v>17</v>
      </c>
      <c r="P13" s="135" t="s">
        <v>18</v>
      </c>
      <c r="Q13" s="135" t="s">
        <v>19</v>
      </c>
      <c r="R13" s="135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7" t="s">
        <v>38</v>
      </c>
      <c r="K14" s="137" t="s">
        <v>31</v>
      </c>
      <c r="L14" s="137" t="s">
        <v>21</v>
      </c>
      <c r="M14" s="137" t="s">
        <v>22</v>
      </c>
      <c r="N14" s="137" t="s">
        <v>23</v>
      </c>
      <c r="O14" s="137" t="s">
        <v>24</v>
      </c>
      <c r="P14" s="137" t="s">
        <v>43</v>
      </c>
      <c r="Q14" s="137" t="s">
        <v>42</v>
      </c>
      <c r="R14" s="137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7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50</v>
      </c>
      <c r="J16" s="142" t="s">
        <v>112</v>
      </c>
      <c r="K16" s="138"/>
      <c r="L16" s="138" t="str">
        <f t="shared" ref="L16:L21" si="4">"FT"&amp;$G$2&amp;"-"&amp;L5</f>
        <v>FTE-TRAGAS</v>
      </c>
      <c r="M16" s="139" t="str">
        <f t="shared" ref="M16:M21" si="5">$D$2&amp;" Technology"&amp;" "&amp;$G$1&amp;" "&amp;M5</f>
        <v>Sector Fuel Technology Existing Transport Natural Gas</v>
      </c>
      <c r="N16" s="138" t="str">
        <f t="shared" ref="N16:N21" si="6">$E$2</f>
        <v>PJ</v>
      </c>
      <c r="O16" s="138" t="str">
        <f t="shared" ref="O16:O21" si="7">$E$2&amp;"a"</f>
        <v>PJa</v>
      </c>
      <c r="P16" s="138"/>
      <c r="Q16" s="138"/>
      <c r="R16" s="138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50</v>
      </c>
      <c r="J17" s="142"/>
      <c r="K17" s="138"/>
      <c r="L17" s="138" t="str">
        <f t="shared" si="4"/>
        <v>FTE-TRADSL</v>
      </c>
      <c r="M17" s="139" t="str">
        <f t="shared" si="5"/>
        <v>Sector Fuel Technology Existing Transport Diesel oil</v>
      </c>
      <c r="N17" s="138" t="str">
        <f t="shared" si="6"/>
        <v>PJ</v>
      </c>
      <c r="O17" s="138" t="str">
        <f t="shared" si="7"/>
        <v>PJa</v>
      </c>
      <c r="P17" s="138"/>
      <c r="Q17" s="138"/>
      <c r="R17" s="138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50</v>
      </c>
      <c r="J18" s="138"/>
      <c r="K18" s="138"/>
      <c r="L18" s="138" t="str">
        <f t="shared" si="4"/>
        <v>FTE-TRALPG</v>
      </c>
      <c r="M18" s="139" t="str">
        <f t="shared" si="5"/>
        <v>Sector Fuel Technology Existing Transport LPG</v>
      </c>
      <c r="N18" s="138" t="str">
        <f t="shared" si="6"/>
        <v>PJ</v>
      </c>
      <c r="O18" s="138" t="str">
        <f t="shared" si="7"/>
        <v>PJa</v>
      </c>
      <c r="P18" s="138"/>
      <c r="Q18" s="138"/>
      <c r="R18" s="138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50</v>
      </c>
      <c r="J19" s="138"/>
      <c r="K19" s="138"/>
      <c r="L19" s="138" t="str">
        <f t="shared" si="4"/>
        <v>FTE-TRAGSL</v>
      </c>
      <c r="M19" s="139" t="str">
        <f t="shared" si="5"/>
        <v>Sector Fuel Technology Existing Transport Motor spirit</v>
      </c>
      <c r="N19" s="138" t="str">
        <f t="shared" si="6"/>
        <v>PJ</v>
      </c>
      <c r="O19" s="138" t="str">
        <f t="shared" si="7"/>
        <v>PJa</v>
      </c>
      <c r="P19" s="138"/>
      <c r="Q19" s="138"/>
      <c r="R19" s="138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50</v>
      </c>
      <c r="J20" s="138"/>
      <c r="K20" s="138"/>
      <c r="L20" s="138" t="str">
        <f t="shared" si="4"/>
        <v>FTE-TRABIO</v>
      </c>
      <c r="M20" s="139" t="str">
        <f t="shared" si="5"/>
        <v>Sector Fuel Technology Existing Transport Biofuels</v>
      </c>
      <c r="N20" s="138" t="str">
        <f t="shared" si="6"/>
        <v>PJ</v>
      </c>
      <c r="O20" s="138" t="str">
        <f t="shared" si="7"/>
        <v>PJa</v>
      </c>
      <c r="P20" s="138"/>
      <c r="Q20" s="138"/>
      <c r="R20" s="138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50</v>
      </c>
      <c r="J21" s="138"/>
      <c r="K21" s="138"/>
      <c r="L21" s="138" t="str">
        <f t="shared" si="4"/>
        <v>FTE-TRAELC</v>
      </c>
      <c r="M21" s="139" t="str">
        <f t="shared" si="5"/>
        <v>Sector Fuel Technology Existing Transport Electricity</v>
      </c>
      <c r="N21" s="138" t="str">
        <f t="shared" si="6"/>
        <v>PJ</v>
      </c>
      <c r="O21" s="138" t="str">
        <f t="shared" si="7"/>
        <v>PJa</v>
      </c>
      <c r="P21" s="138" t="s">
        <v>125</v>
      </c>
      <c r="Q21" s="138"/>
      <c r="R21" s="138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0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0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0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0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7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6" sqref="S6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4" t="s">
        <v>144</v>
      </c>
      <c r="H2" s="14" t="s">
        <v>101</v>
      </c>
      <c r="I2" s="13"/>
      <c r="O2" s="133" t="s">
        <v>14</v>
      </c>
      <c r="P2" s="133"/>
      <c r="Q2" s="134"/>
      <c r="R2" s="134"/>
      <c r="S2" s="134"/>
      <c r="T2" s="134"/>
      <c r="U2" s="134"/>
      <c r="V2" s="134"/>
      <c r="W2" s="134"/>
    </row>
    <row r="3" spans="2:23" x14ac:dyDescent="0.2">
      <c r="O3" s="135" t="s">
        <v>7</v>
      </c>
      <c r="P3" s="136" t="s">
        <v>30</v>
      </c>
      <c r="Q3" s="135" t="s">
        <v>0</v>
      </c>
      <c r="R3" s="135" t="s">
        <v>3</v>
      </c>
      <c r="S3" s="135" t="s">
        <v>4</v>
      </c>
      <c r="T3" s="135" t="s">
        <v>8</v>
      </c>
      <c r="U3" s="135" t="s">
        <v>9</v>
      </c>
      <c r="V3" s="135" t="s">
        <v>10</v>
      </c>
      <c r="W3" s="135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7" t="s">
        <v>37</v>
      </c>
      <c r="P4" s="137" t="s">
        <v>31</v>
      </c>
      <c r="Q4" s="137" t="s">
        <v>26</v>
      </c>
      <c r="R4" s="137" t="s">
        <v>27</v>
      </c>
      <c r="S4" s="137" t="s">
        <v>4</v>
      </c>
      <c r="T4" s="137" t="s">
        <v>40</v>
      </c>
      <c r="U4" s="137" t="s">
        <v>41</v>
      </c>
      <c r="V4" s="137" t="s">
        <v>28</v>
      </c>
      <c r="W4" s="137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2" t="s">
        <v>83</v>
      </c>
      <c r="P5" s="138"/>
      <c r="Q5" s="142" t="str">
        <f>LEFT($O$5,1)&amp;LEFT($B$2,1)&amp;'EB2'!$C$25</f>
        <v>DTCAR</v>
      </c>
      <c r="R5" s="142" t="str">
        <f>LEFT($D$2,6)&amp;" "&amp;$C$2&amp; " Sector - "&amp;'EB2'!$X$25</f>
        <v>Demand Transport Sector - Cars</v>
      </c>
      <c r="S5" s="142" t="s">
        <v>182</v>
      </c>
      <c r="T5" s="142"/>
      <c r="U5" s="142"/>
      <c r="V5" s="142"/>
      <c r="W5" s="142"/>
    </row>
    <row r="6" spans="2:23" s="6" customFormat="1" ht="15.75" x14ac:dyDescent="0.25">
      <c r="B6" s="13"/>
      <c r="C6" s="13"/>
      <c r="D6" s="13"/>
      <c r="E6" s="13"/>
      <c r="F6" s="13"/>
      <c r="L6" s="38"/>
      <c r="O6" s="142"/>
      <c r="P6" s="138"/>
      <c r="Q6" s="142" t="str">
        <f>LEFT($O$5,1)&amp;LEFT($B$2,1)&amp;'EB2'!$C$26</f>
        <v>DTPUB</v>
      </c>
      <c r="R6" s="142" t="str">
        <f>LEFT($D$2,6)&amp;" "&amp;$C$2&amp; " Sector - "&amp;'EB2'!$X$26</f>
        <v>Demand Transport Sector - Pub</v>
      </c>
      <c r="S6" s="142" t="s">
        <v>182</v>
      </c>
      <c r="T6" s="142"/>
      <c r="U6" s="142"/>
      <c r="V6" s="142"/>
      <c r="W6" s="142"/>
    </row>
    <row r="7" spans="2:23" x14ac:dyDescent="0.2">
      <c r="O7" s="140" t="s">
        <v>105</v>
      </c>
      <c r="P7" s="140"/>
      <c r="Q7" s="140" t="str">
        <f>$B$2&amp;'EB2'!$C$29</f>
        <v>TRACO2</v>
      </c>
      <c r="R7" s="140" t="str">
        <f>$C$2&amp;" "&amp;'EB2'!$C$30</f>
        <v>Transport Carbon dioxide</v>
      </c>
      <c r="S7" s="140" t="str">
        <f>'EB2'!$AA$2</f>
        <v>kt</v>
      </c>
      <c r="T7" s="140"/>
      <c r="U7" s="140"/>
      <c r="V7" s="140"/>
      <c r="W7" s="140"/>
    </row>
    <row r="9" spans="2:23" x14ac:dyDescent="0.2">
      <c r="D9" s="5" t="s">
        <v>13</v>
      </c>
      <c r="E9" s="5"/>
      <c r="G9" s="5"/>
      <c r="I9" s="4"/>
      <c r="J9" s="18"/>
      <c r="O9" s="133" t="s">
        <v>15</v>
      </c>
      <c r="P9" s="133"/>
      <c r="Q9" s="140"/>
      <c r="R9" s="140"/>
      <c r="S9" s="140"/>
      <c r="T9" s="140"/>
      <c r="U9" s="140"/>
      <c r="V9" s="140"/>
      <c r="W9" s="140"/>
    </row>
    <row r="10" spans="2:23" x14ac:dyDescent="0.2">
      <c r="B10" s="21" t="s">
        <v>1</v>
      </c>
      <c r="C10" s="21" t="s">
        <v>5</v>
      </c>
      <c r="D10" s="21" t="s">
        <v>6</v>
      </c>
      <c r="E10" s="86" t="s">
        <v>127</v>
      </c>
      <c r="F10" s="86" t="s">
        <v>85</v>
      </c>
      <c r="G10" s="86" t="s">
        <v>98</v>
      </c>
      <c r="H10" s="86" t="s">
        <v>146</v>
      </c>
      <c r="I10" s="86" t="s">
        <v>84</v>
      </c>
      <c r="J10" s="86" t="s">
        <v>79</v>
      </c>
      <c r="K10" s="86" t="s">
        <v>178</v>
      </c>
      <c r="L10" s="35"/>
      <c r="M10" s="42" t="s">
        <v>118</v>
      </c>
      <c r="O10" s="135" t="s">
        <v>11</v>
      </c>
      <c r="P10" s="136" t="s">
        <v>30</v>
      </c>
      <c r="Q10" s="135" t="s">
        <v>1</v>
      </c>
      <c r="R10" s="135" t="s">
        <v>2</v>
      </c>
      <c r="S10" s="135" t="s">
        <v>16</v>
      </c>
      <c r="T10" s="135" t="s">
        <v>17</v>
      </c>
      <c r="U10" s="135" t="s">
        <v>18</v>
      </c>
      <c r="V10" s="135" t="s">
        <v>19</v>
      </c>
      <c r="W10" s="135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0" t="s">
        <v>99</v>
      </c>
      <c r="H11" s="100" t="s">
        <v>148</v>
      </c>
      <c r="I11" s="20" t="s">
        <v>96</v>
      </c>
      <c r="J11" s="20" t="s">
        <v>177</v>
      </c>
      <c r="K11" s="20" t="s">
        <v>179</v>
      </c>
      <c r="L11" s="45"/>
      <c r="M11" s="131" t="s">
        <v>35</v>
      </c>
      <c r="O11" s="137" t="s">
        <v>38</v>
      </c>
      <c r="P11" s="137" t="s">
        <v>31</v>
      </c>
      <c r="Q11" s="137" t="s">
        <v>21</v>
      </c>
      <c r="R11" s="137" t="s">
        <v>22</v>
      </c>
      <c r="S11" s="137" t="s">
        <v>23</v>
      </c>
      <c r="T11" s="137" t="s">
        <v>24</v>
      </c>
      <c r="U11" s="137" t="s">
        <v>43</v>
      </c>
      <c r="V11" s="137" t="s">
        <v>42</v>
      </c>
      <c r="W11" s="137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0" t="s">
        <v>151</v>
      </c>
      <c r="H12" s="88" t="s">
        <v>147</v>
      </c>
      <c r="I12" s="17" t="str">
        <f>$F$2&amp;"/"&amp;G2&amp;"a"</f>
        <v>M€2005/000_Unitsa</v>
      </c>
      <c r="J12" s="17" t="s">
        <v>92</v>
      </c>
      <c r="K12" s="17"/>
      <c r="L12" s="45"/>
      <c r="M12" s="132" t="s">
        <v>181</v>
      </c>
      <c r="O12" s="137" t="s">
        <v>81</v>
      </c>
      <c r="P12" s="137"/>
      <c r="Q12" s="137"/>
      <c r="R12" s="137"/>
      <c r="S12" s="137"/>
      <c r="T12" s="137"/>
      <c r="U12" s="137"/>
      <c r="V12" s="137"/>
      <c r="W12" s="137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('EB2'!E$9*'EB2'!$E$25*F13/(K13*G13))*1.01</f>
        <v>349.51569428571423</v>
      </c>
      <c r="F13" s="57">
        <v>0.38</v>
      </c>
      <c r="G13" s="57">
        <v>14</v>
      </c>
      <c r="H13" s="80">
        <v>1.25</v>
      </c>
      <c r="I13" s="80">
        <v>0.16</v>
      </c>
      <c r="J13" s="57">
        <v>10</v>
      </c>
      <c r="K13" s="83">
        <v>1E-3</v>
      </c>
      <c r="M13" s="42">
        <f>E13*G13*K13*H13</f>
        <v>6.1165246499999988</v>
      </c>
      <c r="O13" s="142" t="s">
        <v>97</v>
      </c>
      <c r="P13" s="138"/>
      <c r="Q13" s="138" t="str">
        <f>LEFT($B$2)&amp;'EB2'!$C$25&amp;$H$2&amp;'EB2'!$E$2</f>
        <v>TCAREGAS</v>
      </c>
      <c r="R13" s="139" t="str">
        <f>$D$2&amp;" "&amp;$C$2&amp; " Sector - "&amp;""&amp;$H$1&amp;" "&amp;'EB2'!$X$25&amp;" - "&amp;'EB2'!$E$3</f>
        <v>Demand Technologies Transport Sector - Existing Cars - Natural Gas</v>
      </c>
      <c r="S13" s="142" t="s">
        <v>182</v>
      </c>
      <c r="T13" s="142" t="str">
        <f t="shared" ref="T13:T24" si="3">$G$2</f>
        <v>000_Units</v>
      </c>
      <c r="U13" s="138"/>
      <c r="V13" s="142" t="s">
        <v>145</v>
      </c>
      <c r="W13" s="138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('EB2'!G$9*'EB2'!$G$25*F14/(K14*G14))*1.01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7">
        <v>10</v>
      </c>
      <c r="K14" s="83">
        <v>1E-3</v>
      </c>
      <c r="M14" s="42">
        <f t="shared" ref="M14:M22" si="4">E14*G14*K14*H14</f>
        <v>1796.4988037437502</v>
      </c>
      <c r="O14" s="138"/>
      <c r="P14" s="138"/>
      <c r="Q14" s="138" t="str">
        <f>LEFT($B$2)&amp;'EB2'!$C$25&amp;$H$2&amp;'EB2'!$G$2</f>
        <v>TCAREDSL</v>
      </c>
      <c r="R14" s="139" t="str">
        <f>$D$2&amp;" "&amp;$C$2&amp; " Sector - "&amp;""&amp;$H$1&amp;" "&amp;'EB2'!$X$25&amp;" - "&amp;'EB2'!$G$3</f>
        <v>Demand Technologies Transport Sector - Existing Cars - Diesel oil</v>
      </c>
      <c r="S14" s="147" t="s">
        <v>182</v>
      </c>
      <c r="T14" s="142" t="str">
        <f t="shared" si="3"/>
        <v>000_Units</v>
      </c>
      <c r="U14" s="138"/>
      <c r="V14" s="142" t="s">
        <v>145</v>
      </c>
      <c r="W14" s="138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('EB2'!I$9*'EB2'!$I$25*F15/(K15*G15))*1.01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7">
        <v>10</v>
      </c>
      <c r="K15" s="83">
        <v>1E-3</v>
      </c>
      <c r="M15" s="42">
        <f t="shared" si="4"/>
        <v>45.207322250000004</v>
      </c>
      <c r="O15" s="138"/>
      <c r="P15" s="138"/>
      <c r="Q15" s="138" t="str">
        <f>LEFT($B$2)&amp;'EB2'!$C$25&amp;$H$2&amp;'EB2'!$I$2</f>
        <v>TCARELPG</v>
      </c>
      <c r="R15" s="139" t="str">
        <f>$D$2&amp;" "&amp;$C$2&amp; " Sector - "&amp;""&amp;$H$1&amp;" "&amp;'EB2'!$X$25&amp;" - "&amp;'EB2'!$I$3</f>
        <v>Demand Technologies Transport Sector - Existing Cars - LPG</v>
      </c>
      <c r="S15" s="147" t="s">
        <v>182</v>
      </c>
      <c r="T15" s="142" t="str">
        <f t="shared" si="3"/>
        <v>000_Units</v>
      </c>
      <c r="U15" s="138"/>
      <c r="V15" s="142" t="s">
        <v>145</v>
      </c>
      <c r="W15" s="138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('EB2'!J$9*'EB2'!$J$25*F16/(K16*G16))*1.01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7">
        <v>10</v>
      </c>
      <c r="K16" s="83">
        <v>1E-3</v>
      </c>
      <c r="M16" s="42">
        <f t="shared" si="4"/>
        <v>1209.07908</v>
      </c>
      <c r="O16" s="138"/>
      <c r="P16" s="138"/>
      <c r="Q16" s="138" t="str">
        <f>LEFT($B$2)&amp;'EB2'!$C$25&amp;$H$2&amp;'EB2'!$J$2</f>
        <v>TCAREGSL</v>
      </c>
      <c r="R16" s="143" t="str">
        <f>$D$2&amp;" "&amp;$C$2&amp; " Sector - "&amp;""&amp;$H$1&amp;" "&amp;'EB2'!$X$25&amp;" - "&amp;'EB2'!$J$3</f>
        <v>Demand Technologies Transport Sector - Existing Cars - Motor spirit</v>
      </c>
      <c r="S16" s="147" t="s">
        <v>182</v>
      </c>
      <c r="T16" s="142" t="str">
        <f t="shared" si="3"/>
        <v>000_Units</v>
      </c>
      <c r="U16" s="138"/>
      <c r="V16" s="142" t="s">
        <v>145</v>
      </c>
      <c r="W16" s="138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('EB2'!O$9*'EB2'!$O$25*F17/(K17*G17))*1.01</f>
        <v>707.00000000000011</v>
      </c>
      <c r="F17" s="81">
        <v>0.4</v>
      </c>
      <c r="G17" s="82">
        <v>11.5</v>
      </c>
      <c r="H17" s="80">
        <v>1.25</v>
      </c>
      <c r="I17" s="80">
        <v>0.15</v>
      </c>
      <c r="J17" s="57">
        <v>10</v>
      </c>
      <c r="K17" s="83">
        <v>1E-3</v>
      </c>
      <c r="M17" s="42">
        <f>E17*G17*K17*H17</f>
        <v>10.163125000000001</v>
      </c>
      <c r="O17" s="138"/>
      <c r="P17" s="138"/>
      <c r="Q17" s="138" t="str">
        <f>LEFT($B$2)&amp;'EB2'!$C$25&amp;$H$2&amp;'EB2'!$O$2</f>
        <v>TCAREBIO</v>
      </c>
      <c r="R17" s="143" t="str">
        <f>$D$2&amp;" "&amp;$C$2&amp; " Sector - "&amp;""&amp;$H$1&amp;" "&amp;'EB2'!$X$25&amp;" - "&amp;'EB2'!$O$3</f>
        <v>Demand Technologies Transport Sector - Existing Cars - Biofuels</v>
      </c>
      <c r="S17" s="147" t="s">
        <v>182</v>
      </c>
      <c r="T17" s="142" t="str">
        <f t="shared" si="3"/>
        <v>000_Units</v>
      </c>
      <c r="U17" s="138"/>
      <c r="V17" s="142" t="s">
        <v>145</v>
      </c>
      <c r="W17" s="138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2">
        <f>('EB2'!U$9*'EB2'!$U$25*F18/(K18*G18))*1.01</f>
        <v>0</v>
      </c>
      <c r="F18" s="111">
        <v>0.4</v>
      </c>
      <c r="G18" s="112">
        <v>11.5</v>
      </c>
      <c r="H18" s="113">
        <v>1.25</v>
      </c>
      <c r="I18" s="113">
        <v>0.15</v>
      </c>
      <c r="J18" s="114">
        <v>10</v>
      </c>
      <c r="K18" s="115">
        <v>1E-3</v>
      </c>
      <c r="L18" s="116"/>
      <c r="M18" s="117">
        <f t="shared" si="4"/>
        <v>0</v>
      </c>
      <c r="O18" s="144"/>
      <c r="P18" s="144"/>
      <c r="Q18" s="144" t="str">
        <f>LEFT($B$2)&amp;'EB2'!$C$25&amp;$H$2&amp;'EB2'!$U$2</f>
        <v>TCAREELC</v>
      </c>
      <c r="R18" s="145" t="str">
        <f>$D$2&amp;" "&amp;$C$2&amp; " Sector - "&amp;""&amp;$H$1&amp;" "&amp;'EB2'!$X$25&amp;" - "&amp;'EB2'!$U$3</f>
        <v>Demand Technologies Transport Sector - Existing Cars - Electricity</v>
      </c>
      <c r="S18" s="146" t="s">
        <v>182</v>
      </c>
      <c r="T18" s="146" t="str">
        <f t="shared" si="3"/>
        <v>000_Units</v>
      </c>
      <c r="U18" s="144"/>
      <c r="V18" s="146" t="s">
        <v>145</v>
      </c>
      <c r="W18" s="144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('EB2'!E$9*'EB2'!$E$26*F19/(K19*G19))*1.01</f>
        <v>0</v>
      </c>
      <c r="F19" s="80">
        <v>0.1</v>
      </c>
      <c r="G19" s="57">
        <v>50</v>
      </c>
      <c r="H19" s="80">
        <v>15</v>
      </c>
      <c r="I19" s="80">
        <v>0.24</v>
      </c>
      <c r="J19" s="57">
        <v>30</v>
      </c>
      <c r="K19" s="83">
        <v>1E-3</v>
      </c>
      <c r="M19" s="42">
        <f>E19*G19*K19*H19</f>
        <v>0</v>
      </c>
      <c r="O19" s="138"/>
      <c r="P19" s="138"/>
      <c r="Q19" s="138" t="str">
        <f>LEFT($B$2)&amp;'EB2'!$C$26&amp;$H$2&amp;'EB2'!$E$2</f>
        <v>TPUBEGAS</v>
      </c>
      <c r="R19" s="139" t="str">
        <f>$D$2&amp;" "&amp;$C$2&amp; " Sector - "&amp;""&amp;$H$1&amp;" "&amp;'EB2'!$X$26&amp;" - "&amp;'EB2'!$E$3</f>
        <v>Demand Technologies Transport Sector - Existing Pub - Natural Gas</v>
      </c>
      <c r="S19" s="147" t="s">
        <v>182</v>
      </c>
      <c r="T19" s="142" t="str">
        <f t="shared" si="3"/>
        <v>000_Units</v>
      </c>
      <c r="U19" s="138"/>
      <c r="V19" s="142" t="s">
        <v>145</v>
      </c>
      <c r="W19" s="138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('EB2'!G$9*'EB2'!$G$26*F20/(K20*G20))*1.01</f>
        <v>1168.4545064999998</v>
      </c>
      <c r="F20" s="80">
        <v>0.15</v>
      </c>
      <c r="G20" s="75">
        <v>50</v>
      </c>
      <c r="H20" s="80">
        <v>15</v>
      </c>
      <c r="I20" s="80">
        <v>0.24</v>
      </c>
      <c r="J20" s="57">
        <v>30</v>
      </c>
      <c r="K20" s="83">
        <v>1E-3</v>
      </c>
      <c r="M20" s="42">
        <f>E20*G20*K20*H20</f>
        <v>876.34087987499981</v>
      </c>
      <c r="O20" s="138"/>
      <c r="P20" s="138"/>
      <c r="Q20" s="138" t="str">
        <f>LEFT($B$2)&amp;'EB2'!$C$26&amp;$H$2&amp;'EB2'!$G$2</f>
        <v>TPUBEDSL</v>
      </c>
      <c r="R20" s="139" t="str">
        <f>$D$2&amp;" "&amp;$C$2&amp; " Sector - "&amp;""&amp;$H$1&amp;" "&amp;'EB2'!$X$26&amp;" - "&amp;'EB2'!$G$3</f>
        <v>Demand Technologies Transport Sector - Existing Pub - Diesel oil</v>
      </c>
      <c r="S20" s="147" t="s">
        <v>182</v>
      </c>
      <c r="T20" s="142" t="str">
        <f t="shared" si="3"/>
        <v>000_Units</v>
      </c>
      <c r="U20" s="138"/>
      <c r="V20" s="142" t="s">
        <v>145</v>
      </c>
      <c r="W20" s="138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('EB2'!I$9*'EB2'!$I$26*F21/(K21*G21))*1.01</f>
        <v>0</v>
      </c>
      <c r="F21" s="80">
        <v>0.1</v>
      </c>
      <c r="G21" s="75">
        <v>50</v>
      </c>
      <c r="H21" s="80">
        <v>15</v>
      </c>
      <c r="I21" s="84">
        <v>0.24</v>
      </c>
      <c r="J21" s="57">
        <v>30</v>
      </c>
      <c r="K21" s="83">
        <v>1E-3</v>
      </c>
      <c r="M21" s="42">
        <f>E21*G21*K21*H21</f>
        <v>0</v>
      </c>
      <c r="O21" s="138"/>
      <c r="P21" s="138"/>
      <c r="Q21" s="138" t="str">
        <f>LEFT($B$2)&amp;'EB2'!$C$26&amp;$H$2&amp;'EB2'!$I$2</f>
        <v>TPUBELPG</v>
      </c>
      <c r="R21" s="139" t="str">
        <f>$D$2&amp;" "&amp;$C$2&amp; " Sector - "&amp;""&amp;$H$1&amp;" "&amp;'EB2'!$X$26&amp;" - "&amp;'EB2'!$I$3</f>
        <v>Demand Technologies Transport Sector - Existing Pub - LPG</v>
      </c>
      <c r="S21" s="147" t="s">
        <v>182</v>
      </c>
      <c r="T21" s="142" t="str">
        <f t="shared" si="3"/>
        <v>000_Units</v>
      </c>
      <c r="U21" s="138"/>
      <c r="V21" s="142" t="s">
        <v>145</v>
      </c>
      <c r="W21" s="138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('EB2'!J$9*'EB2'!$J$26*F22/(K22*G22))*1.01</f>
        <v>0</v>
      </c>
      <c r="F22" s="81">
        <v>0.15</v>
      </c>
      <c r="G22" s="82">
        <v>20</v>
      </c>
      <c r="H22" s="80">
        <v>15</v>
      </c>
      <c r="I22" s="80">
        <v>0.22499999999999998</v>
      </c>
      <c r="J22" s="57">
        <v>30</v>
      </c>
      <c r="K22" s="83">
        <v>1E-3</v>
      </c>
      <c r="M22" s="42">
        <f t="shared" si="4"/>
        <v>0</v>
      </c>
      <c r="O22" s="138"/>
      <c r="P22" s="138"/>
      <c r="Q22" s="138" t="str">
        <f>LEFT($B$2)&amp;'EB2'!$C$26&amp;$H$2&amp;'EB2'!$J$2</f>
        <v>TPUBEGSL</v>
      </c>
      <c r="R22" s="143" t="str">
        <f>$D$2&amp;" "&amp;$C$2&amp; " Sector - "&amp;""&amp;$H$1&amp;" "&amp;'EB2'!$X$26&amp;" - "&amp;'EB2'!$J$3</f>
        <v>Demand Technologies Transport Sector - Existing Pub - Motor spirit</v>
      </c>
      <c r="S22" s="147" t="s">
        <v>182</v>
      </c>
      <c r="T22" s="142" t="str">
        <f t="shared" si="3"/>
        <v>000_Units</v>
      </c>
      <c r="U22" s="138"/>
      <c r="V22" s="142" t="s">
        <v>145</v>
      </c>
      <c r="W22" s="138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('EB2'!O$9*'EB2'!$O$26*F23/(K23*G23))*1.01</f>
        <v>152.44687500000001</v>
      </c>
      <c r="F23" s="81">
        <v>0.15</v>
      </c>
      <c r="G23" s="82">
        <v>20</v>
      </c>
      <c r="H23" s="80">
        <v>15</v>
      </c>
      <c r="I23" s="80">
        <v>0.22499999999999998</v>
      </c>
      <c r="J23" s="57">
        <v>30</v>
      </c>
      <c r="K23" s="83">
        <v>1E-3</v>
      </c>
      <c r="M23" s="42">
        <f>E23*G23*K23*H23</f>
        <v>45.7340625</v>
      </c>
      <c r="O23" s="138"/>
      <c r="P23" s="138"/>
      <c r="Q23" s="138" t="str">
        <f>LEFT($B$2)&amp;'EB2'!$C$26&amp;$H$2&amp;'EB2'!$O$2</f>
        <v>TPUBEBIO</v>
      </c>
      <c r="R23" s="143" t="str">
        <f>$D$2&amp;" "&amp;$C$2&amp; " Sector - "&amp;""&amp;$H$1&amp;" "&amp;'EB2'!$X$26&amp;" - "&amp;'EB2'!$O$3</f>
        <v>Demand Technologies Transport Sector - Existing Pub - Biofuels</v>
      </c>
      <c r="S23" s="147" t="s">
        <v>182</v>
      </c>
      <c r="T23" s="142" t="str">
        <f t="shared" si="3"/>
        <v>000_Units</v>
      </c>
      <c r="U23" s="138"/>
      <c r="V23" s="142" t="s">
        <v>145</v>
      </c>
      <c r="W23" s="138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2">
        <f>('EB2'!U$9*'EB2'!$U$26*F24/(K24*G24))*1.01</f>
        <v>40.294757999999995</v>
      </c>
      <c r="F24" s="111">
        <v>0.03</v>
      </c>
      <c r="G24" s="112">
        <v>100</v>
      </c>
      <c r="H24" s="113">
        <v>200</v>
      </c>
      <c r="I24" s="113">
        <v>0.22499999999999998</v>
      </c>
      <c r="J24" s="114">
        <v>30</v>
      </c>
      <c r="K24" s="115">
        <v>1E-3</v>
      </c>
      <c r="M24" s="117">
        <f>E24*G24*K24*H24</f>
        <v>805.89515999999981</v>
      </c>
      <c r="O24" s="144"/>
      <c r="P24" s="144"/>
      <c r="Q24" s="144" t="str">
        <f>LEFT($B$2)&amp;'EB2'!$C$26&amp;$H$2&amp;'EB2'!$U$2</f>
        <v>TPUBEELC</v>
      </c>
      <c r="R24" s="145" t="str">
        <f>$D$2&amp;" "&amp;$C$2&amp; " Sector - "&amp;""&amp;$H$1&amp;" "&amp;'EB2'!$X$26&amp;" - "&amp;'EB2'!$U$3</f>
        <v>Demand Technologies Transport Sector - Existing Pub - Electricity</v>
      </c>
      <c r="S24" s="146" t="s">
        <v>182</v>
      </c>
      <c r="T24" s="146" t="str">
        <f t="shared" si="3"/>
        <v>000_Units</v>
      </c>
      <c r="U24" s="144"/>
      <c r="V24" s="146" t="s">
        <v>145</v>
      </c>
      <c r="W24" s="144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7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1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7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183</v>
      </c>
      <c r="E9" s="75">
        <f>SUM(DemTechs_TRA!M13:M18)</f>
        <v>3067.06485564375</v>
      </c>
      <c r="G9" s="1" t="s">
        <v>120</v>
      </c>
      <c r="H9" s="8" t="str">
        <f>DemTechs_TRA!$Q$5</f>
        <v>DTCAR</v>
      </c>
      <c r="I9" s="39" t="s">
        <v>121</v>
      </c>
      <c r="J9" s="80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183</v>
      </c>
      <c r="E10" s="75">
        <f>SUM(DemTechs_TRA!M19:M24)</f>
        <v>1727.9701023749997</v>
      </c>
      <c r="G10" s="1" t="s">
        <v>120</v>
      </c>
      <c r="H10" s="8" t="str">
        <f>DemTechs_TRA!$Q$5</f>
        <v>DTCAR</v>
      </c>
      <c r="I10" s="39" t="s">
        <v>122</v>
      </c>
      <c r="J10" s="80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80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3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80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80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80">
        <v>0.25</v>
      </c>
    </row>
    <row r="16" spans="2:10" x14ac:dyDescent="0.2">
      <c r="G16" s="1" t="s">
        <v>120</v>
      </c>
      <c r="H16" s="8" t="str">
        <f>DemTechs_TRA!$Q$6</f>
        <v>DTPUB</v>
      </c>
      <c r="I16" s="118" t="s">
        <v>124</v>
      </c>
      <c r="J16" s="80">
        <v>0.25</v>
      </c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19"/>
      <c r="H7" s="119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315665841102600</vt:r8>
  </property>
</Properties>
</file>