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ho\OneDrive\Documents\DataCamp\Data Analysis in Excel\Exercises\Chapter 4\"/>
    </mc:Choice>
  </mc:AlternateContent>
  <xr:revisionPtr revIDLastSave="0" documentId="13_ncr:1_{CF96B659-2C42-4A61-ABAF-A2C8AC1B482C}" xr6:coauthVersionLast="47" xr6:coauthVersionMax="47" xr10:uidLastSave="{00000000-0000-0000-0000-000000000000}"/>
  <bookViews>
    <workbookView xWindow="25695" yWindow="0" windowWidth="26010" windowHeight="20985" firstSheet="1" activeTab="6" xr2:uid="{38735238-0B5C-964C-A829-70AFED0819BF}"/>
  </bookViews>
  <sheets>
    <sheet name="PivotTable" sheetId="13" r:id="rId1"/>
    <sheet name="Account Sales History" sheetId="11" r:id="rId2"/>
    <sheet name="Sales Trends" sheetId="14" r:id="rId3"/>
    <sheet name="Scenario Summary" sheetId="24" r:id="rId4"/>
    <sheet name="Scenario Analysis" sheetId="15" r:id="rId5"/>
    <sheet name="Forecast Sheet" sheetId="27" r:id="rId6"/>
    <sheet name="Forecasting" sheetId="25" r:id="rId7"/>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 i="27" l="1"/>
  <c r="A34" i="27" s="1"/>
  <c r="A35" i="27" s="1"/>
  <c r="A36" i="27" s="1"/>
  <c r="A37" i="27" s="1"/>
  <c r="C37" i="27"/>
  <c r="F37" i="27"/>
  <c r="F34" i="27"/>
  <c r="F36" i="27"/>
  <c r="C35" i="27"/>
  <c r="F33" i="27"/>
  <c r="C34" i="27"/>
  <c r="F32" i="27"/>
  <c r="C33" i="27"/>
  <c r="F35" i="27"/>
  <c r="C32" i="27"/>
  <c r="C36" i="27"/>
  <c r="F31" i="27"/>
  <c r="G34" i="27"/>
  <c r="H34" i="27"/>
  <c r="G36" i="27"/>
  <c r="H36" i="27"/>
  <c r="G33" i="27"/>
  <c r="H33" i="27"/>
  <c r="G32" i="27"/>
  <c r="H32" i="27"/>
  <c r="G35" i="27"/>
  <c r="H35" i="27"/>
  <c r="G31" i="27"/>
  <c r="H31" i="27"/>
  <c r="F25" i="27" l="1"/>
  <c r="G25" i="27" s="1"/>
  <c r="H37" i="27"/>
  <c r="G37" i="27"/>
  <c r="E37" i="27"/>
  <c r="D37" i="27"/>
  <c r="E36" i="27"/>
  <c r="E32" i="27"/>
  <c r="E35" i="27"/>
  <c r="D35" i="27"/>
  <c r="D34" i="27"/>
  <c r="D36" i="27"/>
  <c r="D32" i="27"/>
  <c r="D33" i="27"/>
  <c r="E33" i="27"/>
  <c r="E34" i="27"/>
  <c r="F27" i="27"/>
  <c r="F28" i="27"/>
  <c r="F29" i="27"/>
  <c r="F30" i="27"/>
  <c r="F26" i="27"/>
  <c r="C26" i="27"/>
  <c r="E26" i="27"/>
  <c r="C27" i="27"/>
  <c r="C28" i="27"/>
  <c r="C29" i="27"/>
  <c r="C30" i="27"/>
  <c r="C31" i="27"/>
  <c r="E27" i="27"/>
  <c r="D27" i="27"/>
  <c r="E28" i="27"/>
  <c r="D28" i="27"/>
  <c r="E29" i="27"/>
  <c r="D29" i="27"/>
  <c r="E30" i="27"/>
  <c r="D30" i="27"/>
  <c r="E31" i="27"/>
  <c r="D31" i="27"/>
  <c r="D26" i="27"/>
  <c r="G27" i="27"/>
  <c r="H27" i="27"/>
  <c r="G28" i="27"/>
  <c r="H28" i="27"/>
  <c r="G29" i="27"/>
  <c r="H29" i="27"/>
  <c r="G30" i="27"/>
  <c r="H30" i="27"/>
  <c r="G26" i="27"/>
  <c r="H26" i="27"/>
  <c r="H25" i="27" l="1"/>
  <c r="B26" i="25" l="1"/>
  <c r="B2" i="25"/>
  <c r="A3" i="25"/>
  <c r="B3" i="25" s="1"/>
  <c r="C20" i="15"/>
  <c r="D20" i="15" s="1"/>
  <c r="E20" i="15" s="1"/>
  <c r="F20" i="15" s="1"/>
  <c r="G20" i="15" s="1"/>
  <c r="H20" i="15" s="1"/>
  <c r="A22" i="15"/>
  <c r="A23" i="15"/>
  <c r="A24" i="15" s="1"/>
  <c r="A25" i="15" s="1"/>
  <c r="A26" i="15" s="1"/>
  <c r="I10" i="24"/>
  <c r="C14" i="15"/>
  <c r="E14" i="15" s="1"/>
  <c r="A20" i="15" s="1"/>
  <c r="C15" i="15"/>
  <c r="E15" i="15" s="1"/>
  <c r="C16" i="15"/>
  <c r="E16" i="15" s="1"/>
  <c r="N9" i="14"/>
  <c r="N10" i="14"/>
  <c r="N11" i="14"/>
  <c r="N12" i="14"/>
  <c r="N13" i="14"/>
  <c r="A10" i="15"/>
  <c r="C10" i="15" s="1"/>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A4" i="25" l="1"/>
  <c r="B4" i="25" s="1"/>
  <c r="E17" i="15"/>
  <c r="N3" i="14"/>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D5" i="25" l="1"/>
  <c r="C5" i="25"/>
  <c r="A5" i="25"/>
  <c r="B5" i="25" s="1"/>
  <c r="S2211" i="1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C6" i="25" l="1"/>
  <c r="D6" i="25"/>
  <c r="A6" i="25"/>
  <c r="B6" i="25" s="1"/>
  <c r="S2151" i="1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 r="C7" i="25" l="1"/>
  <c r="D7" i="25"/>
  <c r="A7" i="25"/>
  <c r="B7" i="25" s="1"/>
  <c r="A8" i="25" l="1"/>
  <c r="B8" i="25" s="1"/>
  <c r="C9" i="25" s="1"/>
  <c r="C8" i="25"/>
  <c r="D8" i="25"/>
  <c r="D9" i="25" l="1"/>
  <c r="A9" i="25"/>
  <c r="B9" i="25" s="1"/>
  <c r="D10" i="25" s="1"/>
  <c r="A10" i="25"/>
  <c r="B10" i="25" s="1"/>
  <c r="C10" i="25" l="1"/>
  <c r="D11" i="25"/>
  <c r="C11" i="25"/>
  <c r="A11" i="25"/>
  <c r="B11" i="25" s="1"/>
  <c r="D12" i="25" l="1"/>
  <c r="C12" i="25"/>
  <c r="A12" i="25"/>
  <c r="B12" i="25" s="1"/>
  <c r="D13" i="25" l="1"/>
  <c r="C13" i="25"/>
  <c r="A13" i="25"/>
  <c r="B13" i="25" s="1"/>
  <c r="D14" i="25" l="1"/>
  <c r="C14" i="25"/>
  <c r="A14" i="25"/>
  <c r="B14" i="25" s="1"/>
  <c r="D15" i="25" l="1"/>
  <c r="C15" i="25"/>
  <c r="A15" i="25"/>
  <c r="B15" i="25" s="1"/>
  <c r="D16" i="25" l="1"/>
  <c r="C16" i="25"/>
  <c r="A16" i="25"/>
  <c r="B16" i="25" s="1"/>
  <c r="D17" i="25" l="1"/>
  <c r="C17" i="25"/>
  <c r="A17" i="25"/>
  <c r="B17" i="25" s="1"/>
  <c r="D18" i="25" l="1"/>
  <c r="C18" i="25"/>
  <c r="A18" i="25"/>
  <c r="B18" i="25" s="1"/>
  <c r="D19" i="25" l="1"/>
  <c r="C19" i="25"/>
  <c r="A19" i="25"/>
  <c r="B19" i="25" s="1"/>
  <c r="D20" i="25" l="1"/>
  <c r="C20" i="25"/>
  <c r="A20" i="25"/>
  <c r="B20" i="25" s="1"/>
  <c r="D21" i="25" l="1"/>
  <c r="C21" i="25"/>
  <c r="A21" i="25"/>
  <c r="B21" i="25" s="1"/>
  <c r="C22" i="25" l="1"/>
  <c r="D22" i="25"/>
  <c r="A22" i="25"/>
  <c r="B22" i="25" s="1"/>
  <c r="D23" i="25" l="1"/>
  <c r="C23" i="25"/>
  <c r="A23" i="25"/>
  <c r="B23" i="25" s="1"/>
  <c r="D24" i="25" l="1"/>
  <c r="C24" i="25"/>
  <c r="A24" i="25"/>
  <c r="B24" i="25" s="1"/>
  <c r="C25" i="25" s="1"/>
  <c r="D25" i="25" l="1"/>
  <c r="A25" i="25"/>
  <c r="B25" i="25" s="1"/>
  <c r="D26" i="25" s="1"/>
  <c r="C26"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<sst xmlns="http://schemas.openxmlformats.org/spreadsheetml/2006/main" count="2319" uniqueCount="78">
  <si>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</si>
  <si>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</si>
  <si>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</si>
  <si>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</si>
  <si>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</si>
  <si>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</si>
  <si>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</si>
  <si>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</si>
  <si>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</si>
  <si>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</si>
  <si>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</si>
  <si>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</si>
  <si>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</si>
  <si>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</si>
  <si>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</si>
  <si>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</si>
  <si>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</si>
  <si>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</si>
  <si>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</si>
  <si>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</si>
  <si>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</si>
  <si>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</si>
  <si>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</si>
  <si>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</si>
  <si>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</si>
  <si>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</si>
  <si>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</si>
  <si>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</si>
  <si>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</si>
  <si>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</si>
  <si>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</si>
  <si>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</si>
  <si>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</si>
  <si>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</si>
  <si>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</si>
  <si>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</si>
  <si>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</si>
  <si>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</si>
  <si>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</si>
  <si>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</si>
  <si>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</si>
  <si>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</si>
  <si>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</si>
  <si>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</si>
  <si>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</si>
  <si>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</si>
  <si>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</si>
  <si>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</si>
  <si>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</si>
  <si>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</si>
  <si>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</si>
  <si>
    <t>Projected Sales</t>
  </si>
  <si>
    <t>License Price</t>
  </si>
  <si>
    <t>Current</t>
  </si>
  <si>
    <t>Moderate</t>
  </si>
  <si>
    <t>High</t>
  </si>
  <si>
    <t>$B$14</t>
  </si>
  <si>
    <t>$B$15</t>
  </si>
  <si>
    <t>$B$16</t>
  </si>
  <si>
    <t>Created by Nick Edwards on 7/17/2023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</si>
  <si>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</si>
  <si>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</si>
  <si>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</si>
  <si>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</si>
  <si>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</si>
  <si>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</si>
  <si>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</si>
  <si>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$D$17</t>
  </si>
  <si>
    <t>Elasticity</t>
  </si>
  <si>
    <t>Elasticity of Demand - Premium</t>
  </si>
  <si>
    <t>SMA Forecast</t>
  </si>
  <si>
    <t>WMA Forecast</t>
  </si>
  <si>
    <t>Forecast 2</t>
  </si>
  <si>
    <t>Lower Bound 2</t>
  </si>
  <si>
    <t>Upper Bound 2</t>
  </si>
  <si>
    <t>Forecast 1</t>
  </si>
  <si>
    <t>Lower Bound 1</t>
  </si>
  <si>
    <t>Upper Bound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</si>
</sst>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_(&quot;$&quot;* #,##0_);_(&quot;$&quot;* \(#,##0\);_(&quot;$&quot;* &quot;-&quot;??_);_(@_)"/>
    <numFmt numFmtId="166" formatCode="_(* #,##0_);_(* \(#,##0\);_(* &quot;-&quot;??_);_(@_)"/>
  </numFmts>
  <fonts count="10"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8">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xf numFmtId="0" fontId="2" fillId="3" borderId="3" xfId="0" applyFont="1" applyFill="1" applyBorder="1"/>
    <xf numFmtId="166" fontId="2" fillId="3" borderId="3" xfId="2" applyNumberFormat="1" applyFont="1" applyFill="1" applyBorder="1"/>
    <xf numFmtId="8" fontId="0" fillId="0" borderId="0" xfId="0" applyNumberFormat="1"/>
    <xf numFmtId="44" fontId="0" fillId="0" borderId="5" xfId="0" applyNumberFormat="1" applyBorder="1"/>
    <xf numFmtId="0" fontId="4" fillId="4" borderId="6" xfId="0" applyFont="1" applyFill="1" applyBorder="1" applyAlignment="1">
      <alignment horizontal="left"/>
    </xf>
    <xf numFmtId="0" fontId="4" fillId="4" borderId="4" xfId="0" applyFont="1" applyFill="1" applyBorder="1" applyAlignment="1">
      <alignment horizontal="left"/>
    </xf>
    <xf numFmtId="0" fontId="0" fillId="0" borderId="7" xfId="0" applyBorder="1"/>
    <xf numFmtId="0" fontId="5" fillId="5" borderId="0" xfId="0" applyFont="1" applyFill="1" applyAlignment="1">
      <alignment horizontal="left"/>
    </xf>
    <xf numFmtId="0" fontId="6" fillId="5" borderId="7" xfId="0" applyFont="1" applyFill="1" applyBorder="1" applyAlignment="1">
      <alignment horizontal="left"/>
    </xf>
    <xf numFmtId="0" fontId="5" fillId="5" borderId="5" xfId="0" applyFont="1" applyFill="1" applyBorder="1" applyAlignment="1">
      <alignment horizontal="left"/>
    </xf>
    <xf numFmtId="0" fontId="7" fillId="4" borderId="4" xfId="0" applyFont="1" applyFill="1" applyBorder="1" applyAlignment="1">
      <alignment horizontal="right"/>
    </xf>
    <xf numFmtId="0" fontId="7" fillId="4" borderId="6" xfId="0" applyFont="1" applyFill="1" applyBorder="1" applyAlignment="1">
      <alignment horizontal="right"/>
    </xf>
    <xf numFmtId="8" fontId="0" fillId="6" borderId="0" xfId="0" applyNumberFormat="1" applyFill="1"/>
    <xf numFmtId="0" fontId="8" fillId="0" borderId="0" xfId="0" applyFont="1" applyAlignment="1">
      <alignment vertical="top" wrapText="1"/>
    </xf>
    <xf numFmtId="0" fontId="0" fillId="0" borderId="2" xfId="0" applyBorder="1"/>
    <xf numFmtId="8" fontId="0" fillId="0" borderId="0" xfId="1" applyNumberFormat="1" applyFont="1" applyFill="1"/>
    <xf numFmtId="166" fontId="0" fillId="0" borderId="0" xfId="2" applyNumberFormat="1" applyFont="1" applyFill="1"/>
    <xf numFmtId="44" fontId="0" fillId="0" borderId="0" xfId="1" applyFont="1" applyFill="1"/>
    <xf numFmtId="44" fontId="0" fillId="0" borderId="1" xfId="0" applyNumberFormat="1" applyBorder="1"/>
    <xf numFmtId="9" fontId="0" fillId="0" borderId="0" xfId="3" applyFont="1" applyFill="1"/>
    <xf numFmtId="44" fontId="9" fillId="0" borderId="0" xfId="1" applyFont="1"/>
    <xf numFmtId="0" fontId="9" fillId="0" borderId="0" xfId="0" applyFont="1" applyAlignment="1">
      <alignment horizontal="centerContinuous"/>
    </xf>
    <xf numFmtId="10" fontId="9" fillId="0" borderId="0" xfId="3" applyNumberFormat="1" applyFont="1"/>
    <xf numFmtId="0" fontId="2" fillId="0" borderId="3" xfId="0" applyFont="1" applyBorder="1"/>
    <xf numFmtId="14" fontId="0" fillId="0" borderId="2" xfId="0" applyNumberFormat="1" applyBorder="1"/>
    <xf numFmtId="165" fontId="0" fillId="0" borderId="2" xfId="1" applyNumberFormat="1" applyFont="1" applyFill="1" applyBorder="1"/>
  </cellXfs>
  <cellStyles count="4">
    <cellStyle name="Comma" xfId="2" builtinId="3"/>
    <cellStyle name="Currency" xfId="1" builtinId="4"/>
    <cellStyle name="Normal" xfId="0" builtinId="0"/>
    <cellStyle name="Percent" xfId="3" builtinId="5"/>
  </cellStyles>
  <dxfs count="92">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auto="1"/>
        </patternFill>
      </fill>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none">
          <fgColor indexed="64"/>
          <bgColor auto="1"/>
        </patternFill>
      </fil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d/yyyy"/>
    </dxf>
    <dxf>
      <numFmt numFmtId="19" formatCode="m/d/yyyy"/>
    </dxf>
    <dxf>
      <numFmt numFmtId="34" formatCode="_(&quot;$&quot;* #,##0.00_);_(&quot;$&quot;* \(#,##0.00\);_(&quot;$&quot;* &quot;-&quot;??_);_(@_)"/>
      <border diagonalUp="0" diagonalDown="0" outline="0">
        <left/>
        <right/>
        <top style="thin">
          <color theme="4" tint="0.39997558519241921"/>
        </top>
        <bottom/>
      </border>
    </dxf>
    <dxf>
      <numFmt numFmtId="34" formatCode="_(&quot;$&quot;* #,##0.00_);_(&quot;$&quot;* \(#,##0.00\);_(&quot;$&quot;* &quot;-&quot;??_);_(@_)"/>
      <fill>
        <patternFill patternType="none">
          <bgColor auto="1"/>
        </patternFill>
      </fill>
    </dxf>
    <dxf>
      <numFmt numFmtId="0" formatCode="General"/>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border diagonalUp="0" diagonalDown="0" outline="0">
        <left/>
        <right/>
        <top style="thin">
          <color theme="4" tint="0.39997558519241921"/>
        </top>
        <bottom/>
      </border>
    </dxf>
    <dxf>
      <numFmt numFmtId="166" formatCode="_(* #,##0_);_(* \(#,##0\);_(* &quot;-&quot;??_);_(@_)"/>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F7CF-405C-A2B9-538D364888F2}"/>
            </c:ext>
          </c:extLst>
        </c:ser>
        <c:ser>
          <c:idx val="1"/>
          <c:order val="1"/>
          <c:tx>
            <c:strRef>
              <c:f>'Forecast Sheet'!$C$1</c:f>
              <c:strCache>
                <c:ptCount val="1"/>
                <c:pt idx="0">
                  <c:v>Forecast 1</c:v>
                </c:pt>
              </c:strCache>
            </c:strRef>
          </c:tx>
          <c:spPr>
            <a:ln w="25400" cap="rnd">
              <a:solidFill>
                <a:schemeClr val="accent2"/>
              </a:solidFill>
              <a:prstDash val="sysDot"/>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F7CF-405C-A2B9-538D364888F2}"/>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F7CF-405C-A2B9-538D364888F2}"/>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F7CF-405C-A2B9-538D364888F2}"/>
            </c:ext>
          </c:extLst>
        </c:ser>
        <c:ser>
          <c:idx val="4"/>
          <c:order val="4"/>
          <c:tx>
            <c:strRef>
              <c:f>'Forecast Sheet'!$F$1</c:f>
              <c:strCache>
                <c:ptCount val="1"/>
                <c:pt idx="0">
                  <c:v>Forecast 2</c:v>
                </c:pt>
              </c:strCache>
            </c:strRef>
          </c:tx>
          <c:spPr>
            <a:ln w="28575" cap="rnd">
              <a:solidFill>
                <a:schemeClr val="accent6"/>
              </a:solidFill>
              <a:prstDash val="sysDot"/>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F7CF-405C-A2B9-538D364888F2}"/>
            </c:ext>
          </c:extLst>
        </c:ser>
        <c:ser>
          <c:idx val="5"/>
          <c:order val="5"/>
          <c:tx>
            <c:strRef>
              <c:f>'Forecast Sheet'!$G$1</c:f>
              <c:strCache>
                <c:ptCount val="1"/>
                <c:pt idx="0">
                  <c:v>Lower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F7CF-405C-A2B9-538D364888F2}"/>
            </c:ext>
          </c:extLst>
        </c:ser>
        <c:ser>
          <c:idx val="6"/>
          <c:order val="6"/>
          <c:tx>
            <c:strRef>
              <c:f>'Forecast Sheet'!$H$1</c:f>
              <c:strCache>
                <c:ptCount val="1"/>
                <c:pt idx="0">
                  <c:v>Upper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F7CF-405C-A2B9-538D364888F2}"/>
            </c:ext>
          </c:extLst>
        </c:ser>
        <c:dLbls>
          <c:showLegendKey val="0"/>
          <c:showVal val="0"/>
          <c:showCatName val="0"/>
          <c:showSerName val="0"/>
          <c:showPercent val="0"/>
          <c:showBubbleSize val="0"/>
        </c:dLbls>
        <c:smooth val="0"/>
        <c:axId val="1229493311"/>
        <c:axId val="1133040847"/>
      </c:lineChart>
      <c:dateAx>
        <c:axId val="1229493311"/>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40847"/>
        <c:crosses val="autoZero"/>
        <c:auto val="1"/>
        <c:lblOffset val="100"/>
        <c:baseTimeUnit val="months"/>
      </c:dateAx>
      <c:valAx>
        <c:axId val="11330408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9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Total Sales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power"/>
            <c:forward val="2"/>
            <c:dispRSqr val="0"/>
            <c:dispEq val="0"/>
          </c:trendline>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log"/>
            <c:forward val="6"/>
            <c:dispRSqr val="0"/>
            <c:dispEq val="1"/>
            <c:trendlineLbl>
              <c:layout>
                <c:manualLayout>
                  <c:x val="-7.1111338355432846E-2"/>
                  <c:y val="-8.068320492196540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7134-439D-84A2-F50645D10D94}"/>
            </c:ext>
          </c:extLst>
        </c:ser>
        <c:dLbls>
          <c:showLegendKey val="0"/>
          <c:showVal val="0"/>
          <c:showCatName val="0"/>
          <c:showSerName val="0"/>
          <c:showPercent val="0"/>
          <c:showBubbleSize val="0"/>
        </c:dLbls>
        <c:smooth val="0"/>
        <c:axId val="770543855"/>
        <c:axId val="1163256255"/>
      </c:lineChart>
      <c:dateAx>
        <c:axId val="7705438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56255"/>
        <c:crosses val="autoZero"/>
        <c:auto val="1"/>
        <c:lblOffset val="100"/>
        <c:baseTimeUnit val="months"/>
      </c:dateAx>
      <c:valAx>
        <c:axId val="11632562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54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185736</xdr:colOff>
      <xdr:row>37</xdr:row>
      <xdr:rowOff>66675</xdr:rowOff>
    </xdr:from>
    <xdr:to>
      <xdr:col>7</xdr:col>
      <xdr:colOff>676274</xdr:colOff>
      <xdr:row>60</xdr:row>
      <xdr:rowOff>0</xdr:rowOff>
    </xdr:to>
    <xdr:graphicFrame macro="">
      <xdr:nvGraphicFramePr>
        <xdr:cNvPr id="2" name="Chart 1">
          <a:extLst>
            <a:ext uri="{FF2B5EF4-FFF2-40B4-BE49-F238E27FC236}">
              <a16:creationId xmlns:a16="http://schemas.microsoft.com/office/drawing/2014/main" id="{D6654955-5342-91D3-C4D3-2AE24257F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485775</xdr:colOff>
      <xdr:row>27</xdr:row>
      <xdr:rowOff>19050</xdr:rowOff>
    </xdr:from>
    <xdr:to>
      <xdr:col>10</xdr:col>
      <xdr:colOff>400050</xdr:colOff>
      <xdr:row>47</xdr:row>
      <xdr:rowOff>152399</xdr:rowOff>
    </xdr:to>
    <xdr:graphicFrame macro="">
      <xdr:nvGraphicFramePr>
        <xdr:cNvPr id="5" name="Chart 4">
          <a:extLst>
            <a:ext uri="{FF2B5EF4-FFF2-40B4-BE49-F238E27FC236}">
              <a16:creationId xmlns:a16="http://schemas.microsoft.com/office/drawing/2014/main" id="{91ED1321-47EE-C6DB-F85C-7C2B40EC1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91" dataDxfId="90" tableBorderDxfId="89">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88"/>
    <tableColumn id="2" xr3:uid="{510ACC26-A22A-4F08-AFB7-6BDB15D35B51}" name="Subscription Type" dataDxfId="87"/>
    <tableColumn id="3" xr3:uid="{52CF10EC-FF4A-4691-A534-69DE95304CF0}" name="Contract Length (Months)" dataDxfId="86"/>
    <tableColumn id="4" xr3:uid="{5AFA8C1D-F219-4A84-ABCA-7811BB4E2E19}" name="Current Contract Start"/>
    <tableColumn id="5" xr3:uid="{4A33BFC0-B0D6-4A4B-B783-8FCED53C9123}" name="Current Contract End"/>
    <tableColumn id="6" xr3:uid="{0CCF7229-CA92-4822-9DE1-CA11DA8BD796}" name="Licenses Bought" dataDxfId="85"/>
    <tableColumn id="7" xr3:uid="{65D5C43C-9025-49F0-A8FA-DE35788A2692}" name="Number of Users" dataDxfId="84"/>
    <tableColumn id="8" xr3:uid="{7B5F6219-A67E-4FA5-BE57-6360C52A34CC}" name="Account Creation Month" dataDxfId="83"/>
    <tableColumn id="9" xr3:uid="{A130BF87-0337-40CE-8057-5043B14CA696}" name="Last Active" dataDxfId="82"/>
    <tableColumn id="10" xr3:uid="{6A61EF97-BFB3-4D7C-AFC4-00D146EEE6FE}" name="Months Active" dataDxfId="81"/>
    <tableColumn id="11" xr3:uid="{A259F8F9-1849-47A1-9DD1-FC37AC14195F}" name="Months Since Last Active" dataDxfId="80"/>
    <tableColumn id="12" xr3:uid="{E7C3368F-5744-4C08-AFED-F616DE1D021D}" name="Sales Month" dataDxfId="79"/>
    <tableColumn id="13" xr3:uid="{9C5B064F-252A-4DD8-926B-B47340012530}" name="Sales Amount" dataDxfId="78"/>
    <tableColumn id="18" xr3:uid="{E7137459-6A20-418E-8F51-2152B8B8F204}" name="Sales Tier" dataDxfId="77">
      <calculatedColumnFormula array="1">_xlfn.SWITCH(Sales[[#This Row],[Subscription Type]],"Basic",4,"Premium",3,"Business",2,"Enterprise",1)</calculatedColumnFormula>
    </tableColumn>
    <tableColumn id="16" xr3:uid="{24D91692-E771-45F5-9C56-18E70036084B}" name="Upsell $ Per Non-Paying User" dataDxfId="76" dataCellStyle="Currency">
      <calculatedColumnFormula array="1">_xlfn.SWITCH(Sales[[#This Row],[Sales Tier]],4,10,3,10,2,25,1,27)</calculatedColumnFormula>
    </tableColumn>
    <tableColumn id="17" xr3:uid="{0CB49854-5094-44D6-819E-3FF01406D1E2}" name="Non-Paying Users" dataDxfId="75" dataCellStyle="Currency">
      <calculatedColumnFormula>MAX(0,Sales[[#This Row],[Number of Users]]-Sales[[#This Row],[Licenses Bought]])</calculatedColumnFormula>
    </tableColumn>
    <tableColumn id="19" xr3:uid="{64EFF60C-5B92-451F-8DA8-6FE407D19247}" name="Current Upsell $" dataDxfId="74"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73">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7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71" dataDxfId="70" tableBorderDxfId="69">
  <autoFilter ref="A1:N13" xr:uid="{2F00F9C4-D6B6-427F-A460-16AEEF355718}"/>
  <tableColumns count="14">
    <tableColumn id="1" xr3:uid="{09D44C24-4A6F-44BD-AF60-CCDDD5CAAD72}" name="Sales Month" totalsRowLabel="Total" dataDxfId="68" totalsRowDxfId="67"/>
    <tableColumn id="2" xr3:uid="{4C6F67EC-877F-42E4-8907-06C4AE7DFE0E}" name="Number of Customers" dataDxfId="66" totalsRowDxfId="65">
      <calculatedColumnFormula>COUNTIF(Sales[Sales Month],Sales_Trends[[#This Row],[Sales Month]])</calculatedColumnFormula>
    </tableColumn>
    <tableColumn id="3" xr3:uid="{ABC34B2E-1D90-43DA-9B82-17085FBC5F27}" name="Total Sales" dataDxfId="64" totalsRowDxfId="63"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62" totalsRowDxfId="61">
      <calculatedColumnFormula>Sales_Trends[[#This Row],[Total Sales]]/Sales_Trends[[#This Row],[Number of Customers]]</calculatedColumnFormula>
    </tableColumn>
    <tableColumn id="6" xr3:uid="{740529FE-5887-4F73-A4F1-874A8004AA44}" name="Non-Paying Customers" dataDxfId="60" totalsRowDxfId="59">
      <calculatedColumnFormula>COUNTIFS(Sales[Sales Month],Sales_Trends[[#This Row],[Sales Month]],Sales[Subscription Type],"Basic")</calculatedColumnFormula>
    </tableColumn>
    <tableColumn id="8" xr3:uid="{97260094-5109-4765-AA30-14BB69679C86}" name="Paying Customers" dataDxfId="58" totalsRowDxfId="57">
      <calculatedColumnFormula>COUNTIFS(Sales[Sales Month],Sales_Trends[[#This Row],[Sales Month]],Sales[Subscription Type],"&lt;&gt;Basic")</calculatedColumnFormula>
    </tableColumn>
    <tableColumn id="7" xr3:uid="{FF80E216-80E7-47A3-B049-BAEF2754F6FE}" name="Basic to Paying Ratio" dataDxfId="56" totalsRowDxfId="55" dataCellStyle="Comma" totalsRowCellStyle="Comma">
      <calculatedColumnFormula>Sales_Trends[[#This Row],[Non-Paying Customers]]/Sales_Trends[[#This Row],[Paying Customers]]</calculatedColumnFormula>
    </tableColumn>
    <tableColumn id="9" xr3:uid="{B422CD85-49C2-49DA-BBBA-1A4F3EE01F5A}" name="Premium Sales" dataDxfId="54" totalsRowDxfId="53" dataCellStyle="Currency" totalsRowCellStyle="Currency">
      <calculatedColumnFormula>SUMIFS(Sales[Sales Amount],Sales[Sales Month],Sales_Trends[[#This Row],[Sales Month]],Sales[Sales Tier],3)</calculatedColumnFormula>
    </tableColumn>
    <tableColumn id="10" xr3:uid="{3D45E107-66CE-4756-8336-7ABF21AAD87E}" name="Business Sales" dataDxfId="52" totalsRowDxfId="51"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50" totalsRowDxfId="49"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48" totalsRowDxfId="47" dataCellStyle="Percent" totalsRowCellStyle="Percent">
      <calculatedColumnFormula>Sales_Trends[[#This Row],[Premium Sales]]/Sales_Trends[[#This Row],[Total Sales]]</calculatedColumnFormula>
    </tableColumn>
    <tableColumn id="13" xr3:uid="{27AF9BCE-E45C-4C34-8545-F45A18C9F394}" name="Business Sales Share" dataDxfId="46" totalsRowDxfId="45" dataCellStyle="Percent" totalsRowCellStyle="Percent">
      <calculatedColumnFormula>Sales_Trends[[#This Row],[Business Sales]]/Sales_Trends[[#This Row],[Total Sales]]</calculatedColumnFormula>
    </tableColumn>
    <tableColumn id="12" xr3:uid="{3EB03E01-8B62-43DE-ABA1-609A93D34FAF}" name="Enterpirse Sales Share" dataDxfId="44" totalsRowDxfId="43" dataCellStyle="Percent" totalsRowCellStyle="Percent">
      <calculatedColumnFormula>Sales_Trends[[#This Row],[Enterprise Sales]]/Sales_Trends[[#This Row],[Total Sales]]</calculatedColumnFormula>
    </tableColumn>
    <tableColumn id="5" xr3:uid="{587A0417-053E-4BBF-A345-4577F2DA473D}" name="Column1" dataDxfId="42">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41">
      <calculatedColumnFormula>SUMIF(Sales[Subscription Type],Scenario1[[#This Row],[Subscription Type]],Sales[Current Upsell $])</calculatedColumnFormula>
    </tableColumn>
    <tableColumn id="2" xr3:uid="{5449D776-2EC3-45D4-B86E-F25B055833A8}" name="Conversion Rate" dataDxfId="40"/>
    <tableColumn id="3" xr3:uid="{53F09575-2BDD-423D-800F-990477A58DDB}" name="Projected Upsell Amount" totalsRowFunction="sum" dataDxfId="39">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777458-E651-4625-9C2E-0D2023180123}" name="Scenario3" displayName="Scenario3" ref="A13:E17" totalsRowCount="1" headerRowDxfId="38" headerRowBorderDxfId="37" tableBorderDxfId="36" totalsRowBorderDxfId="35">
  <autoFilter ref="A13:E16" xr:uid="{C7777458-E651-4625-9C2E-0D2023180123}"/>
  <tableColumns count="5">
    <tableColumn id="1" xr3:uid="{6FC853BE-797B-4CED-BC83-E18203022F78}" name="Subscription Type" totalsRowLabel="Total" dataDxfId="34" totalsRowDxfId="33"/>
    <tableColumn id="2" xr3:uid="{88614ED8-C84D-4C7A-B5DC-2A47F2D2808D}" name="License Price" dataDxfId="32" totalsRowDxfId="31" dataCellStyle="Currency"/>
    <tableColumn id="3" xr3:uid="{8F46081E-3468-4E8D-AF4D-13DA7F0B3BD4}" name="Licenses Bought" dataDxfId="30" totalsRowDxfId="29" dataCellStyle="Comma">
      <calculatedColumnFormula>SUMIFS(Sales[Licenses Bought],Sales[Sales Month],MAX(Sales[Sales Month]),Sales[Subscription Type],Scenario3[[#This Row],[Subscription Type]])</calculatedColumnFormula>
    </tableColumn>
    <tableColumn id="5" xr3:uid="{38EA70A6-7DD0-4DA4-96E0-0EBF47124EA5}" name="Elasticity" dataDxfId="28" totalsRowDxfId="27" dataCellStyle="Percent"/>
    <tableColumn id="4" xr3:uid="{070E1BE7-6BE8-449B-85B2-9E960E99391C}" name="Projected Sales" totalsRowFunction="sum" dataDxfId="26" totalsRowDxfId="25" dataCellStyle="Currency">
      <calculatedColumnFormula>Scenario3[[#This Row],[Licenses Bought]]*Scenario3[[#This Row],[License Price]]*(1+Scenario3[[#This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082FAF-0DA5-4655-BF74-C3BC3BEFB599}" name="Table8" displayName="Table8" ref="A1:H37" totalsRowShown="0">
  <autoFilter ref="A1:H37" xr:uid="{C7082FAF-0DA5-4655-BF74-C3BC3BEFB599}"/>
  <tableColumns count="8">
    <tableColumn id="1" xr3:uid="{E6BF0A9F-83E5-44F3-B02B-399747612C1E}" name="Sales Month" dataDxfId="24" totalsRowDxfId="23"/>
    <tableColumn id="2" xr3:uid="{EEAEC87B-6185-426A-B92C-96281FD154A0}" name="Total Sales"/>
    <tableColumn id="3" xr3:uid="{A56229BF-9D75-4222-8386-7FE9F870A519}" name="Forecast 1" dataDxfId="22" totalsRowDxfId="21">
      <calculatedColumnFormula>_xlfn.FORECAST.ETS(A2,$B$2:$B$25,$A$2:$A$25,1,1)</calculatedColumnFormula>
    </tableColumn>
    <tableColumn id="4" xr3:uid="{41A52CFB-E2C3-4FD5-A042-5D9E75F03A99}" name="Lower Bound 1" dataDxfId="20" totalsRowDxfId="19">
      <calculatedColumnFormula>C2-_xlfn.FORECAST.ETS.CONFINT(A2,$B$2:$B$25,$A$2:$A$25,0.9,1,1)</calculatedColumnFormula>
    </tableColumn>
    <tableColumn id="5" xr3:uid="{33CCE717-51B2-40C6-BD9E-419A51D0A9AD}" name="Upper Bound 1" dataDxfId="18" totalsRowDxfId="17">
      <calculatedColumnFormula>C2+_xlfn.FORECAST.ETS.CONFINT(A2,$B$2:$B$25,$A$2:$A$25,0.9,1,1)</calculatedColumnFormula>
    </tableColumn>
    <tableColumn id="6" xr3:uid="{3557E503-EC75-4805-A631-C42A81638D30}" name="Forecast 2" dataDxfId="16" totalsRowDxfId="15"/>
    <tableColumn id="7" xr3:uid="{15D703AF-31D1-4927-B288-D41EDD102FC8}" name="Lower Bound 2" dataDxfId="14" totalsRowDxfId="13"/>
    <tableColumn id="8" xr3:uid="{006205FB-0A92-42FD-811C-0728E48E8C21}" name="Upper Bound 2" dataDxfId="12" totalsRow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1F9C8B-60C8-4B84-AD93-37B7F923877C}" name="Forecast" displayName="Forecast" ref="A1:D26" totalsRowShown="0" headerRowDxfId="10" dataDxfId="8" headerRowBorderDxfId="9" tableBorderDxfId="7" totalsRowBorderDxfId="6">
  <autoFilter ref="A1:D26" xr:uid="{881F9C8B-60C8-4B84-AD93-37B7F923877C}"/>
  <tableColumns count="4">
    <tableColumn id="1" xr3:uid="{FC843C83-725D-4EBE-B18E-05EA13427871}" name="Sales Month" dataDxfId="5"/>
    <tableColumn id="2" xr3:uid="{EFA6914E-4686-408F-8F46-F6E60F4B54CB}" name="Total Sales" dataDxfId="4" dataCellStyle="Currency">
      <calculatedColumnFormula>SUMIF(Sales[Sales Month],Forecast[[#This Row],[Sales Month]],Sales[Sales Amount])</calculatedColumnFormula>
    </tableColumn>
    <tableColumn id="4" xr3:uid="{811FB2B9-4F22-4FC2-B6B9-E2705FAC5655}" name="SMA Forecast" dataDxfId="3"/>
    <tableColumn id="5" xr3:uid="{C9322E2C-9390-488E-8A8E-D28C1CA90D67}" name="WMA Foreca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14" zoomScaleNormal="100" workbookViewId="0">
      <selection activeCell="H2114" sqref="H2114"/>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F1" workbookViewId="0">
      <selection activeCell="N13" sqref="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2E9B-D11E-4CBE-A298-67EC1874077B}">
  <sheetPr>
    <outlinePr summaryBelow="0"/>
  </sheetPr>
  <dimension ref="B1:I13"/>
  <sheetViews>
    <sheetView showGridLines="0" workbookViewId="0">
      <selection activeCell="I10" sqref="I10"/>
    </sheetView>
  </sheetViews>
  <sheetFormatPr defaultRowHeight="15.75" outlineLevelRow="1" outlineLevelCol="1" x14ac:dyDescent="0.25"/>
  <cols>
    <col min="3" max="3" width="6.125" bestFit="1" customWidth="1"/>
    <col min="4" max="7" width="13" bestFit="1" customWidth="1" outlineLevel="1"/>
    <col min="9" max="9" width="11.125" bestFit="1" customWidth="1"/>
  </cols>
  <sheetData>
    <row r="1" spans="2:9" ht="16.5" thickBot="1" x14ac:dyDescent="0.3"/>
    <row r="2" spans="2:9" ht="18.75" x14ac:dyDescent="0.3">
      <c r="B2" s="46" t="s">
        <v>60</v>
      </c>
      <c r="C2" s="46"/>
      <c r="D2" s="51"/>
      <c r="E2" s="51"/>
      <c r="F2" s="51"/>
      <c r="G2" s="51"/>
    </row>
    <row r="3" spans="2:9" ht="18.75" collapsed="1" x14ac:dyDescent="0.3">
      <c r="B3" s="45"/>
      <c r="C3" s="45"/>
      <c r="D3" s="52" t="s">
        <v>62</v>
      </c>
      <c r="E3" s="52" t="s">
        <v>53</v>
      </c>
      <c r="F3" s="52" t="s">
        <v>54</v>
      </c>
      <c r="G3" s="52" t="s">
        <v>55</v>
      </c>
    </row>
    <row r="4" spans="2:9" ht="33.75" hidden="1" outlineLevel="1" x14ac:dyDescent="0.25">
      <c r="B4" s="48"/>
      <c r="C4" s="48"/>
      <c r="E4" s="54" t="s">
        <v>59</v>
      </c>
      <c r="F4" s="54" t="s">
        <v>59</v>
      </c>
      <c r="G4" s="54" t="s">
        <v>59</v>
      </c>
    </row>
    <row r="5" spans="2:9" x14ac:dyDescent="0.25">
      <c r="B5" s="49" t="s">
        <v>61</v>
      </c>
      <c r="C5" s="49"/>
      <c r="D5" s="47"/>
      <c r="E5" s="47"/>
      <c r="F5" s="47"/>
      <c r="G5" s="47"/>
    </row>
    <row r="6" spans="2:9" outlineLevel="1" x14ac:dyDescent="0.25">
      <c r="B6" s="48"/>
      <c r="C6" s="48" t="s">
        <v>56</v>
      </c>
      <c r="D6" s="43">
        <v>10</v>
      </c>
      <c r="E6" s="53">
        <v>10</v>
      </c>
      <c r="F6" s="53">
        <v>12</v>
      </c>
      <c r="G6" s="53">
        <v>15</v>
      </c>
    </row>
    <row r="7" spans="2:9" outlineLevel="1" x14ac:dyDescent="0.25">
      <c r="B7" s="48"/>
      <c r="C7" s="48" t="s">
        <v>57</v>
      </c>
      <c r="D7" s="43">
        <v>25</v>
      </c>
      <c r="E7" s="53">
        <v>25</v>
      </c>
      <c r="F7" s="53">
        <v>30</v>
      </c>
      <c r="G7" s="53">
        <v>35</v>
      </c>
    </row>
    <row r="8" spans="2:9" outlineLevel="1" x14ac:dyDescent="0.25">
      <c r="B8" s="48"/>
      <c r="C8" s="48" t="s">
        <v>58</v>
      </c>
      <c r="D8" s="43">
        <v>23</v>
      </c>
      <c r="E8" s="53">
        <v>23</v>
      </c>
      <c r="F8" s="53">
        <v>28</v>
      </c>
      <c r="G8" s="53">
        <v>33</v>
      </c>
    </row>
    <row r="9" spans="2:9" x14ac:dyDescent="0.25">
      <c r="B9" s="49" t="s">
        <v>63</v>
      </c>
      <c r="C9" s="49"/>
      <c r="D9" s="47"/>
      <c r="E9" s="47"/>
      <c r="F9" s="47"/>
      <c r="G9" s="47"/>
    </row>
    <row r="10" spans="2:9" ht="16.5" outlineLevel="1" thickBot="1" x14ac:dyDescent="0.3">
      <c r="B10" s="50"/>
      <c r="C10" s="50" t="s">
        <v>67</v>
      </c>
      <c r="D10" s="44">
        <v>80305</v>
      </c>
      <c r="E10" s="44">
        <v>80305</v>
      </c>
      <c r="F10" s="44">
        <v>96894</v>
      </c>
      <c r="G10" s="44">
        <v>115695</v>
      </c>
      <c r="I10" s="37">
        <f>G10-E10</f>
        <v>35390</v>
      </c>
    </row>
    <row r="11" spans="2:9" x14ac:dyDescent="0.25">
      <c r="B11" t="s">
        <v>64</v>
      </c>
    </row>
    <row r="12" spans="2:9" x14ac:dyDescent="0.25">
      <c r="B12" t="s">
        <v>65</v>
      </c>
    </row>
    <row r="13" spans="2:9" x14ac:dyDescent="0.25">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H27"/>
  <sheetViews>
    <sheetView workbookViewId="0">
      <selection activeCell="C49" sqref="C49"/>
    </sheetView>
  </sheetViews>
  <sheetFormatPr defaultRowHeight="15.75" x14ac:dyDescent="0.25"/>
  <cols>
    <col min="1" max="1" width="18.5" bestFit="1" customWidth="1"/>
    <col min="2" max="2" width="19.625" bestFit="1" customWidth="1"/>
    <col min="3" max="3" width="17" bestFit="1" customWidth="1"/>
    <col min="4" max="4" width="24.75" bestFit="1" customWidth="1"/>
    <col min="5" max="5" width="16.125" bestFit="1" customWidth="1"/>
    <col min="6" max="8" width="11.125" bestFit="1" customWidth="1"/>
  </cols>
  <sheetData>
    <row r="1" spans="1:5" x14ac:dyDescent="0.25">
      <c r="A1" t="s">
        <v>14</v>
      </c>
      <c r="B1" t="s">
        <v>46</v>
      </c>
      <c r="C1" t="s">
        <v>44</v>
      </c>
      <c r="D1" t="s">
        <v>43</v>
      </c>
    </row>
    <row r="2" spans="1:5" x14ac:dyDescent="0.25">
      <c r="A2" t="s">
        <v>3</v>
      </c>
      <c r="B2" s="37">
        <f>SUMIF(Sales[Subscription Type],Scenario1[[#This Row],[Subscription Type]],Sales[Current Upsell $])</f>
        <v>18350</v>
      </c>
      <c r="C2" s="38">
        <v>0.5</v>
      </c>
      <c r="D2" s="37">
        <f>Scenario1[[#This Row],[Upsell Opportunity]]*Scenario1[[#This Row],[Conversion Rate]]</f>
        <v>9175</v>
      </c>
    </row>
    <row r="3" spans="1:5" x14ac:dyDescent="0.25">
      <c r="A3" t="s">
        <v>0</v>
      </c>
      <c r="B3" s="37">
        <f>SUMIF(Sales[Subscription Type],Scenario1[[#This Row],[Subscription Type]],Sales[Current Upsell $])</f>
        <v>8460</v>
      </c>
      <c r="C3" s="38">
        <v>0.45</v>
      </c>
      <c r="D3" s="37">
        <f>Scenario1[[#This Row],[Upsell Opportunity]]*Scenario1[[#This Row],[Conversion Rate]]</f>
        <v>3807</v>
      </c>
    </row>
    <row r="4" spans="1:5" x14ac:dyDescent="0.25">
      <c r="A4" t="s">
        <v>1</v>
      </c>
      <c r="B4" s="37">
        <f>SUMIF(Sales[Subscription Type],Scenario1[[#This Row],[Subscription Type]],Sales[Current Upsell $])</f>
        <v>8475</v>
      </c>
      <c r="C4" s="38">
        <v>0.3</v>
      </c>
      <c r="D4" s="37">
        <f>Scenario1[[#This Row],[Upsell Opportunity]]*Scenario1[[#This Row],[Conversion Rate]]</f>
        <v>2542.5</v>
      </c>
    </row>
    <row r="5" spans="1:5" x14ac:dyDescent="0.25">
      <c r="A5" t="s">
        <v>2</v>
      </c>
      <c r="B5" s="37">
        <f>SUMIF(Sales[Subscription Type],Scenario1[[#This Row],[Subscription Type]],Sales[Current Upsell $])</f>
        <v>2808</v>
      </c>
      <c r="C5" s="38">
        <v>0.15</v>
      </c>
      <c r="D5" s="37">
        <f>Scenario1[[#This Row],[Upsell Opportunity]]*Scenario1[[#This Row],[Conversion Rate]]</f>
        <v>421.2</v>
      </c>
    </row>
    <row r="6" spans="1:5" x14ac:dyDescent="0.25">
      <c r="A6" t="s">
        <v>45</v>
      </c>
      <c r="D6" s="37">
        <f>SUBTOTAL(109,Scenario1[Projected Upsell Amount])</f>
        <v>15945.7</v>
      </c>
    </row>
    <row r="9" spans="1:5" x14ac:dyDescent="0.25">
      <c r="A9" t="s">
        <v>50</v>
      </c>
      <c r="B9" t="s">
        <v>48</v>
      </c>
      <c r="C9" t="s">
        <v>49</v>
      </c>
    </row>
    <row r="10" spans="1:5" x14ac:dyDescent="0.25">
      <c r="A10" s="39">
        <f>SUMIF(Sales[Sales Month],MAX(Sales[Sales Month]),Sales[Sales Amount])</f>
        <v>80335</v>
      </c>
      <c r="B10" s="40">
        <v>0.24478745254247822</v>
      </c>
      <c r="C10" s="39">
        <f>Scenario2[[#This Row],[Sales Last Month]]*(1+Scenario2[[#This Row],[Growth Rate]])</f>
        <v>99999.999999999985</v>
      </c>
    </row>
    <row r="13" spans="1:5" x14ac:dyDescent="0.25">
      <c r="A13" s="41" t="s">
        <v>14</v>
      </c>
      <c r="B13" s="41" t="s">
        <v>52</v>
      </c>
      <c r="C13" s="42" t="s">
        <v>4</v>
      </c>
      <c r="D13" s="42" t="s">
        <v>68</v>
      </c>
      <c r="E13" s="41" t="s">
        <v>51</v>
      </c>
    </row>
    <row r="14" spans="1:5" x14ac:dyDescent="0.25">
      <c r="A14" s="55" t="s">
        <v>0</v>
      </c>
      <c r="B14" s="56">
        <v>10</v>
      </c>
      <c r="C14" s="57">
        <f>SUMIFS(Sales[Licenses Bought],Sales[Sales Month],MAX(Sales[Sales Month]),Sales[Subscription Type],Scenario3[[#This Row],[Subscription Type]])</f>
        <v>2212</v>
      </c>
      <c r="D14" s="60">
        <v>-0.05</v>
      </c>
      <c r="E14" s="58">
        <f>Scenario3[[#This Row],[Licenses Bought]]*Scenario3[[#This Row],[License Price]]*(1+Scenario3[[#This Row],[Elasticity]])</f>
        <v>21014</v>
      </c>
    </row>
    <row r="15" spans="1:5" x14ac:dyDescent="0.25">
      <c r="A15" s="55" t="s">
        <v>1</v>
      </c>
      <c r="B15" s="56">
        <v>25</v>
      </c>
      <c r="C15" s="57">
        <f>SUMIFS(Sales[Licenses Bought],Sales[Sales Month],MAX(Sales[Sales Month]),Sales[Subscription Type],Scenario3[[#This Row],[Subscription Type]])</f>
        <v>1113</v>
      </c>
      <c r="D15" s="60">
        <v>-0.03</v>
      </c>
      <c r="E15" s="58">
        <f>Scenario3[[#This Row],[Licenses Bought]]*Scenario3[[#This Row],[License Price]]*(1+Scenario3[[#This Row],[Elasticity]])</f>
        <v>26990.25</v>
      </c>
    </row>
    <row r="16" spans="1:5" x14ac:dyDescent="0.25">
      <c r="A16" s="11" t="s">
        <v>2</v>
      </c>
      <c r="B16" s="56">
        <v>23</v>
      </c>
      <c r="C16" s="57">
        <f>SUMIFS(Sales[Licenses Bought],Sales[Sales Month],MAX(Sales[Sales Month]),Sales[Subscription Type],Scenario3[[#This Row],[Subscription Type]])</f>
        <v>1320</v>
      </c>
      <c r="D16" s="60">
        <v>-0.02</v>
      </c>
      <c r="E16" s="58">
        <f>Scenario3[[#This Row],[Licenses Bought]]*Scenario3[[#This Row],[License Price]]*(1+Scenario3[[#This Row],[Elasticity]])</f>
        <v>29752.799999999999</v>
      </c>
    </row>
    <row r="17" spans="1:8" x14ac:dyDescent="0.25">
      <c r="A17" s="11" t="s">
        <v>45</v>
      </c>
      <c r="B17" s="11"/>
      <c r="C17" s="11"/>
      <c r="D17" s="11"/>
      <c r="E17" s="59">
        <f>SUBTOTAL(109,Scenario3[Projected Sales])</f>
        <v>77757.05</v>
      </c>
    </row>
    <row r="19" spans="1:8" x14ac:dyDescent="0.25">
      <c r="A19" s="62" t="s">
        <v>69</v>
      </c>
      <c r="B19" s="62"/>
      <c r="C19" s="62"/>
      <c r="D19" s="62"/>
      <c r="E19" s="62"/>
      <c r="F19" s="62"/>
      <c r="G19" s="62"/>
      <c r="H19" s="62"/>
    </row>
    <row r="20" spans="1:8" x14ac:dyDescent="0.25">
      <c r="A20" s="37">
        <f>E14</f>
        <v>21014</v>
      </c>
      <c r="B20" s="63">
        <v>-1.2500000000000001E-2</v>
      </c>
      <c r="C20" s="63">
        <f>B20*2</f>
        <v>-2.5000000000000001E-2</v>
      </c>
      <c r="D20" s="63">
        <f t="shared" ref="D20:H20" si="0">C20*2</f>
        <v>-0.05</v>
      </c>
      <c r="E20" s="63">
        <f t="shared" si="0"/>
        <v>-0.1</v>
      </c>
      <c r="F20" s="63">
        <f t="shared" si="0"/>
        <v>-0.2</v>
      </c>
      <c r="G20" s="63">
        <f t="shared" si="0"/>
        <v>-0.4</v>
      </c>
      <c r="H20" s="63">
        <f t="shared" si="0"/>
        <v>-0.8</v>
      </c>
    </row>
    <row r="21" spans="1:8" x14ac:dyDescent="0.25">
      <c r="A21" s="61">
        <v>12.5</v>
      </c>
      <c r="B21" s="39">
        <f t="dataTable" ref="B21:H26" dt2D="1" dtr="1" r1="D14" r2="B14"/>
        <v>27304.375</v>
      </c>
      <c r="C21" s="39">
        <v>26958.75</v>
      </c>
      <c r="D21" s="39">
        <v>26267.5</v>
      </c>
      <c r="E21" s="39">
        <v>24885</v>
      </c>
      <c r="F21" s="39">
        <v>22120</v>
      </c>
      <c r="G21" s="39">
        <v>16590</v>
      </c>
      <c r="H21" s="39">
        <v>5529.9999999999991</v>
      </c>
    </row>
    <row r="22" spans="1:8" x14ac:dyDescent="0.25">
      <c r="A22" s="61">
        <f>A21+2.5</f>
        <v>15</v>
      </c>
      <c r="B22" s="39">
        <v>32765.25</v>
      </c>
      <c r="C22" s="39">
        <v>32350.5</v>
      </c>
      <c r="D22" s="39">
        <v>31521</v>
      </c>
      <c r="E22" s="39">
        <v>29862</v>
      </c>
      <c r="F22" s="39">
        <v>26544</v>
      </c>
      <c r="G22" s="39">
        <v>19908</v>
      </c>
      <c r="H22" s="39">
        <v>6635.9999999999982</v>
      </c>
    </row>
    <row r="23" spans="1:8" x14ac:dyDescent="0.25">
      <c r="A23" s="61">
        <f>A22+2.5</f>
        <v>17.5</v>
      </c>
      <c r="B23" s="39">
        <v>38226.125</v>
      </c>
      <c r="C23" s="39">
        <v>37742.25</v>
      </c>
      <c r="D23" s="39">
        <v>36774.5</v>
      </c>
      <c r="E23" s="39">
        <v>34839</v>
      </c>
      <c r="F23" s="39">
        <v>30968</v>
      </c>
      <c r="G23" s="39">
        <v>23226</v>
      </c>
      <c r="H23" s="39">
        <v>7741.9999999999982</v>
      </c>
    </row>
    <row r="24" spans="1:8" x14ac:dyDescent="0.25">
      <c r="A24" s="61">
        <f>A23+2.5</f>
        <v>20</v>
      </c>
      <c r="B24" s="39">
        <v>43687</v>
      </c>
      <c r="C24" s="39">
        <v>43134</v>
      </c>
      <c r="D24" s="39">
        <v>42028</v>
      </c>
      <c r="E24" s="39">
        <v>39816</v>
      </c>
      <c r="F24" s="39">
        <v>35392</v>
      </c>
      <c r="G24" s="39">
        <v>26544</v>
      </c>
      <c r="H24" s="39">
        <v>8847.9999999999982</v>
      </c>
    </row>
    <row r="25" spans="1:8" x14ac:dyDescent="0.25">
      <c r="A25" s="61">
        <f>A24+2.5</f>
        <v>22.5</v>
      </c>
      <c r="B25" s="39">
        <v>49147.875</v>
      </c>
      <c r="C25" s="39">
        <v>48525.75</v>
      </c>
      <c r="D25" s="39">
        <v>47281.5</v>
      </c>
      <c r="E25" s="39">
        <v>44793</v>
      </c>
      <c r="F25" s="39">
        <v>39816</v>
      </c>
      <c r="G25" s="39">
        <v>29862</v>
      </c>
      <c r="H25" s="39">
        <v>9953.9999999999982</v>
      </c>
    </row>
    <row r="26" spans="1:8" x14ac:dyDescent="0.25">
      <c r="A26" s="61">
        <f>A25+2.5</f>
        <v>25</v>
      </c>
      <c r="B26" s="39">
        <v>54608.75</v>
      </c>
      <c r="C26" s="39">
        <v>53917.5</v>
      </c>
      <c r="D26" s="39">
        <v>52535</v>
      </c>
      <c r="E26" s="39">
        <v>49770</v>
      </c>
      <c r="F26" s="39">
        <v>44240</v>
      </c>
      <c r="G26" s="39">
        <v>33180</v>
      </c>
      <c r="H26" s="39">
        <v>11059.999999999998</v>
      </c>
    </row>
    <row r="27" spans="1:8" x14ac:dyDescent="0.25">
      <c r="A27" s="61"/>
      <c r="B27" s="39"/>
      <c r="C27" s="39"/>
      <c r="D27" s="39"/>
      <c r="E27" s="39"/>
      <c r="F27" s="39"/>
      <c r="G27" s="39"/>
      <c r="H27" s="39"/>
    </row>
  </sheetData>
  <scenarios current="0" show="0" sqref="D17">
    <scenario name="Current" locked="1" count="3" user="Nick Edwards" comment="Created by Nick Edwards on 7/17/2023">
      <inputCells r="B14" val="10" numFmtId="8"/>
      <inputCells r="B15" val="25" numFmtId="8"/>
      <inputCells r="B16" val="23" numFmtId="8"/>
    </scenario>
    <scenario name="Moderate" locked="1" count="3" user="Nick Edwards" comment="Created by Nick Edwards on 7/17/2023">
      <inputCells r="B14" val="12" numFmtId="8"/>
      <inputCells r="B15" val="30" numFmtId="8"/>
      <inputCells r="B16" val="28" numFmtId="8"/>
    </scenario>
    <scenario name="High" locked="1" count="3" user="Nick Edwards" comment="Created by Nick Edwards on 7/17/2023">
      <inputCells r="B14" val="15" numFmtId="8"/>
      <inputCells r="B15" val="35" numFmtId="8"/>
      <inputCells r="B16" val="33" numFmtId="8"/>
    </scenario>
  </scenarios>
  <conditionalFormatting sqref="B21:H26">
    <cfRule type="cellIs" dxfId="1" priority="2" operator="lessThan">
      <formula>$A$20</formula>
    </cfRule>
  </conditionalFormatting>
  <conditionalFormatting sqref="H22">
    <cfRule type="cellIs" dxfId="0" priority="1" operator="lessThan">
      <formula>21014</formula>
    </cfRule>
  </conditionalFormatting>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5347B-3870-4676-AA59-17D4DDFFC8B8}">
  <dimension ref="A1:H37"/>
  <sheetViews>
    <sheetView workbookViewId="0"/>
  </sheetViews>
  <sheetFormatPr defaultRowHeight="15.75" x14ac:dyDescent="0.25"/>
  <cols>
    <col min="1" max="1" width="13.375" customWidth="1"/>
    <col min="2" max="2" width="11.875" customWidth="1"/>
    <col min="3" max="3" width="20.25" customWidth="1"/>
    <col min="4" max="5" width="34.5" customWidth="1"/>
    <col min="6" max="6" width="11.5" bestFit="1" customWidth="1"/>
    <col min="7" max="8" width="15.875" bestFit="1" customWidth="1"/>
  </cols>
  <sheetData>
    <row r="1" spans="1:8" x14ac:dyDescent="0.25">
      <c r="A1" t="s">
        <v>12</v>
      </c>
      <c r="B1" t="s">
        <v>32</v>
      </c>
      <c r="C1" t="s">
        <v>75</v>
      </c>
      <c r="D1" t="s">
        <v>76</v>
      </c>
      <c r="E1" t="s">
        <v>77</v>
      </c>
      <c r="F1" t="s">
        <v>72</v>
      </c>
      <c r="G1" t="s">
        <v>73</v>
      </c>
      <c r="H1" t="s">
        <v>74</v>
      </c>
    </row>
    <row r="2" spans="1:8" x14ac:dyDescent="0.25">
      <c r="A2" s="1">
        <v>43647</v>
      </c>
      <c r="B2" s="32">
        <v>0</v>
      </c>
      <c r="F2" s="32"/>
      <c r="G2" s="32"/>
      <c r="H2" s="32"/>
    </row>
    <row r="3" spans="1:8" x14ac:dyDescent="0.25">
      <c r="A3" s="1">
        <v>43678</v>
      </c>
      <c r="B3" s="32">
        <v>0</v>
      </c>
      <c r="F3" s="32"/>
      <c r="G3" s="32"/>
      <c r="H3" s="32"/>
    </row>
    <row r="4" spans="1:8" x14ac:dyDescent="0.25">
      <c r="A4" s="1">
        <v>43709</v>
      </c>
      <c r="B4" s="32">
        <v>0</v>
      </c>
      <c r="F4" s="32"/>
      <c r="G4" s="32"/>
      <c r="H4" s="32"/>
    </row>
    <row r="5" spans="1:8" x14ac:dyDescent="0.25">
      <c r="A5" s="1">
        <v>43739</v>
      </c>
      <c r="B5" s="32">
        <v>20</v>
      </c>
      <c r="F5" s="32"/>
      <c r="G5" s="32"/>
      <c r="H5" s="32"/>
    </row>
    <row r="6" spans="1:8" x14ac:dyDescent="0.25">
      <c r="A6" s="1">
        <v>43770</v>
      </c>
      <c r="B6" s="32">
        <v>40</v>
      </c>
      <c r="F6" s="32"/>
      <c r="G6" s="32"/>
      <c r="H6" s="32"/>
    </row>
    <row r="7" spans="1:8" x14ac:dyDescent="0.25">
      <c r="A7" s="1">
        <v>43800</v>
      </c>
      <c r="B7" s="32">
        <v>40</v>
      </c>
      <c r="F7" s="32"/>
      <c r="G7" s="32"/>
      <c r="H7" s="32"/>
    </row>
    <row r="8" spans="1:8" x14ac:dyDescent="0.25">
      <c r="A8" s="1">
        <v>43831</v>
      </c>
      <c r="B8" s="32">
        <v>645</v>
      </c>
      <c r="F8" s="32"/>
      <c r="G8" s="32"/>
      <c r="H8" s="32"/>
    </row>
    <row r="9" spans="1:8" x14ac:dyDescent="0.25">
      <c r="A9" s="1">
        <v>43862</v>
      </c>
      <c r="B9" s="32">
        <v>5735</v>
      </c>
      <c r="F9" s="32"/>
      <c r="G9" s="32"/>
      <c r="H9" s="32"/>
    </row>
    <row r="10" spans="1:8" x14ac:dyDescent="0.25">
      <c r="A10" s="1">
        <v>43891</v>
      </c>
      <c r="B10" s="32">
        <v>11310</v>
      </c>
      <c r="F10" s="32"/>
      <c r="G10" s="32"/>
      <c r="H10" s="32"/>
    </row>
    <row r="11" spans="1:8" x14ac:dyDescent="0.25">
      <c r="A11" s="1">
        <v>43922</v>
      </c>
      <c r="B11" s="32">
        <v>19225</v>
      </c>
      <c r="F11" s="32"/>
      <c r="G11" s="32"/>
      <c r="H11" s="32"/>
    </row>
    <row r="12" spans="1:8" x14ac:dyDescent="0.25">
      <c r="A12" s="1">
        <v>43952</v>
      </c>
      <c r="B12" s="32">
        <v>23805</v>
      </c>
      <c r="F12" s="32"/>
      <c r="G12" s="32"/>
      <c r="H12" s="32"/>
    </row>
    <row r="13" spans="1:8" x14ac:dyDescent="0.25">
      <c r="A13" s="1">
        <v>43983</v>
      </c>
      <c r="B13" s="32">
        <v>25190</v>
      </c>
      <c r="F13" s="32"/>
      <c r="G13" s="32"/>
      <c r="H13" s="32"/>
    </row>
    <row r="14" spans="1:8" x14ac:dyDescent="0.25">
      <c r="A14" s="1">
        <v>44013</v>
      </c>
      <c r="B14" s="32">
        <v>28325</v>
      </c>
      <c r="F14" s="32"/>
      <c r="G14" s="32"/>
      <c r="H14" s="32"/>
    </row>
    <row r="15" spans="1:8" x14ac:dyDescent="0.25">
      <c r="A15" s="1">
        <v>44044</v>
      </c>
      <c r="B15" s="32">
        <v>32005</v>
      </c>
      <c r="F15" s="32"/>
      <c r="G15" s="32"/>
      <c r="H15" s="32"/>
    </row>
    <row r="16" spans="1:8" x14ac:dyDescent="0.25">
      <c r="A16" s="1">
        <v>44075</v>
      </c>
      <c r="B16" s="32">
        <v>34890</v>
      </c>
      <c r="F16" s="32"/>
      <c r="G16" s="32"/>
      <c r="H16" s="32"/>
    </row>
    <row r="17" spans="1:8" x14ac:dyDescent="0.25">
      <c r="A17" s="1">
        <v>44105</v>
      </c>
      <c r="B17" s="32">
        <v>40615</v>
      </c>
      <c r="F17" s="32"/>
      <c r="G17" s="32"/>
      <c r="H17" s="32"/>
    </row>
    <row r="18" spans="1:8" x14ac:dyDescent="0.25">
      <c r="A18" s="1">
        <v>44136</v>
      </c>
      <c r="B18" s="32">
        <v>46605</v>
      </c>
      <c r="F18" s="32"/>
      <c r="G18" s="32"/>
      <c r="H18" s="32"/>
    </row>
    <row r="19" spans="1:8" x14ac:dyDescent="0.25">
      <c r="A19" s="1">
        <v>44166</v>
      </c>
      <c r="B19" s="32">
        <v>50195</v>
      </c>
      <c r="F19" s="32"/>
      <c r="G19" s="32"/>
      <c r="H19" s="32"/>
    </row>
    <row r="20" spans="1:8" x14ac:dyDescent="0.25">
      <c r="A20" s="1">
        <v>44197</v>
      </c>
      <c r="B20" s="32">
        <v>51605</v>
      </c>
      <c r="F20" s="32"/>
      <c r="G20" s="32"/>
      <c r="H20" s="32"/>
    </row>
    <row r="21" spans="1:8" x14ac:dyDescent="0.25">
      <c r="A21" s="1">
        <v>44228</v>
      </c>
      <c r="B21" s="32">
        <v>54120</v>
      </c>
      <c r="F21" s="32"/>
      <c r="G21" s="32"/>
      <c r="H21" s="32"/>
    </row>
    <row r="22" spans="1:8" x14ac:dyDescent="0.25">
      <c r="A22" s="1">
        <v>44256</v>
      </c>
      <c r="B22" s="32">
        <v>57040</v>
      </c>
      <c r="F22" s="32"/>
      <c r="G22" s="32"/>
      <c r="H22" s="32"/>
    </row>
    <row r="23" spans="1:8" x14ac:dyDescent="0.25">
      <c r="A23" s="1">
        <v>44287</v>
      </c>
      <c r="B23" s="32">
        <v>63125</v>
      </c>
      <c r="F23" s="32"/>
      <c r="G23" s="32"/>
      <c r="H23" s="32"/>
    </row>
    <row r="24" spans="1:8" x14ac:dyDescent="0.25">
      <c r="A24" s="1">
        <v>44317</v>
      </c>
      <c r="B24" s="32">
        <v>68155</v>
      </c>
      <c r="F24" s="32"/>
      <c r="G24" s="32"/>
      <c r="H24" s="32"/>
    </row>
    <row r="25" spans="1:8" x14ac:dyDescent="0.25">
      <c r="A25" s="1">
        <v>44348</v>
      </c>
      <c r="B25" s="32">
        <v>80335</v>
      </c>
      <c r="C25" s="32">
        <v>80335</v>
      </c>
      <c r="D25" s="32">
        <v>80335</v>
      </c>
      <c r="E25" s="32">
        <v>80335</v>
      </c>
      <c r="F25" s="32">
        <f>Table8[[#This Row],[Total Sales]]</f>
        <v>80335</v>
      </c>
      <c r="G25" s="32">
        <f>Table8[[#This Row],[Forecast 2]]</f>
        <v>80335</v>
      </c>
      <c r="H25" s="32">
        <f>Table8[[#This Row],[Forecast 2]]</f>
        <v>80335</v>
      </c>
    </row>
    <row r="26" spans="1:8" x14ac:dyDescent="0.25">
      <c r="A26" s="1">
        <v>44378</v>
      </c>
      <c r="C26" s="32">
        <f t="shared" ref="C26:C31" si="0">_xlfn.FORECAST.ETS(A26,$B$2:$B$25,$A$2:$A$25,1,1)</f>
        <v>82995.899706484532</v>
      </c>
      <c r="D26" s="32">
        <f>Table8[[#This Row],[Forecast 1]]-_xlfn.FORECAST.ETS.CONFINT(A26,$B$2:$B$25,$A$2:$A$25,0.9,1,1)</f>
        <v>77967.187598291886</v>
      </c>
      <c r="E26" s="32">
        <f t="shared" ref="E26:E31" si="1">C26+_xlfn.FORECAST.ETS.CONFINT(A26,$B$2:$B$25,$A$2:$A$25,0.9,1,1)</f>
        <v>88024.611814677177</v>
      </c>
      <c r="F26" s="32">
        <f>_xlfn.FORECAST.ETS(A26,$B$14:$B$25,$A$14:$A$25,1,1)</f>
        <v>78454.491921128021</v>
      </c>
      <c r="G26" s="32">
        <f>Table8[[#This Row],[Forecast 2]]-_xlfn.FORECAST.ETS.CONFINT(A26,$B$2:$B$25,$A$2:$A$25,0.95)</f>
        <v>72462.411860517954</v>
      </c>
      <c r="H26" s="32">
        <f>Table8[[#This Row],[Forecast 2]]+_xlfn.FORECAST.ETS.CONFINT(A26,$B$2:$B$25,$A$2:$A$25,0.95,1,1)</f>
        <v>84446.571981738089</v>
      </c>
    </row>
    <row r="27" spans="1:8" x14ac:dyDescent="0.25">
      <c r="A27" s="1">
        <v>44409</v>
      </c>
      <c r="C27" s="32">
        <f t="shared" si="0"/>
        <v>86538.844926448161</v>
      </c>
      <c r="D27" s="32">
        <f>Table8[[#This Row],[Forecast 1]]-_xlfn.FORECAST.ETS.CONFINT(A27,$B$2:$B$25,$A$2:$A$25,0.9,1,1)</f>
        <v>79770.039648911581</v>
      </c>
      <c r="E27" s="32">
        <f t="shared" si="1"/>
        <v>93307.65020398474</v>
      </c>
      <c r="F27" s="32">
        <f t="shared" ref="F27:F31" si="2">_xlfn.FORECAST.ETS(A27,$B$14:$B$25,$A$14:$A$25,1,1)</f>
        <v>82653.508289769248</v>
      </c>
      <c r="G27" s="32">
        <f>Table8[[#This Row],[Forecast 2]]-_xlfn.FORECAST.ETS.CONFINT(A27,$B$2:$B$25,$A$2:$A$25,0.95)</f>
        <v>74587.979330256712</v>
      </c>
      <c r="H27" s="32">
        <f>Table8[[#This Row],[Forecast 2]]+_xlfn.FORECAST.ETS.CONFINT(A27,$B$2:$B$25,$A$2:$A$25,0.95,1,1)</f>
        <v>90719.037249281784</v>
      </c>
    </row>
    <row r="28" spans="1:8" x14ac:dyDescent="0.25">
      <c r="A28" s="1">
        <v>44440</v>
      </c>
      <c r="C28" s="32">
        <f t="shared" si="0"/>
        <v>90081.790146411789</v>
      </c>
      <c r="D28" s="32">
        <f>Table8[[#This Row],[Forecast 1]]-_xlfn.FORECAST.ETS.CONFINT(A28,$B$2:$B$25,$A$2:$A$25,0.9,1,1)</f>
        <v>81933.716848446944</v>
      </c>
      <c r="E28" s="32">
        <f t="shared" si="1"/>
        <v>98229.863444376635</v>
      </c>
      <c r="F28" s="32">
        <f t="shared" si="2"/>
        <v>86852.52465841049</v>
      </c>
      <c r="G28" s="32">
        <f>Table8[[#This Row],[Forecast 2]]-_xlfn.FORECAST.ETS.CONFINT(A28,$B$2:$B$25,$A$2:$A$25,0.95)</f>
        <v>77143.496483665323</v>
      </c>
      <c r="H28" s="32">
        <f>Table8[[#This Row],[Forecast 2]]+_xlfn.FORECAST.ETS.CONFINT(A28,$B$2:$B$25,$A$2:$A$25,0.95,1,1)</f>
        <v>96561.552833155656</v>
      </c>
    </row>
    <row r="29" spans="1:8" x14ac:dyDescent="0.25">
      <c r="A29" s="1">
        <v>44470</v>
      </c>
      <c r="C29" s="32">
        <f t="shared" si="0"/>
        <v>93624.735366375418</v>
      </c>
      <c r="D29" s="32">
        <f>Table8[[#This Row],[Forecast 1]]-_xlfn.FORECAST.ETS.CONFINT(A29,$B$2:$B$25,$A$2:$A$25,0.9,1,1)</f>
        <v>84296.760409592098</v>
      </c>
      <c r="E29" s="32">
        <f t="shared" si="1"/>
        <v>102952.71032315874</v>
      </c>
      <c r="F29" s="32">
        <f t="shared" si="2"/>
        <v>91051.541027051731</v>
      </c>
      <c r="G29" s="32">
        <f>Table8[[#This Row],[Forecast 2]]-_xlfn.FORECAST.ETS.CONFINT(A29,$B$2:$B$25,$A$2:$A$25,0.95)</f>
        <v>79936.573309303407</v>
      </c>
      <c r="H29" s="32">
        <f>Table8[[#This Row],[Forecast 2]]+_xlfn.FORECAST.ETS.CONFINT(A29,$B$2:$B$25,$A$2:$A$25,0.95,1,1)</f>
        <v>102166.50874480006</v>
      </c>
    </row>
    <row r="30" spans="1:8" x14ac:dyDescent="0.25">
      <c r="A30" s="1">
        <v>44501</v>
      </c>
      <c r="C30" s="32">
        <f t="shared" si="0"/>
        <v>97167.680586339047</v>
      </c>
      <c r="D30" s="32">
        <f>Table8[[#This Row],[Forecast 1]]-_xlfn.FORECAST.ETS.CONFINT(A30,$B$2:$B$25,$A$2:$A$25,0.9,1,1)</f>
        <v>86790.935892688503</v>
      </c>
      <c r="E30" s="32">
        <f t="shared" si="1"/>
        <v>107544.42527998959</v>
      </c>
      <c r="F30" s="32">
        <f t="shared" si="2"/>
        <v>95250.557395692973</v>
      </c>
      <c r="G30" s="32">
        <f>Table8[[#This Row],[Forecast 2]]-_xlfn.FORECAST.ETS.CONFINT(A30,$B$2:$B$25,$A$2:$A$25,0.95)</f>
        <v>82885.903457447916</v>
      </c>
      <c r="H30" s="32">
        <f>Table8[[#This Row],[Forecast 2]]+_xlfn.FORECAST.ETS.CONFINT(A30,$B$2:$B$25,$A$2:$A$25,0.95,1,1)</f>
        <v>107615.21133393803</v>
      </c>
    </row>
    <row r="31" spans="1:8" x14ac:dyDescent="0.25">
      <c r="A31" s="1">
        <v>44531</v>
      </c>
      <c r="C31" s="32">
        <f t="shared" si="0"/>
        <v>100710.62580630268</v>
      </c>
      <c r="D31" s="32">
        <f>Table8[[#This Row],[Forecast 1]]-_xlfn.FORECAST.ETS.CONFINT(A31,$B$2:$B$25,$A$2:$A$25,0.9,1,1)</f>
        <v>89379.770146936848</v>
      </c>
      <c r="E31" s="32">
        <f t="shared" si="1"/>
        <v>112041.4814656685</v>
      </c>
      <c r="F31" s="32">
        <f t="shared" si="2"/>
        <v>99449.5737643342</v>
      </c>
      <c r="G31" s="32">
        <f>Table8[[#This Row],[Forecast 2]]-_xlfn.FORECAST.ETS.CONFINT(A31,$B$2:$B$25,$A$2:$A$25,0.95)</f>
        <v>85948.026488338161</v>
      </c>
      <c r="H31" s="32">
        <f>Table8[[#This Row],[Forecast 2]]+_xlfn.FORECAST.ETS.CONFINT(A31,$B$2:$B$25,$A$2:$A$25,0.95,1,1)</f>
        <v>112951.12104033024</v>
      </c>
    </row>
    <row r="32" spans="1:8" x14ac:dyDescent="0.25">
      <c r="A32" s="1">
        <v>44562</v>
      </c>
      <c r="C32" s="32">
        <f t="shared" ref="C32:C36" si="3">_xlfn.FORECAST.ETS(A32,$B$2:$B$25,$A$2:$A$25,1,1)</f>
        <v>104253.57102626631</v>
      </c>
      <c r="D32" s="32">
        <f>Table8[[#This Row],[Forecast 1]]-_xlfn.FORECAST.ETS.CONFINT(A32,$B$2:$B$25,$A$2:$A$25,0.9,1,1)</f>
        <v>92041.055070133385</v>
      </c>
      <c r="E32" s="32">
        <f t="shared" ref="E32:E36" si="4">C32+_xlfn.FORECAST.ETS.CONFINT(A32,$B$2:$B$25,$A$2:$A$25,0.9,1,1)</f>
        <v>116466.08698239923</v>
      </c>
      <c r="F32" s="32">
        <f t="shared" ref="F32:F36" si="5">_xlfn.FORECAST.ETS(A32,$B$14:$B$25,$A$14:$A$25,1,1)</f>
        <v>103648.59013297544</v>
      </c>
      <c r="G32" s="32">
        <f>Table8[[#This Row],[Forecast 2]]-_xlfn.FORECAST.ETS.CONFINT(A32,$B$2:$B$25,$A$2:$A$25,0.95)</f>
        <v>89096.479816020495</v>
      </c>
      <c r="H32" s="32">
        <f>Table8[[#This Row],[Forecast 2]]+_xlfn.FORECAST.ETS.CONFINT(A32,$B$2:$B$25,$A$2:$A$25,0.95,1,1)</f>
        <v>118200.70044993039</v>
      </c>
    </row>
    <row r="33" spans="1:8" x14ac:dyDescent="0.25">
      <c r="A33" s="1">
        <f>EOMONTH(A32,0)+1</f>
        <v>44593</v>
      </c>
      <c r="C33" s="32">
        <f t="shared" si="3"/>
        <v>107796.51624622993</v>
      </c>
      <c r="D33" s="32">
        <f>Table8[[#This Row],[Forecast 1]]-_xlfn.FORECAST.ETS.CONFINT(A33,$B$2:$B$25,$A$2:$A$25,0.9,1,1)</f>
        <v>94760.080804386482</v>
      </c>
      <c r="E33" s="32">
        <f t="shared" si="4"/>
        <v>120832.95168807339</v>
      </c>
      <c r="F33" s="32">
        <f t="shared" si="5"/>
        <v>107847.60650161668</v>
      </c>
      <c r="G33" s="32">
        <f>Table8[[#This Row],[Forecast 2]]-_xlfn.FORECAST.ETS.CONFINT(A33,$B$2:$B$25,$A$2:$A$25,0.95)</f>
        <v>92313.73556372046</v>
      </c>
      <c r="H33" s="32">
        <f>Table8[[#This Row],[Forecast 2]]+_xlfn.FORECAST.ETS.CONFINT(A33,$B$2:$B$25,$A$2:$A$25,0.95,1,1)</f>
        <v>123381.47743951291</v>
      </c>
    </row>
    <row r="34" spans="1:8" x14ac:dyDescent="0.25">
      <c r="A34" s="1">
        <f t="shared" ref="A34:A36" si="6">EOMONTH(A33,0)+1</f>
        <v>44621</v>
      </c>
      <c r="C34" s="32">
        <f t="shared" si="3"/>
        <v>111339.46146619356</v>
      </c>
      <c r="D34" s="32">
        <f>Table8[[#This Row],[Forecast 1]]-_xlfn.FORECAST.ETS.CONFINT(A34,$B$2:$B$25,$A$2:$A$25,0.9,1,1)</f>
        <v>97526.50922197997</v>
      </c>
      <c r="E34" s="32">
        <f t="shared" si="4"/>
        <v>125152.41371040716</v>
      </c>
      <c r="F34" s="32">
        <f t="shared" si="5"/>
        <v>112046.62287025791</v>
      </c>
      <c r="G34" s="32">
        <f>Table8[[#This Row],[Forecast 2]]-_xlfn.FORECAST.ETS.CONFINT(A34,$B$2:$B$25,$A$2:$A$25,0.95)</f>
        <v>95587.475092466571</v>
      </c>
      <c r="H34" s="32">
        <f>Table8[[#This Row],[Forecast 2]]+_xlfn.FORECAST.ETS.CONFINT(A34,$B$2:$B$25,$A$2:$A$25,0.95,1,1)</f>
        <v>128505.77064804925</v>
      </c>
    </row>
    <row r="35" spans="1:8" x14ac:dyDescent="0.25">
      <c r="A35" s="1">
        <f t="shared" si="6"/>
        <v>44652</v>
      </c>
      <c r="C35" s="32">
        <f t="shared" si="3"/>
        <v>114882.40668615719</v>
      </c>
      <c r="D35" s="32">
        <f>Table8[[#This Row],[Forecast 1]]-_xlfn.FORECAST.ETS.CONFINT(A35,$B$2:$B$25,$A$2:$A$25,0.9,1,1)</f>
        <v>100332.74694548242</v>
      </c>
      <c r="E35" s="32">
        <f t="shared" si="4"/>
        <v>129432.06642683197</v>
      </c>
      <c r="F35" s="32">
        <f t="shared" si="5"/>
        <v>116245.63923889915</v>
      </c>
      <c r="G35" s="32">
        <f>Table8[[#This Row],[Forecast 2]]-_xlfn.FORECAST.ETS.CONFINT(A35,$B$2:$B$25,$A$2:$A$25,0.95)</f>
        <v>98908.650334976293</v>
      </c>
      <c r="H35" s="32">
        <f>Table8[[#This Row],[Forecast 2]]+_xlfn.FORECAST.ETS.CONFINT(A35,$B$2:$B$25,$A$2:$A$25,0.95,1,1)</f>
        <v>133582.62814282201</v>
      </c>
    </row>
    <row r="36" spans="1:8" x14ac:dyDescent="0.25">
      <c r="A36" s="1">
        <f t="shared" si="6"/>
        <v>44682</v>
      </c>
      <c r="C36" s="32">
        <f t="shared" si="3"/>
        <v>118425.35190612082</v>
      </c>
      <c r="D36" s="32">
        <f>Table8[[#This Row],[Forecast 1]]-_xlfn.FORECAST.ETS.CONFINT(A36,$B$2:$B$25,$A$2:$A$25,0.9,1,1)</f>
        <v>103173.02270003875</v>
      </c>
      <c r="E36" s="32">
        <f t="shared" si="4"/>
        <v>133677.68111220287</v>
      </c>
      <c r="F36" s="32">
        <f t="shared" si="5"/>
        <v>120444.65560754039</v>
      </c>
      <c r="G36" s="32">
        <f>Table8[[#This Row],[Forecast 2]]-_xlfn.FORECAST.ETS.CONFINT(A36,$B$2:$B$25,$A$2:$A$25,0.95)</f>
        <v>102270.38439310167</v>
      </c>
      <c r="H36" s="32">
        <f>Table8[[#This Row],[Forecast 2]]+_xlfn.FORECAST.ETS.CONFINT(A36,$B$2:$B$25,$A$2:$A$25,0.95,1,1)</f>
        <v>138618.92682197911</v>
      </c>
    </row>
    <row r="37" spans="1:8" x14ac:dyDescent="0.25">
      <c r="A37" s="1">
        <f t="shared" ref="A37" si="7">EOMONTH(A36,0)+1</f>
        <v>44713</v>
      </c>
      <c r="C37" s="32">
        <f t="shared" ref="C37" si="8">_xlfn.FORECAST.ETS(A37,$B$2:$B$25,$A$2:$A$25,1,1)</f>
        <v>121968.29712608445</v>
      </c>
      <c r="D37" s="32">
        <f>Table8[[#This Row],[Forecast 1]]-_xlfn.FORECAST.ETS.CONFINT(A37,$B$2:$B$25,$A$2:$A$25,0.9,1,1)</f>
        <v>106042.82874362577</v>
      </c>
      <c r="E37" s="32">
        <f t="shared" ref="E37" si="9">C37+_xlfn.FORECAST.ETS.CONFINT(A37,$B$2:$B$25,$A$2:$A$25,0.9,1,1)</f>
        <v>137893.76550854315</v>
      </c>
      <c r="F37" s="32">
        <f t="shared" ref="F37" si="10">_xlfn.FORECAST.ETS(A37,$B$14:$B$25,$A$14:$A$25,1,1)</f>
        <v>124643.67197618162</v>
      </c>
      <c r="G37" s="32">
        <f>Table8[[#This Row],[Forecast 2]]-_xlfn.FORECAST.ETS.CONFINT(A37,$B$2:$B$25,$A$2:$A$25,0.95)</f>
        <v>105667.3059609269</v>
      </c>
      <c r="H37" s="32">
        <f>Table8[[#This Row],[Forecast 2]]+_xlfn.FORECAST.ETS.CONFINT(A37,$B$2:$B$25,$A$2:$A$25,0.95,1,1)</f>
        <v>143620.03799143634</v>
      </c>
    </row>
  </sheetData>
  <phoneticPr fontId="3"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448B-C319-4BCC-AD00-322032D0444E}">
  <dimension ref="A1:D26"/>
  <sheetViews>
    <sheetView tabSelected="1" workbookViewId="0"/>
  </sheetViews>
  <sheetFormatPr defaultRowHeight="15.75" x14ac:dyDescent="0.25"/>
  <cols>
    <col min="1" max="1" width="13.375" customWidth="1"/>
    <col min="2" max="2" width="11.875" customWidth="1"/>
    <col min="3" max="3" width="15.125" customWidth="1"/>
    <col min="4" max="4" width="15.5" bestFit="1" customWidth="1"/>
  </cols>
  <sheetData>
    <row r="1" spans="1:4" x14ac:dyDescent="0.25">
      <c r="A1" s="64" t="s">
        <v>12</v>
      </c>
      <c r="B1" s="64" t="s">
        <v>32</v>
      </c>
      <c r="C1" s="64" t="s">
        <v>70</v>
      </c>
      <c r="D1" s="64" t="s">
        <v>71</v>
      </c>
    </row>
    <row r="2" spans="1:4" x14ac:dyDescent="0.25">
      <c r="A2" s="65">
        <v>43647</v>
      </c>
      <c r="B2" s="66">
        <f>SUMIF(Sales[Sales Month],Forecast[[#This Row],[Sales Month]],Sales[Sales Amount])</f>
        <v>0</v>
      </c>
    </row>
    <row r="3" spans="1:4" x14ac:dyDescent="0.25">
      <c r="A3" s="65">
        <f>EOMONTH(A2,0)+1</f>
        <v>43678</v>
      </c>
      <c r="B3" s="66">
        <f>SUMIF(Sales[Sales Month],Forecast[[#This Row],[Sales Month]],Sales[Sales Amount])</f>
        <v>0</v>
      </c>
    </row>
    <row r="4" spans="1:4" x14ac:dyDescent="0.25">
      <c r="A4" s="65">
        <f t="shared" ref="A4:A25" si="0">EOMONTH(A3,0)+1</f>
        <v>43709</v>
      </c>
      <c r="B4" s="66">
        <f>SUMIF(Sales[Sales Month],Forecast[[#This Row],[Sales Month]],Sales[Sales Amount])</f>
        <v>0</v>
      </c>
    </row>
    <row r="5" spans="1:4" x14ac:dyDescent="0.25">
      <c r="A5" s="65">
        <f t="shared" si="0"/>
        <v>43739</v>
      </c>
      <c r="B5" s="66">
        <f>SUMIF(Sales[Sales Month],Forecast[[#This Row],[Sales Month]],Sales[Sales Amount])</f>
        <v>20</v>
      </c>
      <c r="C5" s="32">
        <f>AVERAGE(B2:B4)</f>
        <v>0</v>
      </c>
      <c r="D5" s="32">
        <f>B2*15%+B3*35%+B4*50%</f>
        <v>0</v>
      </c>
    </row>
    <row r="6" spans="1:4" x14ac:dyDescent="0.25">
      <c r="A6" s="65">
        <f t="shared" si="0"/>
        <v>43770</v>
      </c>
      <c r="B6" s="66">
        <f>SUMIF(Sales[Sales Month],Forecast[[#This Row],[Sales Month]],Sales[Sales Amount])</f>
        <v>40</v>
      </c>
      <c r="C6" s="32">
        <f t="shared" ref="C6:C26" si="1">AVERAGE(B3:B5)</f>
        <v>6.666666666666667</v>
      </c>
      <c r="D6" s="32">
        <f t="shared" ref="D6:D25" si="2">B3*15%+B4*35%+B5*50%</f>
        <v>10</v>
      </c>
    </row>
    <row r="7" spans="1:4" x14ac:dyDescent="0.25">
      <c r="A7" s="65">
        <f t="shared" si="0"/>
        <v>43800</v>
      </c>
      <c r="B7" s="66">
        <f>SUMIF(Sales[Sales Month],Forecast[[#This Row],[Sales Month]],Sales[Sales Amount])</f>
        <v>40</v>
      </c>
      <c r="C7" s="32">
        <f t="shared" si="1"/>
        <v>20</v>
      </c>
      <c r="D7" s="32">
        <f t="shared" si="2"/>
        <v>27</v>
      </c>
    </row>
    <row r="8" spans="1:4" x14ac:dyDescent="0.25">
      <c r="A8" s="65">
        <f t="shared" si="0"/>
        <v>43831</v>
      </c>
      <c r="B8" s="66">
        <f>SUMIF(Sales[Sales Month],Forecast[[#This Row],[Sales Month]],Sales[Sales Amount])</f>
        <v>645</v>
      </c>
      <c r="C8" s="32">
        <f t="shared" si="1"/>
        <v>33.333333333333336</v>
      </c>
      <c r="D8" s="32">
        <f t="shared" si="2"/>
        <v>37</v>
      </c>
    </row>
    <row r="9" spans="1:4" x14ac:dyDescent="0.25">
      <c r="A9" s="65">
        <f t="shared" si="0"/>
        <v>43862</v>
      </c>
      <c r="B9" s="66">
        <f>SUMIF(Sales[Sales Month],Forecast[[#This Row],[Sales Month]],Sales[Sales Amount])</f>
        <v>5735</v>
      </c>
      <c r="C9" s="32">
        <f t="shared" si="1"/>
        <v>241.66666666666666</v>
      </c>
      <c r="D9" s="32">
        <f t="shared" si="2"/>
        <v>342.5</v>
      </c>
    </row>
    <row r="10" spans="1:4" x14ac:dyDescent="0.25">
      <c r="A10" s="65">
        <f t="shared" si="0"/>
        <v>43891</v>
      </c>
      <c r="B10" s="66">
        <f>SUMIF(Sales[Sales Month],Forecast[[#This Row],[Sales Month]],Sales[Sales Amount])</f>
        <v>11310</v>
      </c>
      <c r="C10" s="32">
        <f t="shared" si="1"/>
        <v>2140</v>
      </c>
      <c r="D10" s="32">
        <f t="shared" si="2"/>
        <v>3099.25</v>
      </c>
    </row>
    <row r="11" spans="1:4" x14ac:dyDescent="0.25">
      <c r="A11" s="65">
        <f t="shared" si="0"/>
        <v>43922</v>
      </c>
      <c r="B11" s="66">
        <f>SUMIF(Sales[Sales Month],Forecast[[#This Row],[Sales Month]],Sales[Sales Amount])</f>
        <v>19225</v>
      </c>
      <c r="C11" s="32">
        <f t="shared" si="1"/>
        <v>5896.666666666667</v>
      </c>
      <c r="D11" s="32">
        <f t="shared" si="2"/>
        <v>7759</v>
      </c>
    </row>
    <row r="12" spans="1:4" x14ac:dyDescent="0.25">
      <c r="A12" s="65">
        <f t="shared" si="0"/>
        <v>43952</v>
      </c>
      <c r="B12" s="66">
        <f>SUMIF(Sales[Sales Month],Forecast[[#This Row],[Sales Month]],Sales[Sales Amount])</f>
        <v>23805</v>
      </c>
      <c r="C12" s="32">
        <f t="shared" si="1"/>
        <v>12090</v>
      </c>
      <c r="D12" s="32">
        <f t="shared" si="2"/>
        <v>14431.25</v>
      </c>
    </row>
    <row r="13" spans="1:4" x14ac:dyDescent="0.25">
      <c r="A13" s="65">
        <f t="shared" si="0"/>
        <v>43983</v>
      </c>
      <c r="B13" s="66">
        <f>SUMIF(Sales[Sales Month],Forecast[[#This Row],[Sales Month]],Sales[Sales Amount])</f>
        <v>25190</v>
      </c>
      <c r="C13" s="32">
        <f t="shared" si="1"/>
        <v>18113.333333333332</v>
      </c>
      <c r="D13" s="32">
        <f t="shared" si="2"/>
        <v>20327.75</v>
      </c>
    </row>
    <row r="14" spans="1:4" x14ac:dyDescent="0.25">
      <c r="A14" s="65">
        <f t="shared" si="0"/>
        <v>44013</v>
      </c>
      <c r="B14" s="66">
        <f>SUMIF(Sales[Sales Month],Forecast[[#This Row],[Sales Month]],Sales[Sales Amount])</f>
        <v>28325</v>
      </c>
      <c r="C14" s="32">
        <f t="shared" si="1"/>
        <v>22740</v>
      </c>
      <c r="D14" s="32">
        <f t="shared" si="2"/>
        <v>23810.5</v>
      </c>
    </row>
    <row r="15" spans="1:4" x14ac:dyDescent="0.25">
      <c r="A15" s="65">
        <f t="shared" si="0"/>
        <v>44044</v>
      </c>
      <c r="B15" s="66">
        <f>SUMIF(Sales[Sales Month],Forecast[[#This Row],[Sales Month]],Sales[Sales Amount])</f>
        <v>32005</v>
      </c>
      <c r="C15" s="32">
        <f t="shared" si="1"/>
        <v>25773.333333333332</v>
      </c>
      <c r="D15" s="32">
        <f t="shared" si="2"/>
        <v>26549.75</v>
      </c>
    </row>
    <row r="16" spans="1:4" x14ac:dyDescent="0.25">
      <c r="A16" s="65">
        <f t="shared" si="0"/>
        <v>44075</v>
      </c>
      <c r="B16" s="66">
        <f>SUMIF(Sales[Sales Month],Forecast[[#This Row],[Sales Month]],Sales[Sales Amount])</f>
        <v>34890</v>
      </c>
      <c r="C16" s="32">
        <f t="shared" si="1"/>
        <v>28506.666666666668</v>
      </c>
      <c r="D16" s="32">
        <f t="shared" si="2"/>
        <v>29694.75</v>
      </c>
    </row>
    <row r="17" spans="1:4" x14ac:dyDescent="0.25">
      <c r="A17" s="65">
        <f t="shared" si="0"/>
        <v>44105</v>
      </c>
      <c r="B17" s="66">
        <f>SUMIF(Sales[Sales Month],Forecast[[#This Row],[Sales Month]],Sales[Sales Amount])</f>
        <v>40615</v>
      </c>
      <c r="C17" s="32">
        <f t="shared" si="1"/>
        <v>31740</v>
      </c>
      <c r="D17" s="32">
        <f t="shared" si="2"/>
        <v>32895.5</v>
      </c>
    </row>
    <row r="18" spans="1:4" x14ac:dyDescent="0.25">
      <c r="A18" s="65">
        <f t="shared" si="0"/>
        <v>44136</v>
      </c>
      <c r="B18" s="66">
        <f>SUMIF(Sales[Sales Month],Forecast[[#This Row],[Sales Month]],Sales[Sales Amount])</f>
        <v>46605</v>
      </c>
      <c r="C18" s="32">
        <f t="shared" si="1"/>
        <v>35836.666666666664</v>
      </c>
      <c r="D18" s="32">
        <f t="shared" si="2"/>
        <v>37319.75</v>
      </c>
    </row>
    <row r="19" spans="1:4" x14ac:dyDescent="0.25">
      <c r="A19" s="65">
        <f t="shared" si="0"/>
        <v>44166</v>
      </c>
      <c r="B19" s="66">
        <f>SUMIF(Sales[Sales Month],Forecast[[#This Row],[Sales Month]],Sales[Sales Amount])</f>
        <v>50195</v>
      </c>
      <c r="C19" s="32">
        <f t="shared" si="1"/>
        <v>40703.333333333336</v>
      </c>
      <c r="D19" s="32">
        <f t="shared" si="2"/>
        <v>42751.25</v>
      </c>
    </row>
    <row r="20" spans="1:4" x14ac:dyDescent="0.25">
      <c r="A20" s="65">
        <f t="shared" si="0"/>
        <v>44197</v>
      </c>
      <c r="B20" s="66">
        <f>SUMIF(Sales[Sales Month],Forecast[[#This Row],[Sales Month]],Sales[Sales Amount])</f>
        <v>51605</v>
      </c>
      <c r="C20" s="32">
        <f t="shared" si="1"/>
        <v>45805</v>
      </c>
      <c r="D20" s="32">
        <f t="shared" si="2"/>
        <v>47501.5</v>
      </c>
    </row>
    <row r="21" spans="1:4" x14ac:dyDescent="0.25">
      <c r="A21" s="65">
        <f t="shared" si="0"/>
        <v>44228</v>
      </c>
      <c r="B21" s="66">
        <f>SUMIF(Sales[Sales Month],Forecast[[#This Row],[Sales Month]],Sales[Sales Amount])</f>
        <v>54120</v>
      </c>
      <c r="C21" s="32">
        <f t="shared" si="1"/>
        <v>49468.333333333336</v>
      </c>
      <c r="D21" s="32">
        <f t="shared" si="2"/>
        <v>50361.5</v>
      </c>
    </row>
    <row r="22" spans="1:4" x14ac:dyDescent="0.25">
      <c r="A22" s="65">
        <f t="shared" si="0"/>
        <v>44256</v>
      </c>
      <c r="B22" s="66">
        <f>SUMIF(Sales[Sales Month],Forecast[[#This Row],[Sales Month]],Sales[Sales Amount])</f>
        <v>57040</v>
      </c>
      <c r="C22" s="32">
        <f t="shared" si="1"/>
        <v>51973.333333333336</v>
      </c>
      <c r="D22" s="32">
        <f t="shared" si="2"/>
        <v>52651</v>
      </c>
    </row>
    <row r="23" spans="1:4" x14ac:dyDescent="0.25">
      <c r="A23" s="65">
        <f t="shared" si="0"/>
        <v>44287</v>
      </c>
      <c r="B23" s="66">
        <f>SUMIF(Sales[Sales Month],Forecast[[#This Row],[Sales Month]],Sales[Sales Amount])</f>
        <v>63125</v>
      </c>
      <c r="C23" s="32">
        <f t="shared" si="1"/>
        <v>54255</v>
      </c>
      <c r="D23" s="32">
        <f t="shared" si="2"/>
        <v>55202.75</v>
      </c>
    </row>
    <row r="24" spans="1:4" x14ac:dyDescent="0.25">
      <c r="A24" s="65">
        <f t="shared" si="0"/>
        <v>44317</v>
      </c>
      <c r="B24" s="66">
        <f>SUMIF(Sales[Sales Month],Forecast[[#This Row],[Sales Month]],Sales[Sales Amount])</f>
        <v>68155</v>
      </c>
      <c r="C24" s="32">
        <f t="shared" si="1"/>
        <v>58095</v>
      </c>
      <c r="D24" s="32">
        <f t="shared" si="2"/>
        <v>59644.5</v>
      </c>
    </row>
    <row r="25" spans="1:4" x14ac:dyDescent="0.25">
      <c r="A25" s="65">
        <f t="shared" si="0"/>
        <v>44348</v>
      </c>
      <c r="B25" s="66">
        <f>SUMIF(Sales[Sales Month],Forecast[[#This Row],[Sales Month]],Sales[Sales Amount])</f>
        <v>80335</v>
      </c>
      <c r="C25" s="32">
        <f t="shared" si="1"/>
        <v>62773.333333333336</v>
      </c>
      <c r="D25" s="32">
        <f t="shared" si="2"/>
        <v>64727.25</v>
      </c>
    </row>
    <row r="26" spans="1:4" x14ac:dyDescent="0.25">
      <c r="A26" s="65">
        <v>44378</v>
      </c>
      <c r="B26" s="66">
        <f>SUMIF(Sales[Sales Month],Forecast[[#This Row],[Sales Month]],Sales[Sales Amount])</f>
        <v>0</v>
      </c>
      <c r="C26" s="32">
        <f t="shared" si="1"/>
        <v>70538.333333333328</v>
      </c>
      <c r="D26" s="32">
        <f t="shared" ref="D26" si="3">B23*15%+B24*35%+B25*50%</f>
        <v>73490.5</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2023-08-09T04:03:47Z</dcterms:modified>
</cp:coreProperties>
</file>