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showObjects="none"/>
  <mc:AlternateContent xmlns:mc="http://schemas.openxmlformats.org/markup-compatibility/2006">
    <mc:Choice Requires="x15">
      <x15ac:absPath xmlns:x15ac="http://schemas.microsoft.com/office/spreadsheetml/2010/11/ac" url="/Users/alazaro/Desktop/We Work/"/>
    </mc:Choice>
  </mc:AlternateContent>
  <xr:revisionPtr revIDLastSave="0" documentId="13_ncr:1_{82E9733A-6ECE-5346-B15D-AD6811B68150}" xr6:coauthVersionLast="45" xr6:coauthVersionMax="45" xr10:uidLastSave="{00000000-0000-0000-0000-000000000000}"/>
  <bookViews>
    <workbookView xWindow="800" yWindow="460" windowWidth="18800" windowHeight="16300" xr2:uid="{00000000-000D-0000-FFFF-FFFF00000000}"/>
  </bookViews>
  <sheets>
    <sheet name="DCF" sheetId="1" r:id="rId1"/>
    <sheet name="Important Findings_Assumptions" sheetId="7" state="hidden" r:id="rId2"/>
    <sheet name="NWC" sheetId="2" r:id="rId3"/>
    <sheet name="WACC" sheetId="5" r:id="rId4"/>
    <sheet name="A1" sheetId="4" r:id="rId5"/>
    <sheet name="A2" sheetId="3" r:id="rId6"/>
    <sheet name="Multiples" sheetId="6" r:id="rId7"/>
  </sheets>
  <externalReferences>
    <externalReference r:id="rId8"/>
  </externalReferences>
  <definedNames>
    <definedName name="_xlnm.Print_Area" localSheetId="0">DCF!$A$1:$O$53,DCF!$B$70:$O$102</definedName>
    <definedName name="_xlnm.Print_Area" localSheetId="2">NWC!$A$1:$M$35</definedName>
    <definedName name="Company_Name">'[1]STLD-DCF'!$F$8</definedName>
    <definedName name="Diluted_Shares">'[1]STLD-DCF'!$F$11</definedName>
    <definedName name="Enterprise_Value">'[1]STLD-DCF'!$F$32</definedName>
    <definedName name="Equity_Value">'[1]STLD-DCF'!$F$21</definedName>
    <definedName name="Hist_Year">'[1]STLD-DCF'!$F$17</definedName>
    <definedName name="Share_Price">'[1]STLD-DCF'!$F$10</definedName>
    <definedName name="Ticker">'[1]STLD-DCF'!$F$9</definedName>
  </definedNames>
  <calcPr calcId="191029" iterate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" i="1" l="1"/>
  <c r="E39" i="1"/>
  <c r="E13" i="5"/>
  <c r="D8" i="5"/>
  <c r="J22" i="1"/>
  <c r="G63" i="1"/>
  <c r="J28" i="1"/>
  <c r="J9" i="1"/>
  <c r="J12" i="1"/>
  <c r="G60" i="1"/>
  <c r="E63" i="1"/>
  <c r="C35" i="2" l="1"/>
  <c r="C34" i="2"/>
  <c r="E33" i="2"/>
  <c r="G33" i="2" s="1"/>
  <c r="D33" i="2"/>
  <c r="G29" i="2"/>
  <c r="D29" i="2"/>
  <c r="K26" i="5"/>
  <c r="G27" i="5"/>
  <c r="G16" i="1" l="1"/>
  <c r="D23" i="2" l="1"/>
  <c r="D26" i="2"/>
  <c r="G20" i="2"/>
  <c r="C29" i="2"/>
  <c r="I63" i="1"/>
  <c r="I22" i="1"/>
  <c r="G25" i="1"/>
  <c r="J10" i="5"/>
  <c r="L10" i="5" s="1"/>
  <c r="I9" i="5"/>
  <c r="J9" i="5" l="1"/>
  <c r="L9" i="5" s="1"/>
  <c r="K22" i="5"/>
  <c r="D15" i="5"/>
  <c r="N28" i="1" l="1"/>
  <c r="I21" i="1"/>
  <c r="I18" i="1"/>
  <c r="H19" i="1"/>
  <c r="E18" i="1"/>
  <c r="F9" i="4" l="1"/>
  <c r="F23" i="3" l="1"/>
  <c r="I31" i="2" s="1"/>
  <c r="G8" i="2"/>
  <c r="E8" i="2"/>
  <c r="E31" i="2" s="1"/>
  <c r="G31" i="2" s="1"/>
  <c r="E29" i="2"/>
  <c r="G9" i="2"/>
  <c r="E9" i="2"/>
  <c r="E30" i="2" s="1"/>
  <c r="G30" i="2" s="1"/>
  <c r="E35" i="2"/>
  <c r="G35" i="2" s="1"/>
  <c r="G23" i="3"/>
  <c r="J31" i="2" s="1"/>
  <c r="J7" i="1"/>
  <c r="J8" i="1" s="1"/>
  <c r="I23" i="3"/>
  <c r="L31" i="2" s="1"/>
  <c r="J23" i="3"/>
  <c r="M31" i="2" s="1"/>
  <c r="B36" i="1"/>
  <c r="J34" i="6"/>
  <c r="K50" i="6"/>
  <c r="K54" i="6" s="1"/>
  <c r="L50" i="6"/>
  <c r="L54" i="6" s="1"/>
  <c r="M50" i="6"/>
  <c r="M54" i="6" s="1"/>
  <c r="N50" i="6"/>
  <c r="N54" i="6" s="1"/>
  <c r="I54" i="6"/>
  <c r="D54" i="6"/>
  <c r="O34" i="6"/>
  <c r="O35" i="6"/>
  <c r="O50" i="6" s="1"/>
  <c r="O54" i="6" s="1"/>
  <c r="O36" i="6"/>
  <c r="O37" i="6"/>
  <c r="O49" i="6" s="1"/>
  <c r="O38" i="6"/>
  <c r="O39" i="6"/>
  <c r="O51" i="6"/>
  <c r="N52" i="6"/>
  <c r="N51" i="6"/>
  <c r="N49" i="6"/>
  <c r="N48" i="6"/>
  <c r="M52" i="6"/>
  <c r="M51" i="6"/>
  <c r="M49" i="6"/>
  <c r="M48" i="6"/>
  <c r="L48" i="6"/>
  <c r="L52" i="6"/>
  <c r="L51" i="6"/>
  <c r="L49" i="6"/>
  <c r="D52" i="6"/>
  <c r="I52" i="6"/>
  <c r="I51" i="6"/>
  <c r="I49" i="6"/>
  <c r="D51" i="6"/>
  <c r="I50" i="6"/>
  <c r="D50" i="6"/>
  <c r="I48" i="6"/>
  <c r="D48" i="6"/>
  <c r="D49" i="6"/>
  <c r="I28" i="6"/>
  <c r="B40" i="6"/>
  <c r="B41" i="6"/>
  <c r="B42" i="6"/>
  <c r="B43" i="6"/>
  <c r="B44" i="6"/>
  <c r="B45" i="6"/>
  <c r="B46" i="6"/>
  <c r="D22" i="6"/>
  <c r="I22" i="6"/>
  <c r="J22" i="6"/>
  <c r="K22" i="6"/>
  <c r="L22" i="6"/>
  <c r="M22" i="6"/>
  <c r="N22" i="6"/>
  <c r="O22" i="6"/>
  <c r="P8" i="6"/>
  <c r="P23" i="6" s="1"/>
  <c r="P9" i="6"/>
  <c r="P10" i="6"/>
  <c r="P11" i="6"/>
  <c r="P12" i="6"/>
  <c r="P13" i="6"/>
  <c r="Q8" i="6"/>
  <c r="Q22" i="6" s="1"/>
  <c r="Q9" i="6"/>
  <c r="Q10" i="6"/>
  <c r="Q11" i="6"/>
  <c r="Q12" i="6"/>
  <c r="Q13" i="6"/>
  <c r="R8" i="6"/>
  <c r="R9" i="6"/>
  <c r="R10" i="6"/>
  <c r="R11" i="6"/>
  <c r="R12" i="6"/>
  <c r="R13" i="6"/>
  <c r="R22" i="6"/>
  <c r="S8" i="6"/>
  <c r="S9" i="6"/>
  <c r="S10" i="6"/>
  <c r="S11" i="6"/>
  <c r="S22" i="6" s="1"/>
  <c r="S12" i="6"/>
  <c r="S13" i="6"/>
  <c r="T8" i="6"/>
  <c r="T23" i="6" s="1"/>
  <c r="T9" i="6"/>
  <c r="T10" i="6"/>
  <c r="T11" i="6"/>
  <c r="T12" i="6"/>
  <c r="T13" i="6"/>
  <c r="D23" i="6"/>
  <c r="I23" i="6"/>
  <c r="J23" i="6"/>
  <c r="K23" i="6"/>
  <c r="L23" i="6"/>
  <c r="M23" i="6"/>
  <c r="N23" i="6"/>
  <c r="O23" i="6"/>
  <c r="Q23" i="6"/>
  <c r="R23" i="6"/>
  <c r="D24" i="6"/>
  <c r="I24" i="6"/>
  <c r="J24" i="6"/>
  <c r="K24" i="6"/>
  <c r="L24" i="6"/>
  <c r="M24" i="6"/>
  <c r="N24" i="6"/>
  <c r="O24" i="6"/>
  <c r="P24" i="6"/>
  <c r="Q24" i="6"/>
  <c r="R24" i="6"/>
  <c r="T24" i="6"/>
  <c r="D25" i="6"/>
  <c r="I25" i="6"/>
  <c r="J25" i="6"/>
  <c r="K25" i="6"/>
  <c r="L25" i="6"/>
  <c r="M25" i="6"/>
  <c r="N25" i="6"/>
  <c r="O25" i="6"/>
  <c r="P25" i="6"/>
  <c r="Q25" i="6"/>
  <c r="R25" i="6"/>
  <c r="S25" i="6"/>
  <c r="T25" i="6"/>
  <c r="D26" i="6"/>
  <c r="I26" i="6"/>
  <c r="J26" i="6"/>
  <c r="K26" i="6"/>
  <c r="L26" i="6"/>
  <c r="M26" i="6"/>
  <c r="N26" i="6"/>
  <c r="O26" i="6"/>
  <c r="P26" i="6"/>
  <c r="Q26" i="6"/>
  <c r="R26" i="6"/>
  <c r="S26" i="6"/>
  <c r="T26" i="6"/>
  <c r="B28" i="6"/>
  <c r="C28" i="6"/>
  <c r="D28" i="6"/>
  <c r="E28" i="6"/>
  <c r="F28" i="6"/>
  <c r="G28" i="6"/>
  <c r="H28" i="6"/>
  <c r="J28" i="6"/>
  <c r="K28" i="6"/>
  <c r="L28" i="6"/>
  <c r="S28" i="6" s="1"/>
  <c r="M28" i="6"/>
  <c r="Q28" i="6" s="1"/>
  <c r="P28" i="6"/>
  <c r="R28" i="6"/>
  <c r="J7" i="6"/>
  <c r="K7" i="6" s="1"/>
  <c r="B34" i="6"/>
  <c r="K52" i="6"/>
  <c r="J35" i="6"/>
  <c r="J50" i="6" s="1"/>
  <c r="J54" i="6" s="1"/>
  <c r="J36" i="6"/>
  <c r="J37" i="6"/>
  <c r="J38" i="6"/>
  <c r="J39" i="6"/>
  <c r="K51" i="6"/>
  <c r="K49" i="6"/>
  <c r="K48" i="6"/>
  <c r="B39" i="6"/>
  <c r="B38" i="6"/>
  <c r="B37" i="6"/>
  <c r="B36" i="6"/>
  <c r="B35" i="6"/>
  <c r="R7" i="6"/>
  <c r="K28" i="1"/>
  <c r="L28" i="1"/>
  <c r="H23" i="3"/>
  <c r="K31" i="2" s="1"/>
  <c r="M28" i="1"/>
  <c r="B70" i="1"/>
  <c r="I10" i="1"/>
  <c r="O6" i="3"/>
  <c r="N6" i="3"/>
  <c r="M6" i="3"/>
  <c r="L6" i="3"/>
  <c r="K6" i="3"/>
  <c r="J6" i="3"/>
  <c r="I6" i="3"/>
  <c r="H6" i="3"/>
  <c r="G6" i="3"/>
  <c r="F6" i="3"/>
  <c r="L33" i="1"/>
  <c r="G9" i="4"/>
  <c r="H9" i="4"/>
  <c r="I9" i="4"/>
  <c r="J9" i="4"/>
  <c r="J16" i="4"/>
  <c r="J23" i="4"/>
  <c r="F16" i="4"/>
  <c r="F23" i="4"/>
  <c r="F30" i="4"/>
  <c r="J64" i="1"/>
  <c r="K64" i="1" s="1"/>
  <c r="L64" i="1" s="1"/>
  <c r="M64" i="1" s="1"/>
  <c r="N64" i="1" s="1"/>
  <c r="F38" i="4"/>
  <c r="F9" i="3"/>
  <c r="F16" i="3"/>
  <c r="F31" i="3"/>
  <c r="F38" i="3"/>
  <c r="F45" i="3"/>
  <c r="G16" i="4"/>
  <c r="G23" i="4"/>
  <c r="G30" i="4"/>
  <c r="G38" i="4"/>
  <c r="G9" i="3"/>
  <c r="G16" i="3"/>
  <c r="G31" i="3"/>
  <c r="G38" i="3"/>
  <c r="G45" i="3"/>
  <c r="H16" i="4"/>
  <c r="H23" i="4"/>
  <c r="H30" i="4"/>
  <c r="H38" i="4"/>
  <c r="H9" i="3"/>
  <c r="H16" i="3"/>
  <c r="H31" i="3"/>
  <c r="H38" i="3"/>
  <c r="H45" i="3"/>
  <c r="I16" i="4"/>
  <c r="I23" i="4"/>
  <c r="I30" i="4"/>
  <c r="I38" i="4"/>
  <c r="I9" i="3"/>
  <c r="I16" i="3"/>
  <c r="I31" i="3"/>
  <c r="I38" i="3"/>
  <c r="I45" i="3"/>
  <c r="J30" i="4"/>
  <c r="J38" i="4"/>
  <c r="J9" i="3"/>
  <c r="J16" i="3"/>
  <c r="J31" i="3"/>
  <c r="J38" i="3"/>
  <c r="J45" i="3"/>
  <c r="F110" i="1"/>
  <c r="F111" i="1"/>
  <c r="F112" i="1"/>
  <c r="F113" i="1"/>
  <c r="I59" i="1"/>
  <c r="G59" i="1"/>
  <c r="F59" i="1"/>
  <c r="E21" i="2"/>
  <c r="R3" i="1"/>
  <c r="D9" i="2"/>
  <c r="C9" i="2"/>
  <c r="C30" i="2" s="1"/>
  <c r="D8" i="2"/>
  <c r="C8" i="2"/>
  <c r="C31" i="2" s="1"/>
  <c r="M6" i="2"/>
  <c r="L6" i="2"/>
  <c r="K6" i="2"/>
  <c r="J6" i="2"/>
  <c r="I6" i="2"/>
  <c r="G6" i="2"/>
  <c r="E6" i="2"/>
  <c r="D6" i="2"/>
  <c r="C6" i="2"/>
  <c r="A1" i="2"/>
  <c r="A1" i="5"/>
  <c r="K39" i="4"/>
  <c r="L39" i="4" s="1"/>
  <c r="M39" i="4" s="1"/>
  <c r="N39" i="4" s="1"/>
  <c r="K31" i="4"/>
  <c r="L31" i="4" s="1"/>
  <c r="L30" i="4" s="1"/>
  <c r="K24" i="4"/>
  <c r="K17" i="4"/>
  <c r="L17" i="4" s="1"/>
  <c r="L16" i="4" s="1"/>
  <c r="M17" i="4"/>
  <c r="K10" i="4"/>
  <c r="K46" i="3"/>
  <c r="L46" i="3"/>
  <c r="L45" i="3"/>
  <c r="K39" i="3"/>
  <c r="K32" i="3"/>
  <c r="L32" i="3"/>
  <c r="L31" i="3"/>
  <c r="M32" i="3"/>
  <c r="K24" i="3"/>
  <c r="K17" i="3"/>
  <c r="L17" i="3"/>
  <c r="K10" i="3"/>
  <c r="K50" i="3"/>
  <c r="L50" i="3"/>
  <c r="M50" i="3" s="1"/>
  <c r="N50" i="3" s="1"/>
  <c r="O50" i="3" s="1"/>
  <c r="K49" i="3"/>
  <c r="L49" i="3" s="1"/>
  <c r="M49" i="3" s="1"/>
  <c r="N49" i="3" s="1"/>
  <c r="O49" i="3" s="1"/>
  <c r="K48" i="3"/>
  <c r="L48" i="3" s="1"/>
  <c r="M48" i="3" s="1"/>
  <c r="N48" i="3"/>
  <c r="O48" i="3" s="1"/>
  <c r="K47" i="3"/>
  <c r="L47" i="3" s="1"/>
  <c r="M47" i="3" s="1"/>
  <c r="N47" i="3" s="1"/>
  <c r="O47" i="3" s="1"/>
  <c r="K43" i="3"/>
  <c r="L43" i="3"/>
  <c r="M43" i="3"/>
  <c r="N43" i="3" s="1"/>
  <c r="O43" i="3" s="1"/>
  <c r="K42" i="3"/>
  <c r="L42" i="3"/>
  <c r="M42" i="3" s="1"/>
  <c r="N42" i="3" s="1"/>
  <c r="O42" i="3"/>
  <c r="K41" i="3"/>
  <c r="L41" i="3" s="1"/>
  <c r="M41" i="3" s="1"/>
  <c r="N41" i="3" s="1"/>
  <c r="O41" i="3" s="1"/>
  <c r="K40" i="3"/>
  <c r="L40" i="3" s="1"/>
  <c r="M40" i="3"/>
  <c r="N40" i="3" s="1"/>
  <c r="O40" i="3" s="1"/>
  <c r="K36" i="3"/>
  <c r="L36" i="3"/>
  <c r="M36" i="3" s="1"/>
  <c r="N36" i="3" s="1"/>
  <c r="O36" i="3" s="1"/>
  <c r="K35" i="3"/>
  <c r="L35" i="3"/>
  <c r="M35" i="3" s="1"/>
  <c r="N35" i="3" s="1"/>
  <c r="O35" i="3"/>
  <c r="K34" i="3"/>
  <c r="L34" i="3" s="1"/>
  <c r="M34" i="3" s="1"/>
  <c r="N34" i="3" s="1"/>
  <c r="O34" i="3" s="1"/>
  <c r="K33" i="3"/>
  <c r="L33" i="3" s="1"/>
  <c r="M33" i="3" s="1"/>
  <c r="N33" i="3" s="1"/>
  <c r="O33" i="3" s="1"/>
  <c r="K28" i="3"/>
  <c r="L28" i="3"/>
  <c r="M28" i="3"/>
  <c r="N28" i="3" s="1"/>
  <c r="O28" i="3" s="1"/>
  <c r="K27" i="3"/>
  <c r="L27" i="3"/>
  <c r="M27" i="3" s="1"/>
  <c r="N27" i="3" s="1"/>
  <c r="O27" i="3"/>
  <c r="K26" i="3"/>
  <c r="L26" i="3" s="1"/>
  <c r="M26" i="3" s="1"/>
  <c r="N26" i="3" s="1"/>
  <c r="O26" i="3" s="1"/>
  <c r="K25" i="3"/>
  <c r="L25" i="3" s="1"/>
  <c r="M25" i="3"/>
  <c r="N25" i="3" s="1"/>
  <c r="O25" i="3" s="1"/>
  <c r="K21" i="3"/>
  <c r="L21" i="3"/>
  <c r="M21" i="3" s="1"/>
  <c r="N21" i="3" s="1"/>
  <c r="O21" i="3" s="1"/>
  <c r="K20" i="3"/>
  <c r="L20" i="3"/>
  <c r="M20" i="3" s="1"/>
  <c r="N20" i="3" s="1"/>
  <c r="O20" i="3"/>
  <c r="K19" i="3"/>
  <c r="L19" i="3" s="1"/>
  <c r="M19" i="3" s="1"/>
  <c r="N19" i="3" s="1"/>
  <c r="O19" i="3" s="1"/>
  <c r="K18" i="3"/>
  <c r="L18" i="3" s="1"/>
  <c r="M18" i="3" s="1"/>
  <c r="N18" i="3" s="1"/>
  <c r="O18" i="3" s="1"/>
  <c r="K14" i="3"/>
  <c r="L14" i="3"/>
  <c r="M14" i="3"/>
  <c r="N14" i="3" s="1"/>
  <c r="O14" i="3" s="1"/>
  <c r="K13" i="3"/>
  <c r="L13" i="3"/>
  <c r="M13" i="3" s="1"/>
  <c r="N13" i="3" s="1"/>
  <c r="O13" i="3"/>
  <c r="K12" i="3"/>
  <c r="L12" i="3" s="1"/>
  <c r="M12" i="3" s="1"/>
  <c r="N12" i="3" s="1"/>
  <c r="O12" i="3" s="1"/>
  <c r="K11" i="3"/>
  <c r="L11" i="3" s="1"/>
  <c r="M11" i="3"/>
  <c r="N11" i="3" s="1"/>
  <c r="O11" i="3" s="1"/>
  <c r="K43" i="4"/>
  <c r="L43" i="4"/>
  <c r="M43" i="4" s="1"/>
  <c r="N43" i="4" s="1"/>
  <c r="O43" i="4" s="1"/>
  <c r="K42" i="4"/>
  <c r="L42" i="4"/>
  <c r="M42" i="4" s="1"/>
  <c r="N42" i="4" s="1"/>
  <c r="O42" i="4"/>
  <c r="K41" i="4"/>
  <c r="L41" i="4" s="1"/>
  <c r="M41" i="4" s="1"/>
  <c r="N41" i="4" s="1"/>
  <c r="O41" i="4" s="1"/>
  <c r="K40" i="4"/>
  <c r="L40" i="4" s="1"/>
  <c r="M40" i="4" s="1"/>
  <c r="N40" i="4" s="1"/>
  <c r="O40" i="4" s="1"/>
  <c r="K35" i="4"/>
  <c r="L35" i="4"/>
  <c r="M35" i="4"/>
  <c r="N35" i="4" s="1"/>
  <c r="O35" i="4" s="1"/>
  <c r="K34" i="4"/>
  <c r="L34" i="4"/>
  <c r="M34" i="4" s="1"/>
  <c r="N34" i="4" s="1"/>
  <c r="O34" i="4"/>
  <c r="K33" i="4"/>
  <c r="L33" i="4" s="1"/>
  <c r="M33" i="4" s="1"/>
  <c r="N33" i="4" s="1"/>
  <c r="O33" i="4" s="1"/>
  <c r="K32" i="4"/>
  <c r="L32" i="4" s="1"/>
  <c r="M32" i="4"/>
  <c r="N32" i="4" s="1"/>
  <c r="O32" i="4" s="1"/>
  <c r="K28" i="4"/>
  <c r="L28" i="4"/>
  <c r="M28" i="4" s="1"/>
  <c r="N28" i="4" s="1"/>
  <c r="O28" i="4" s="1"/>
  <c r="K27" i="4"/>
  <c r="L27" i="4"/>
  <c r="M27" i="4" s="1"/>
  <c r="N27" i="4" s="1"/>
  <c r="O27" i="4"/>
  <c r="K26" i="4"/>
  <c r="L26" i="4" s="1"/>
  <c r="M26" i="4" s="1"/>
  <c r="N26" i="4" s="1"/>
  <c r="O26" i="4" s="1"/>
  <c r="K25" i="4"/>
  <c r="L25" i="4" s="1"/>
  <c r="M25" i="4" s="1"/>
  <c r="N25" i="4" s="1"/>
  <c r="O25" i="4" s="1"/>
  <c r="K21" i="4"/>
  <c r="L21" i="4"/>
  <c r="M21" i="4"/>
  <c r="N21" i="4" s="1"/>
  <c r="O21" i="4" s="1"/>
  <c r="K20" i="4"/>
  <c r="L20" i="4"/>
  <c r="M20" i="4" s="1"/>
  <c r="N20" i="4" s="1"/>
  <c r="O20" i="4" s="1"/>
  <c r="K19" i="4"/>
  <c r="L19" i="4" s="1"/>
  <c r="M19" i="4" s="1"/>
  <c r="N19" i="4" s="1"/>
  <c r="O19" i="4" s="1"/>
  <c r="K18" i="4"/>
  <c r="L18" i="4"/>
  <c r="M18" i="4"/>
  <c r="N18" i="4"/>
  <c r="O18" i="4" s="1"/>
  <c r="K14" i="4"/>
  <c r="L14" i="4"/>
  <c r="M14" i="4" s="1"/>
  <c r="N14" i="4" s="1"/>
  <c r="O14" i="4" s="1"/>
  <c r="K13" i="4"/>
  <c r="L13" i="4" s="1"/>
  <c r="M13" i="4" s="1"/>
  <c r="N13" i="4" s="1"/>
  <c r="O13" i="4" s="1"/>
  <c r="K12" i="4"/>
  <c r="L12" i="4" s="1"/>
  <c r="M12" i="4" s="1"/>
  <c r="N12" i="4"/>
  <c r="O12" i="4" s="1"/>
  <c r="K11" i="4"/>
  <c r="L11" i="4"/>
  <c r="M11" i="4"/>
  <c r="N11" i="4" s="1"/>
  <c r="O11" i="4" s="1"/>
  <c r="G30" i="5"/>
  <c r="G31" i="5"/>
  <c r="G28" i="5"/>
  <c r="L26" i="5"/>
  <c r="I26" i="5"/>
  <c r="H26" i="5" s="1"/>
  <c r="D9" i="5"/>
  <c r="J11" i="5"/>
  <c r="L11" i="5" s="1"/>
  <c r="J12" i="5"/>
  <c r="L12" i="5" s="1"/>
  <c r="J13" i="5"/>
  <c r="L13" i="5" s="1"/>
  <c r="G16" i="5"/>
  <c r="G15" i="5"/>
  <c r="D35" i="2"/>
  <c r="D34" i="2"/>
  <c r="C33" i="2"/>
  <c r="D31" i="2"/>
  <c r="D30" i="2"/>
  <c r="E15" i="2"/>
  <c r="E23" i="2" s="1"/>
  <c r="D15" i="2"/>
  <c r="D21" i="2"/>
  <c r="D24" i="2" s="1"/>
  <c r="C15" i="2"/>
  <c r="C21" i="2"/>
  <c r="C124" i="1"/>
  <c r="J101" i="1"/>
  <c r="J102" i="1" s="1"/>
  <c r="C101" i="1"/>
  <c r="C102" i="1" s="1"/>
  <c r="J99" i="1"/>
  <c r="J98" i="1" s="1"/>
  <c r="C99" i="1"/>
  <c r="C98" i="1" s="1"/>
  <c r="N97" i="1"/>
  <c r="O97" i="1" s="1"/>
  <c r="L97" i="1"/>
  <c r="K97" i="1" s="1"/>
  <c r="G97" i="1"/>
  <c r="H97" i="1"/>
  <c r="E97" i="1"/>
  <c r="D97" i="1" s="1"/>
  <c r="J91" i="1"/>
  <c r="J92" i="1" s="1"/>
  <c r="C91" i="1"/>
  <c r="C92" i="1" s="1"/>
  <c r="J89" i="1"/>
  <c r="J88" i="1" s="1"/>
  <c r="C89" i="1"/>
  <c r="C88" i="1" s="1"/>
  <c r="N87" i="1"/>
  <c r="O87" i="1" s="1"/>
  <c r="L87" i="1"/>
  <c r="K87" i="1" s="1"/>
  <c r="G87" i="1"/>
  <c r="H87" i="1"/>
  <c r="E87" i="1"/>
  <c r="D87" i="1" s="1"/>
  <c r="J81" i="1"/>
  <c r="J82" i="1" s="1"/>
  <c r="C81" i="1"/>
  <c r="C82" i="1" s="1"/>
  <c r="J79" i="1"/>
  <c r="J78" i="1" s="1"/>
  <c r="C79" i="1"/>
  <c r="C78" i="1" s="1"/>
  <c r="N77" i="1"/>
  <c r="O77" i="1"/>
  <c r="L77" i="1"/>
  <c r="K77" i="1" s="1"/>
  <c r="G77" i="1"/>
  <c r="H77" i="1" s="1"/>
  <c r="E77" i="1"/>
  <c r="D77" i="1" s="1"/>
  <c r="A70" i="1"/>
  <c r="F63" i="1"/>
  <c r="G62" i="1"/>
  <c r="I62" i="1" s="1"/>
  <c r="F62" i="1"/>
  <c r="E62" i="1"/>
  <c r="G61" i="1"/>
  <c r="F61" i="1"/>
  <c r="E61" i="1"/>
  <c r="G10" i="1"/>
  <c r="F10" i="1"/>
  <c r="F60" i="1"/>
  <c r="E10" i="1"/>
  <c r="E13" i="1" s="1"/>
  <c r="E14" i="1" s="1"/>
  <c r="J52" i="1"/>
  <c r="J53" i="1" s="1"/>
  <c r="C52" i="1"/>
  <c r="C53" i="1" s="1"/>
  <c r="J50" i="1"/>
  <c r="J49" i="1" s="1"/>
  <c r="C50" i="1"/>
  <c r="C49" i="1" s="1"/>
  <c r="N48" i="1"/>
  <c r="O48" i="1" s="1"/>
  <c r="L48" i="1"/>
  <c r="K48" i="1" s="1"/>
  <c r="G48" i="1"/>
  <c r="H48" i="1" s="1"/>
  <c r="E48" i="1"/>
  <c r="D48" i="1" s="1"/>
  <c r="L40" i="1"/>
  <c r="L35" i="1"/>
  <c r="O34" i="1"/>
  <c r="G21" i="1"/>
  <c r="F21" i="1"/>
  <c r="E21" i="1"/>
  <c r="F13" i="1"/>
  <c r="F16" i="1" s="1"/>
  <c r="F11" i="1"/>
  <c r="I8" i="1"/>
  <c r="G8" i="1"/>
  <c r="F8" i="1"/>
  <c r="H7" i="1"/>
  <c r="L24" i="3"/>
  <c r="K23" i="3"/>
  <c r="L10" i="4"/>
  <c r="L9" i="4" s="1"/>
  <c r="K9" i="4"/>
  <c r="M46" i="3"/>
  <c r="M31" i="4"/>
  <c r="M30" i="4" s="1"/>
  <c r="L10" i="3"/>
  <c r="K9" i="3"/>
  <c r="N32" i="3"/>
  <c r="O32" i="3" s="1"/>
  <c r="O31" i="3" s="1"/>
  <c r="M31" i="3"/>
  <c r="L39" i="3"/>
  <c r="K38" i="3"/>
  <c r="N17" i="4"/>
  <c r="O17" i="4" s="1"/>
  <c r="M16" i="4"/>
  <c r="L24" i="4"/>
  <c r="K23" i="4"/>
  <c r="K16" i="3"/>
  <c r="K31" i="3"/>
  <c r="K45" i="3"/>
  <c r="K16" i="4"/>
  <c r="K30" i="4"/>
  <c r="O16" i="4"/>
  <c r="N31" i="3"/>
  <c r="L38" i="4"/>
  <c r="M24" i="3"/>
  <c r="L23" i="3"/>
  <c r="N46" i="3"/>
  <c r="N45" i="3" s="1"/>
  <c r="M45" i="3"/>
  <c r="M24" i="4"/>
  <c r="L23" i="4"/>
  <c r="M39" i="3"/>
  <c r="N39" i="3" s="1"/>
  <c r="O39" i="3" s="1"/>
  <c r="O38" i="3" s="1"/>
  <c r="L38" i="3"/>
  <c r="M10" i="3"/>
  <c r="L9" i="3"/>
  <c r="M10" i="4"/>
  <c r="N10" i="3"/>
  <c r="O10" i="3" s="1"/>
  <c r="O9" i="3" s="1"/>
  <c r="M9" i="3"/>
  <c r="M38" i="3"/>
  <c r="N24" i="3"/>
  <c r="M23" i="3"/>
  <c r="N24" i="4"/>
  <c r="M23" i="4"/>
  <c r="M38" i="4"/>
  <c r="N38" i="3"/>
  <c r="N9" i="3"/>
  <c r="N23" i="4"/>
  <c r="O24" i="4"/>
  <c r="O23" i="4" s="1"/>
  <c r="I13" i="1"/>
  <c r="I14" i="1" s="1"/>
  <c r="C23" i="2" l="1"/>
  <c r="C24" i="2" s="1"/>
  <c r="L15" i="5"/>
  <c r="I22" i="5" s="1"/>
  <c r="J16" i="5"/>
  <c r="J22" i="5"/>
  <c r="G18" i="2"/>
  <c r="G13" i="2"/>
  <c r="G14" i="2"/>
  <c r="I60" i="1"/>
  <c r="I11" i="1"/>
  <c r="G12" i="2"/>
  <c r="G15" i="2" s="1"/>
  <c r="I8" i="2"/>
  <c r="I19" i="2" s="1"/>
  <c r="J15" i="1"/>
  <c r="J21" i="1" s="1"/>
  <c r="E60" i="1"/>
  <c r="E11" i="1"/>
  <c r="E16" i="1"/>
  <c r="E19" i="1" s="1"/>
  <c r="E34" i="2"/>
  <c r="G34" i="2" s="1"/>
  <c r="G19" i="2" s="1"/>
  <c r="F14" i="1"/>
  <c r="I16" i="1"/>
  <c r="I17" i="1" s="1"/>
  <c r="E24" i="2"/>
  <c r="E26" i="2"/>
  <c r="N10" i="4"/>
  <c r="M9" i="4"/>
  <c r="N16" i="4"/>
  <c r="F17" i="1"/>
  <c r="F18" i="1"/>
  <c r="F19" i="1" s="1"/>
  <c r="H10" i="1"/>
  <c r="G13" i="1"/>
  <c r="L16" i="3"/>
  <c r="M17" i="3"/>
  <c r="N38" i="4"/>
  <c r="O39" i="4"/>
  <c r="O38" i="4" s="1"/>
  <c r="N23" i="3"/>
  <c r="O24" i="3"/>
  <c r="O23" i="3" s="1"/>
  <c r="L16" i="5"/>
  <c r="O46" i="3"/>
  <c r="O45" i="3" s="1"/>
  <c r="N31" i="4"/>
  <c r="G11" i="1"/>
  <c r="J15" i="5"/>
  <c r="K38" i="4"/>
  <c r="O7" i="6"/>
  <c r="T7" i="6"/>
  <c r="M7" i="6"/>
  <c r="L7" i="6"/>
  <c r="J48" i="6"/>
  <c r="J51" i="6"/>
  <c r="T28" i="6"/>
  <c r="S23" i="6"/>
  <c r="T22" i="6"/>
  <c r="P22" i="6"/>
  <c r="S7" i="6"/>
  <c r="O48" i="6"/>
  <c r="O52" i="6"/>
  <c r="N7" i="6"/>
  <c r="J49" i="6"/>
  <c r="J52" i="6"/>
  <c r="I9" i="2"/>
  <c r="S24" i="6"/>
  <c r="K7" i="1"/>
  <c r="I20" i="2" l="1"/>
  <c r="I12" i="2"/>
  <c r="L22" i="5"/>
  <c r="D21" i="5" s="1"/>
  <c r="D23" i="5" s="1"/>
  <c r="D26" i="5" s="1"/>
  <c r="G26" i="5" s="1"/>
  <c r="I14" i="2"/>
  <c r="G21" i="2"/>
  <c r="G23" i="2" s="1"/>
  <c r="G24" i="2" s="1"/>
  <c r="I19" i="1"/>
  <c r="E17" i="1"/>
  <c r="N9" i="4"/>
  <c r="O10" i="4"/>
  <c r="O9" i="4" s="1"/>
  <c r="M16" i="3"/>
  <c r="N17" i="3"/>
  <c r="H13" i="1"/>
  <c r="G14" i="1"/>
  <c r="I18" i="2"/>
  <c r="I13" i="2"/>
  <c r="J10" i="1"/>
  <c r="K22" i="1"/>
  <c r="J8" i="2"/>
  <c r="L7" i="1"/>
  <c r="K15" i="1"/>
  <c r="K21" i="1" s="1"/>
  <c r="Q21" i="1"/>
  <c r="K9" i="1"/>
  <c r="J9" i="2" s="1"/>
  <c r="K12" i="1"/>
  <c r="K8" i="1"/>
  <c r="O31" i="4"/>
  <c r="O30" i="4" s="1"/>
  <c r="N30" i="4"/>
  <c r="I21" i="2" l="1"/>
  <c r="I23" i="2" s="1"/>
  <c r="I24" i="2" s="1"/>
  <c r="J65" i="1" s="1"/>
  <c r="I15" i="2"/>
  <c r="G26" i="2"/>
  <c r="J13" i="2"/>
  <c r="J18" i="2"/>
  <c r="J19" i="2"/>
  <c r="J14" i="2"/>
  <c r="J20" i="2"/>
  <c r="J12" i="2"/>
  <c r="N16" i="3"/>
  <c r="O17" i="3"/>
  <c r="O16" i="3" s="1"/>
  <c r="H16" i="1"/>
  <c r="G18" i="1"/>
  <c r="G19" i="1" s="1"/>
  <c r="G17" i="1"/>
  <c r="K10" i="1"/>
  <c r="J13" i="1"/>
  <c r="J11" i="1"/>
  <c r="L15" i="1"/>
  <c r="L21" i="1" s="1"/>
  <c r="L9" i="1"/>
  <c r="K9" i="2" s="1"/>
  <c r="K8" i="2"/>
  <c r="M7" i="1"/>
  <c r="L22" i="1"/>
  <c r="L12" i="1"/>
  <c r="L8" i="1"/>
  <c r="I26" i="2" l="1"/>
  <c r="J23" i="1" s="1"/>
  <c r="M15" i="1"/>
  <c r="M21" i="1" s="1"/>
  <c r="N7" i="1"/>
  <c r="L8" i="2"/>
  <c r="M12" i="1"/>
  <c r="M9" i="1"/>
  <c r="L9" i="2" s="1"/>
  <c r="M22" i="1"/>
  <c r="M8" i="1"/>
  <c r="K13" i="2"/>
  <c r="K18" i="2"/>
  <c r="K13" i="1"/>
  <c r="Q19" i="1" s="1"/>
  <c r="K11" i="1"/>
  <c r="L10" i="1"/>
  <c r="K12" i="2"/>
  <c r="K19" i="2"/>
  <c r="K14" i="2"/>
  <c r="K20" i="2"/>
  <c r="R46" i="1"/>
  <c r="J16" i="1"/>
  <c r="Q43" i="1"/>
  <c r="J14" i="1"/>
  <c r="J15" i="2"/>
  <c r="J21" i="2"/>
  <c r="M10" i="1" l="1"/>
  <c r="M13" i="1" s="1"/>
  <c r="L19" i="2"/>
  <c r="L14" i="2"/>
  <c r="L20" i="2"/>
  <c r="L12" i="2"/>
  <c r="K15" i="2"/>
  <c r="K21" i="2"/>
  <c r="L18" i="2"/>
  <c r="L13" i="2"/>
  <c r="M8" i="2"/>
  <c r="N15" i="1"/>
  <c r="N21" i="1" s="1"/>
  <c r="N9" i="1"/>
  <c r="M9" i="2" s="1"/>
  <c r="N22" i="1"/>
  <c r="N12" i="1"/>
  <c r="N8" i="1"/>
  <c r="O7" i="1"/>
  <c r="J18" i="1"/>
  <c r="J19" i="1" s="1"/>
  <c r="J29" i="1" s="1"/>
  <c r="J17" i="1"/>
  <c r="K16" i="1"/>
  <c r="K14" i="1"/>
  <c r="J23" i="2"/>
  <c r="L13" i="1"/>
  <c r="L11" i="1"/>
  <c r="M11" i="1" l="1"/>
  <c r="L21" i="2"/>
  <c r="L15" i="2"/>
  <c r="J24" i="2"/>
  <c r="K65" i="1" s="1"/>
  <c r="J26" i="2"/>
  <c r="K23" i="1" s="1"/>
  <c r="K18" i="1"/>
  <c r="K19" i="1" s="1"/>
  <c r="Q25" i="1"/>
  <c r="K17" i="1"/>
  <c r="M19" i="2"/>
  <c r="M14" i="2"/>
  <c r="M20" i="2"/>
  <c r="M12" i="2"/>
  <c r="K23" i="2"/>
  <c r="M13" i="2"/>
  <c r="M18" i="2"/>
  <c r="M16" i="1"/>
  <c r="M14" i="1"/>
  <c r="L16" i="1"/>
  <c r="L14" i="1"/>
  <c r="N10" i="1"/>
  <c r="L23" i="2" l="1"/>
  <c r="L26" i="2" s="1"/>
  <c r="M23" i="1" s="1"/>
  <c r="K25" i="1"/>
  <c r="K29" i="1" s="1"/>
  <c r="M21" i="2"/>
  <c r="L18" i="1"/>
  <c r="L19" i="1" s="1"/>
  <c r="L17" i="1"/>
  <c r="K24" i="2"/>
  <c r="L65" i="1" s="1"/>
  <c r="N13" i="1"/>
  <c r="O10" i="1"/>
  <c r="N11" i="1"/>
  <c r="M18" i="1"/>
  <c r="M19" i="1" s="1"/>
  <c r="M17" i="1"/>
  <c r="M15" i="2"/>
  <c r="K26" i="2"/>
  <c r="L23" i="1" s="1"/>
  <c r="M23" i="2" l="1"/>
  <c r="M24" i="2" s="1"/>
  <c r="N65" i="1" s="1"/>
  <c r="L24" i="2"/>
  <c r="M65" i="1" s="1"/>
  <c r="M25" i="1"/>
  <c r="M29" i="1" s="1"/>
  <c r="N16" i="1"/>
  <c r="O13" i="1"/>
  <c r="N14" i="1"/>
  <c r="L25" i="1"/>
  <c r="L29" i="1" s="1"/>
  <c r="M26" i="2" l="1"/>
  <c r="N23" i="1" s="1"/>
  <c r="N18" i="1"/>
  <c r="N19" i="1" s="1"/>
  <c r="N25" i="1" s="1"/>
  <c r="O33" i="1" s="1"/>
  <c r="N17" i="1"/>
  <c r="O16" i="1"/>
  <c r="O19" i="1" l="1"/>
  <c r="N29" i="1" l="1"/>
  <c r="E36" i="1" l="1"/>
  <c r="E38" i="1" s="1"/>
  <c r="O35" i="1" s="1"/>
  <c r="E33" i="1"/>
  <c r="Q32" i="1"/>
  <c r="Q35" i="1" s="1"/>
  <c r="O37" i="1" l="1"/>
  <c r="J48" i="1" s="1"/>
  <c r="E40" i="1"/>
  <c r="C97" i="1" l="1"/>
  <c r="E43" i="1"/>
  <c r="E41" i="1" s="1"/>
  <c r="J87" i="1" s="1"/>
  <c r="O40" i="1" l="1"/>
  <c r="O43" i="1" s="1"/>
  <c r="J97" i="1" s="1"/>
  <c r="C77" i="1"/>
  <c r="J33" i="1"/>
  <c r="C48" i="1"/>
  <c r="J39" i="1" l="1"/>
  <c r="F109" i="1"/>
  <c r="F114" i="1" s="1"/>
  <c r="J77" i="1" l="1"/>
  <c r="J41" i="1"/>
  <c r="J43" i="1"/>
  <c r="C87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F127" i="1"/>
  <c r="F128" i="1"/>
  <c r="F129" i="1"/>
  <c r="F131" i="1"/>
  <c r="F1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tc={6C0CE5BD-DDE2-924A-BC62-857B1B8BB828}</author>
    <author>tc={B4F3CF6E-09E5-5549-91B4-7AB39B0DFA69}</author>
  </authors>
  <commentList>
    <comment ref="I64" authorId="0" shapeId="0" xr:uid="{6C0CE5BD-DDE2-924A-BC62-857B1B8BB8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Delaware’s.</t>
      </text>
    </comment>
    <comment ref="F126" authorId="1" shapeId="0" xr:uid="{B4F3CF6E-09E5-5549-91B4-7AB39B0DFA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Used in S-1 as pro-forma # shares (page 22).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tc={78F9A93C-715B-D24D-A93A-EF0A9950D963}</author>
    <author>tc={DBF62D9E-9BE6-2E40-AEE0-EB98BC4EA812}</author>
    <author>tc={2109D82C-1E04-4C48-8F77-4F087859B353}</author>
    <author>tc={5E4A1A71-5CE7-A940-A92F-F68564D623E3}</author>
    <author>tc={F86554A1-9E43-0849-998E-DA36F55C351A}</author>
    <author>tc={BF9E2425-A83B-E94E-911B-D7226FD97DAB}</author>
    <author>tc={2EF43C4F-7064-F94B-8755-1B418631E86A}</author>
  </authors>
  <commentList>
    <comment ref="F9" authorId="0" shapeId="0" xr:uid="{78F9A93C-715B-D24D-A93A-EF0A9950D9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Damodaran; resto Bloomberg “raw beta”. And Bloomberg “Total Debt” and “Total Equity”.</t>
      </text>
    </comment>
    <comment ref="D13" authorId="1" shapeId="0" xr:uid="{DBF62D9E-9BE6-2E40-AEE0-EB98BC4EA8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Latest issued bond YTM (6Y)</t>
      </text>
    </comment>
    <comment ref="E13" authorId="2" shapeId="0" xr:uid="{2109D82C-1E04-4C48-8F77-4F087859B3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Interests paid over Total Debt</t>
      </text>
    </comment>
    <comment ref="K13" authorId="3" shapeId="0" xr:uid="{5E4A1A71-5CE7-A940-A92F-F68564D623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Jersey Tax is 0% 2019; Debt &amp; Eq are 2018, so tax 2018 is 20%.</t>
      </text>
    </comment>
    <comment ref="D14" authorId="4" shapeId="0" xr:uid="{F86554A1-9E43-0849-998E-DA36F55C35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Delaware’s.</t>
      </text>
    </comment>
    <comment ref="D19" authorId="5" shapeId="0" xr:uid="{BF9E2425-A83B-E94E-911B-D7226FD97D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10Y US Bond</t>
      </text>
    </comment>
    <comment ref="D20" authorId="6" shapeId="0" xr:uid="{2EF43C4F-7064-F94B-8755-1B418631E8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Damodaran (Jan 19): 5.96%
Respuesta:
    Bloomberg 23/10: 6.996%</t>
      </text>
    </comment>
  </commentList>
</comments>
</file>

<file path=xl/sharedStrings.xml><?xml version="1.0" encoding="utf-8"?>
<sst xmlns="http://schemas.openxmlformats.org/spreadsheetml/2006/main" count="378" uniqueCount="239">
  <si>
    <t>ValueCo Corporation</t>
  </si>
  <si>
    <t>Discounted Cash Flow Analysis</t>
  </si>
  <si>
    <t>($ in millions, fiscal year ending December 31)</t>
  </si>
  <si>
    <t xml:space="preserve">Operating Scenario </t>
  </si>
  <si>
    <t>Mid-Year Convention</t>
  </si>
  <si>
    <t>Y</t>
  </si>
  <si>
    <t>Historical Period</t>
  </si>
  <si>
    <t>CAGR</t>
  </si>
  <si>
    <t>Projection Period</t>
  </si>
  <si>
    <t>2009</t>
  </si>
  <si>
    <t>2010</t>
  </si>
  <si>
    <t>2011</t>
  </si>
  <si>
    <t>2012</t>
  </si>
  <si>
    <t>2013</t>
  </si>
  <si>
    <t>Sales</t>
  </si>
  <si>
    <t xml:space="preserve">   % growth</t>
  </si>
  <si>
    <t>NA</t>
  </si>
  <si>
    <t>Gross Profit</t>
  </si>
  <si>
    <t xml:space="preserve">   % margin</t>
  </si>
  <si>
    <t>SG&amp;A</t>
  </si>
  <si>
    <t>EBITDA</t>
  </si>
  <si>
    <t>Depreciation &amp; Amortization</t>
  </si>
  <si>
    <t>EBIT</t>
  </si>
  <si>
    <t>Taxes</t>
  </si>
  <si>
    <t>EBIAT</t>
  </si>
  <si>
    <t>Less: Capital Expenditures</t>
  </si>
  <si>
    <t>Unlevered Free Cash Flow</t>
  </si>
  <si>
    <t xml:space="preserve">   WACC</t>
  </si>
  <si>
    <t xml:space="preserve">   Discount Period</t>
  </si>
  <si>
    <t xml:space="preserve">   Discount Factor</t>
  </si>
  <si>
    <t xml:space="preserve">   Present Value of Free Cash Flow</t>
  </si>
  <si>
    <t>Enterprise Value</t>
  </si>
  <si>
    <t>Implied Equity Value and Share Price</t>
  </si>
  <si>
    <t>Implied Perpetuity Growth Rate</t>
  </si>
  <si>
    <t>Cumulative Present Value of FCF</t>
  </si>
  <si>
    <t>Less: Total Debt</t>
  </si>
  <si>
    <t>WACC</t>
  </si>
  <si>
    <t>Terminal Value</t>
  </si>
  <si>
    <t>Less: Preferred Securities</t>
  </si>
  <si>
    <t>Exit Multiple</t>
  </si>
  <si>
    <t>Plus: Cash and Cash Equivalents</t>
  </si>
  <si>
    <t xml:space="preserve">   Terminal Value</t>
  </si>
  <si>
    <t xml:space="preserve"> </t>
  </si>
  <si>
    <t>Discount Factor</t>
  </si>
  <si>
    <t xml:space="preserve">   Implied Equity Value</t>
  </si>
  <si>
    <t>Implied EV/EBITDA</t>
  </si>
  <si>
    <t xml:space="preserve">   Present Value of Terminal Value</t>
  </si>
  <si>
    <t xml:space="preserve">   % of Enterprise Value</t>
  </si>
  <si>
    <t xml:space="preserve">   Implied Share Price</t>
  </si>
  <si>
    <t xml:space="preserve">   Enterprise Value</t>
  </si>
  <si>
    <t>Assumptions</t>
  </si>
  <si>
    <t>Sales (% growth)</t>
  </si>
  <si>
    <t>COGS (% sales)</t>
  </si>
  <si>
    <t>SG&amp;A (% sales)</t>
  </si>
  <si>
    <t>Depreciation &amp; Amortization (% sales)</t>
  </si>
  <si>
    <t>Capital Expenditures (% sales)</t>
  </si>
  <si>
    <t>Tax Rate</t>
  </si>
  <si>
    <t>Working Capital (% sales)</t>
  </si>
  <si>
    <t>Sensitivity Analysis</t>
  </si>
  <si>
    <t>($ in millions)</t>
  </si>
  <si>
    <t>Implied Equity Value</t>
  </si>
  <si>
    <t>Implied Share Price</t>
  </si>
  <si>
    <t>Implied Enterprise Value / LTM EBITDA</t>
  </si>
  <si>
    <t>Calculation of Implied Share Price</t>
  </si>
  <si>
    <t>Number of</t>
  </si>
  <si>
    <t>Exercise</t>
  </si>
  <si>
    <t>In-the-Money</t>
  </si>
  <si>
    <t>Tranche</t>
  </si>
  <si>
    <t>Shares</t>
  </si>
  <si>
    <t>Price</t>
  </si>
  <si>
    <t>Proceeds</t>
  </si>
  <si>
    <t>Options 1</t>
  </si>
  <si>
    <t>Options 2</t>
  </si>
  <si>
    <t>Options 3</t>
  </si>
  <si>
    <t>Options 4</t>
  </si>
  <si>
    <t>Options 5</t>
  </si>
  <si>
    <t xml:space="preserve">   Total</t>
  </si>
  <si>
    <t>Basic Shares Outstanding</t>
  </si>
  <si>
    <t>Plus: Shares from In-the-Money Options</t>
  </si>
  <si>
    <t>Less: Shares Repurchased</t>
  </si>
  <si>
    <t xml:space="preserve">   Net New Shares from Options</t>
  </si>
  <si>
    <t>Plus: Shares from Convertible Securities</t>
  </si>
  <si>
    <t xml:space="preserve">   Fully Diluted Shares Outstanding</t>
  </si>
  <si>
    <t>Working Capital Projections</t>
  </si>
  <si>
    <t>Cost of Goods Sold</t>
  </si>
  <si>
    <t>Current Assets</t>
  </si>
  <si>
    <t>Accounts Receivable</t>
  </si>
  <si>
    <t>Inventories</t>
  </si>
  <si>
    <t>Prepaid Expenses and Other</t>
  </si>
  <si>
    <t xml:space="preserve">   Total Current Assets</t>
  </si>
  <si>
    <t>Current Liabilities</t>
  </si>
  <si>
    <t>Accounts Payable</t>
  </si>
  <si>
    <t>Accrued Liabilities</t>
  </si>
  <si>
    <t>Other Current Liabilities</t>
  </si>
  <si>
    <t xml:space="preserve">   Total Current Liabilities</t>
  </si>
  <si>
    <t xml:space="preserve">   Net Working Capital</t>
  </si>
  <si>
    <t xml:space="preserve">   % sales</t>
  </si>
  <si>
    <t>Days Sales Outstanding</t>
  </si>
  <si>
    <t>Days Inventory Held</t>
  </si>
  <si>
    <t>Prepaids and Other CA (% of sales)</t>
  </si>
  <si>
    <t>Days Payable Outstanding</t>
  </si>
  <si>
    <t>Accrued Liabilities (% of sales)</t>
  </si>
  <si>
    <t>Other Current Liabilities (% of sales)</t>
  </si>
  <si>
    <t>Weighted Average Cost of Capital Analysis</t>
  </si>
  <si>
    <t>WACC Calculation</t>
  </si>
  <si>
    <t>Comparable Companies Unlevered Beta</t>
  </si>
  <si>
    <t>Predicted</t>
  </si>
  <si>
    <t xml:space="preserve">Market </t>
  </si>
  <si>
    <t>Debt/</t>
  </si>
  <si>
    <t>Marginal</t>
  </si>
  <si>
    <t>Unlevered</t>
  </si>
  <si>
    <t>Debt-to-Total Capitalization</t>
  </si>
  <si>
    <t>Company</t>
  </si>
  <si>
    <r>
      <t>Levered Beta</t>
    </r>
    <r>
      <rPr>
        <b/>
        <vertAlign val="superscript"/>
        <sz val="10"/>
        <rFont val="Arial"/>
        <family val="2"/>
      </rPr>
      <t>(4)</t>
    </r>
  </si>
  <si>
    <t>Value of Debt</t>
  </si>
  <si>
    <t>Value of Equity</t>
  </si>
  <si>
    <t>Equity</t>
  </si>
  <si>
    <t>Beta</t>
  </si>
  <si>
    <t>Equity-to-Total Capitalization</t>
  </si>
  <si>
    <t>Cost of Debt</t>
  </si>
  <si>
    <t xml:space="preserve">   After-tax Cost of Debt</t>
  </si>
  <si>
    <t xml:space="preserve">Mean </t>
  </si>
  <si>
    <t>Median</t>
  </si>
  <si>
    <t>Cost of Equity</t>
  </si>
  <si>
    <t>ValueCo Relevered Beta</t>
  </si>
  <si>
    <t>Target</t>
  </si>
  <si>
    <t>Relevered</t>
  </si>
  <si>
    <t>Levered Beta</t>
  </si>
  <si>
    <t>Relevered Beta</t>
  </si>
  <si>
    <t xml:space="preserve">   Cost of Equity</t>
  </si>
  <si>
    <t>WACC Sensitivity Analysis</t>
  </si>
  <si>
    <t>Pre-tax Cost of Debt</t>
  </si>
  <si>
    <t>Assumptions Page 1 - Income Statement and Cash Flow Statement</t>
  </si>
  <si>
    <t>2014</t>
  </si>
  <si>
    <t>2015</t>
  </si>
  <si>
    <t>2016</t>
  </si>
  <si>
    <t>2017</t>
  </si>
  <si>
    <t>2018</t>
  </si>
  <si>
    <t>Income Statement Assumptions</t>
  </si>
  <si>
    <t xml:space="preserve">   Base</t>
  </si>
  <si>
    <t xml:space="preserve">   Upside</t>
  </si>
  <si>
    <t xml:space="preserve">   Management </t>
  </si>
  <si>
    <t xml:space="preserve">   Downside 1</t>
  </si>
  <si>
    <t xml:space="preserve">   Downside 2</t>
  </si>
  <si>
    <t>Cost of Goods Sold (% sales)</t>
  </si>
  <si>
    <t>Cash Flow Statement Assumptions</t>
  </si>
  <si>
    <t>Capital Expenditures (% of sales)</t>
  </si>
  <si>
    <t>Assumptions Page 2 - Balance Sheet</t>
  </si>
  <si>
    <t>Days Sales Outstanding (DSO)</t>
  </si>
  <si>
    <t>Days Inventory Held (DIH)</t>
  </si>
  <si>
    <t>Prepaid and Other Current Assets (% of sales)</t>
  </si>
  <si>
    <t>Days Payable Outstanding (DPO)</t>
  </si>
  <si>
    <t>`</t>
  </si>
  <si>
    <t>Less: Noncontrolling Interest</t>
  </si>
  <si>
    <t>Options/Warrants</t>
  </si>
  <si>
    <t>PV of Terminal Value as % of Enterprise Value</t>
  </si>
  <si>
    <t xml:space="preserve">COGS </t>
  </si>
  <si>
    <t>Target Capital Structure</t>
  </si>
  <si>
    <r>
      <t>Risk-free Rate</t>
    </r>
    <r>
      <rPr>
        <vertAlign val="superscript"/>
        <sz val="10"/>
        <color indexed="8"/>
        <rFont val="Arial"/>
        <family val="2"/>
      </rPr>
      <t>(1)</t>
    </r>
  </si>
  <si>
    <r>
      <t>Market Risk Premium</t>
    </r>
    <r>
      <rPr>
        <vertAlign val="superscript"/>
        <sz val="10"/>
        <color indexed="8"/>
        <rFont val="Arial"/>
        <family val="2"/>
      </rPr>
      <t>(2)</t>
    </r>
  </si>
  <si>
    <r>
      <t>Size Premium</t>
    </r>
    <r>
      <rPr>
        <vertAlign val="superscript"/>
        <sz val="10"/>
        <rFont val="Arial"/>
        <family val="2"/>
      </rPr>
      <t>(3)</t>
    </r>
  </si>
  <si>
    <r>
      <t xml:space="preserve">(2) Obtained from </t>
    </r>
    <r>
      <rPr>
        <i/>
        <sz val="10"/>
        <rFont val="Arial"/>
        <family val="2"/>
      </rPr>
      <t>Ibbotson SBBI Valuation Yearbook</t>
    </r>
  </si>
  <si>
    <t>(3) Low-Cap Decile size premium based on market capitalization, per Ibbotson</t>
  </si>
  <si>
    <t>(4) Sourced from Barra</t>
  </si>
  <si>
    <t xml:space="preserve">   (Increase) / Decrease in NWC</t>
  </si>
  <si>
    <t>Plus: Depreciation &amp; Amortization</t>
  </si>
  <si>
    <t>Less: Increase in Net Working Capital</t>
  </si>
  <si>
    <t>Mean</t>
  </si>
  <si>
    <t>Comparable Companies - U.S.-Based Steel Manufacturer Companies with FY16 Projected Revenue Between $1 Billion and $20 Billion</t>
  </si>
  <si>
    <t>($ USD in Millions Except Per Share Amounts in USD as Stated)</t>
  </si>
  <si>
    <t>Operating Statistics:</t>
  </si>
  <si>
    <t>Capitalization</t>
  </si>
  <si>
    <t>Projected</t>
  </si>
  <si>
    <t>Preferred</t>
  </si>
  <si>
    <t>Other &amp;</t>
  </si>
  <si>
    <t>Enterprise</t>
  </si>
  <si>
    <t>Revenue</t>
  </si>
  <si>
    <t>EBITDA Margin</t>
  </si>
  <si>
    <t>Company Name</t>
  </si>
  <si>
    <t>Ticker</t>
  </si>
  <si>
    <t>Value</t>
  </si>
  <si>
    <t>Cash</t>
  </si>
  <si>
    <t>Debt</t>
  </si>
  <si>
    <t>Stock</t>
  </si>
  <si>
    <t>NCI</t>
  </si>
  <si>
    <t>Growth</t>
  </si>
  <si>
    <t>X</t>
  </si>
  <si>
    <t>NUE</t>
  </si>
  <si>
    <t>CMC</t>
  </si>
  <si>
    <t>AKS</t>
  </si>
  <si>
    <t>WOR</t>
  </si>
  <si>
    <t>RS</t>
  </si>
  <si>
    <t>Maximum</t>
  </si>
  <si>
    <t>75th Percentile</t>
  </si>
  <si>
    <t>25th Percentile</t>
  </si>
  <si>
    <t>Minimum</t>
  </si>
  <si>
    <t>Capitlization</t>
  </si>
  <si>
    <t>EV/EBITDA</t>
  </si>
  <si>
    <t>EV/Sales</t>
  </si>
  <si>
    <t>EV/EBIT</t>
  </si>
  <si>
    <t>FY17</t>
  </si>
  <si>
    <t>FY18</t>
  </si>
  <si>
    <t>Amazon</t>
  </si>
  <si>
    <t>Alibaba</t>
  </si>
  <si>
    <t>VIPShop</t>
  </si>
  <si>
    <t>JD.com</t>
  </si>
  <si>
    <t>EBAY</t>
  </si>
  <si>
    <t>Netflix</t>
  </si>
  <si>
    <t>Mercadolibre</t>
  </si>
  <si>
    <t>Wal-Mart</t>
  </si>
  <si>
    <t>Best Buy</t>
  </si>
  <si>
    <t>Palo Alto Networks</t>
  </si>
  <si>
    <t>Rakuten</t>
  </si>
  <si>
    <t>IBM</t>
  </si>
  <si>
    <t xml:space="preserve">CVS Health </t>
  </si>
  <si>
    <t>Valuation Overview</t>
  </si>
  <si>
    <t>Growth Rate</t>
  </si>
  <si>
    <t>WE WORK</t>
  </si>
  <si>
    <t>('20 - '24)</t>
  </si>
  <si>
    <t>('16 - '18)</t>
  </si>
  <si>
    <t>IPO OFFERING</t>
  </si>
  <si>
    <t>tender price</t>
  </si>
  <si>
    <t>(1) YTM on 10-year U.S. Bond. Source: Terminal; consulted 24/10.</t>
  </si>
  <si>
    <t>Industry Average</t>
  </si>
  <si>
    <t>CBRE Group, Inc</t>
  </si>
  <si>
    <t>JLL, Inc</t>
  </si>
  <si>
    <t>IWG Plc</t>
  </si>
  <si>
    <t>Coor Service Management Holding AB</t>
  </si>
  <si>
    <t>Eikon</t>
  </si>
  <si>
    <t>FY2018 EBITDA</t>
  </si>
  <si>
    <t>Eikon (Bbg: 3591)</t>
  </si>
  <si>
    <t>costes excepcionales. Decaeran una vez sea madura y prácgicas contables sean más correctas.</t>
  </si>
  <si>
    <t>pueden bajar al principio si los proveedores notan el debilitamiento de la empresa, pero a la larga subirán por el mayor poder de negociación de We</t>
  </si>
  <si>
    <t>más o menos un mes tarde puede cobrar si se pasa factura a final de mes (piensa que no es solo el lugar, sino que puede haber extras que se cobren en la factura del mes siguiente)</t>
  </si>
  <si>
    <t>CHECK</t>
  </si>
  <si>
    <t>Shares Outstanding</t>
  </si>
  <si>
    <r>
      <t xml:space="preserve">I consider </t>
    </r>
    <r>
      <rPr>
        <i/>
        <sz val="10"/>
        <rFont val="Arial"/>
        <family val="2"/>
      </rPr>
      <t>We Work</t>
    </r>
    <r>
      <rPr>
        <sz val="10"/>
        <rFont val="Arial"/>
      </rPr>
      <t xml:space="preserve"> offices as "prime" office spaces, which inherit a higher value than simple office rentals. </t>
    </r>
  </si>
  <si>
    <t>The average European value of such "prime" rentals is shown in graph 1.</t>
  </si>
  <si>
    <t>Graph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</si>
</sst>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2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&quot;$&quot;#,##0_);[Red]\(&quot;$&quot;#,##0\)"/>
    <numFmt numFmtId="166" formatCode="&quot;$&quot;#,##0.00_);[Red]\(&quot;$&quot;#,##0.00\)"/>
    <numFmt numFmtId="167" formatCode="_(* #,##0.00_);_(* \(#,##0.00\);_(* &quot;-&quot;??_);_(@_)"/>
    <numFmt numFmtId="168" formatCode="0000"/>
    <numFmt numFmtId="169" formatCode="yyyy&quot;A&quot;"/>
    <numFmt numFmtId="170" formatCode="* _(&quot;$&quot;##,##0.0_);[Red]* \(&quot;$&quot;##,##0.0\);* _(&quot;-&quot;?_);_(@_)"/>
    <numFmt numFmtId="171" formatCode="0.0%"/>
    <numFmt numFmtId="172" formatCode="\€\ #,##0.0_);\(\€\ #,##0.0\);@_)"/>
    <numFmt numFmtId="173" formatCode="* _(#,##0.0%_);* \(#,##0.0%\);* _(&quot;-&quot;?_);_(@_)"/>
    <numFmt numFmtId="174" formatCode="0&quot;E&quot;"/>
    <numFmt numFmtId="175" formatCode="General&quot;E&quot;"/>
    <numFmt numFmtId="176" formatCode="&quot;$&quot;#,##0.0_);\(&quot;$&quot;#,##0.0\)"/>
    <numFmt numFmtId="177" formatCode="_(* #,##0.0_);_(* \(#,##0.0\);_(* &quot;-&quot;?_);_(@_)"/>
    <numFmt numFmtId="178" formatCode="* _(0&quot;E&quot;_);* \(0&quot;E&quot;\);* _(&quot;-&quot;?_);_(@_)"/>
    <numFmt numFmtId="179" formatCode="* _(##,##0.000_);* \(##,##0.000\);* _(&quot;-&quot;?_);_(@_)"/>
    <numFmt numFmtId="180" formatCode="* _(#,##0.00_);* \(#,##0.00\);* _(&quot;-&quot;?_);_(@_)"/>
    <numFmt numFmtId="181" formatCode="&quot;$&quot;#,##0.0_);[Red]\(&quot;$&quot;#,##0.0\)"/>
    <numFmt numFmtId="182" formatCode="_(* #,##0.0%;_(* \(#,##0.0%\);_(* &quot;- %&quot;_);_(* @_%_)"/>
    <numFmt numFmtId="183" formatCode="_(* #,##0.0%_);_(* \(#,##0.0%\);_(* &quot;--- %&quot;_);_(* @_%_)"/>
    <numFmt numFmtId="184" formatCode="_(* #,##0.00_);_(* \(#,##0.00\);_(* &quot;-&quot;?_);_(@_)"/>
    <numFmt numFmtId="185" formatCode="&quot;$&quot;#,##0.00"/>
    <numFmt numFmtId="186" formatCode="0.0\x"/>
    <numFmt numFmtId="187" formatCode="#,##0.0_);[Red]\(#,##0.0\)"/>
    <numFmt numFmtId="188" formatCode="_(* #,##0.0\x;_(* \(#,##0.0\x\);_(* &quot;- x&quot;_);_(* @_%_)"/>
    <numFmt numFmtId="189" formatCode="* _(##,##0.0_);[Red]* \(##,##0.0\);* _(&quot;-&quot;?_);_(@_)"/>
    <numFmt numFmtId="190" formatCode="* _(&quot;$&quot;##,##0.00_);[Red]* \(&quot;$&quot;##,##0.00\);* _(&quot;-&quot;?_);_(@_)"/>
    <numFmt numFmtId="191" formatCode="_(&quot;$&quot;* #,##0.0_);_(&quot;$&quot;* \(#,##0.0\);_(&quot;$&quot;* &quot;-&quot;?_);_(@_)"/>
    <numFmt numFmtId="192" formatCode="_(* #,##0.0%_);_(* \(#,##0.0%\);_(* &quot;- %&quot;_);_(* @_%_)"/>
    <numFmt numFmtId="193" formatCode="* _(&quot;$&quot;#,##0.00_);* \(&quot;$&quot;#,##0.00\);* _(&quot;-&quot;?_);_(@_)"/>
    <numFmt numFmtId="194" formatCode="_(* #,##0.000_);_(* \(#,##0.000\);_(* &quot;-&quot;?_);_(@_)"/>
    <numFmt numFmtId="195" formatCode="* _(##,##0.00_);[Red]* \(##,##0.00\);* _(&quot;-&quot;?_);_(@_)"/>
    <numFmt numFmtId="196" formatCode="#,##0.00;\(#,##0.00\);_(* &quot;-&quot;_)"/>
    <numFmt numFmtId="197" formatCode="_(* #,##0.00%;_(* \(#,##0.00%\);_(* &quot;- %&quot;_);_(* @_%_)"/>
    <numFmt numFmtId="198" formatCode="0.00_);[Red]\(0.00\)"/>
    <numFmt numFmtId="199" formatCode="&quot;Year&quot;\ 0"/>
    <numFmt numFmtId="200" formatCode="#,##0.0"/>
    <numFmt numFmtId="201" formatCode="_-* #,##0.0\ _€_-;\-* #,##0.0\ _€_-;_-* &quot;-&quot;?\ _€_-;_-@_-"/>
    <numFmt numFmtId="202" formatCode="_-* #,##0.0000000\ _€_-;\-* #,##0.0000000\ _€_-;_-* &quot;-&quot;?\ _€_-;_-@_-"/>
    <numFmt numFmtId="203" formatCode="0.000000"/>
    <numFmt numFmtId="204" formatCode="0.0"/>
    <numFmt numFmtId="205" formatCode="&quot;FY&quot;yy"/>
    <numFmt numFmtId="206" formatCode="_(#,##0.0%_);\(#,##0.0%\);_(&quot;–&quot;_)_%;_(@_)_%"/>
    <numFmt numFmtId="207" formatCode="_(&quot;$&quot;* #,##0.0_);_(&quot;$&quot;* \(#,##0.0\);_(&quot;$&quot;* &quot;-&quot;??_);_(@_)"/>
    <numFmt numFmtId="208" formatCode="_(* #,##0.0_);_(* \(#,##0.0\);_(* &quot;-&quot;??_);_(@_)"/>
    <numFmt numFmtId="209" formatCode="0.0\ \x"/>
    <numFmt numFmtId="210" formatCode="_(&quot;$&quot;* #,##0_);_(&quot;$&quot;* \(#,##0\);_(&quot;$&quot;* &quot;-&quot;_);_(@_)"/>
    <numFmt numFmtId="211" formatCode="_-* #,##0.0\ _€_-;\-* #,##0.0\ _€_-;_-* &quot;-&quot;??\ _€_-;_-@_-"/>
    <numFmt numFmtId="212" formatCode="#,##0.0\x"/>
    <numFmt numFmtId="213" formatCode="* _(##,##0.00_);* \(##,##0.00\);* _(&quot;-&quot;?_);_(@_)"/>
    <numFmt numFmtId="215" formatCode="#,##0.000_);[Red]\(#,##0.000\)"/>
  </numFmts>
  <fonts count="71">
    <font>
      <sz val="10"/>
      <name val="Arial"/>
    </font>
    <font>
      <sz val="10"/>
      <name val="Arial"/>
      <family val="2"/>
    </font>
    <font>
      <sz val="9"/>
      <color indexed="0"/>
      <name val="Helvetica"/>
      <family val="2"/>
    </font>
    <font>
      <sz val="10"/>
      <name val="Arial"/>
      <family val="2"/>
    </font>
    <font>
      <sz val="10"/>
      <color indexed="0"/>
      <name val="Arial"/>
      <family val="2"/>
    </font>
    <font>
      <sz val="9"/>
      <color indexed="0"/>
      <name val="Arial"/>
      <family val="2"/>
    </font>
    <font>
      <i/>
      <sz val="10"/>
      <color indexed="9"/>
      <name val="Arial"/>
      <family val="2"/>
    </font>
    <font>
      <sz val="9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0"/>
      <name val="Arial"/>
      <family val="2"/>
    </font>
    <font>
      <b/>
      <u val="singleAccounting"/>
      <sz val="10"/>
      <color indexed="9"/>
      <name val="Arial"/>
      <family val="2"/>
    </font>
    <font>
      <u val="singleAccounting"/>
      <sz val="10"/>
      <color indexed="9"/>
      <name val="Arial"/>
      <family val="2"/>
    </font>
    <font>
      <b/>
      <sz val="10"/>
      <color indexed="8"/>
      <name val="Arial"/>
      <family val="2"/>
    </font>
    <font>
      <b/>
      <i/>
      <sz val="10"/>
      <name val="Arial"/>
      <family val="2"/>
    </font>
    <font>
      <b/>
      <u val="singleAccounting"/>
      <sz val="10"/>
      <name val="Arial"/>
      <family val="2"/>
    </font>
    <font>
      <i/>
      <sz val="10"/>
      <name val="Arial"/>
      <family val="2"/>
    </font>
    <font>
      <sz val="10"/>
      <name val="Arial Narrow"/>
      <family val="2"/>
    </font>
    <font>
      <i/>
      <sz val="10"/>
      <color indexed="12"/>
      <name val="Arial"/>
      <family val="2"/>
    </font>
    <font>
      <sz val="10"/>
      <color indexed="8"/>
      <name val="Arial"/>
      <family val="2"/>
    </font>
    <font>
      <u val="singleAccounting"/>
      <sz val="10"/>
      <color indexed="12"/>
      <name val="Arial"/>
      <family val="2"/>
    </font>
    <font>
      <u val="singleAccounting"/>
      <sz val="10"/>
      <name val="Arial"/>
      <family val="2"/>
    </font>
    <font>
      <u val="singleAccounting"/>
      <sz val="10"/>
      <color indexed="8"/>
      <name val="Arial"/>
      <family val="2"/>
    </font>
    <font>
      <sz val="10"/>
      <color indexed="12"/>
      <name val="Arial"/>
      <family val="2"/>
    </font>
    <font>
      <sz val="9"/>
      <name val="Times New Roman"/>
      <family val="1"/>
    </font>
    <font>
      <b/>
      <i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51"/>
      <name val="Arial"/>
      <family val="2"/>
    </font>
    <font>
      <i/>
      <sz val="10"/>
      <color indexed="8"/>
      <name val="Arial"/>
      <family val="2"/>
    </font>
    <font>
      <sz val="10"/>
      <name val="Times New Roman"/>
      <family val="1"/>
    </font>
    <font>
      <b/>
      <u val="doubleAccounting"/>
      <sz val="10"/>
      <name val="Arial"/>
      <family val="2"/>
    </font>
    <font>
      <b/>
      <i/>
      <u val="singleAccounting"/>
      <sz val="10"/>
      <color indexed="8"/>
      <name val="Arial"/>
      <family val="2"/>
    </font>
    <font>
      <b/>
      <u val="singleAccounting"/>
      <sz val="10"/>
      <color indexed="8"/>
      <name val="Arial"/>
      <family val="2"/>
    </font>
    <font>
      <b/>
      <vertAlign val="superscript"/>
      <sz val="10"/>
      <name val="Arial"/>
      <family val="2"/>
    </font>
    <font>
      <b/>
      <u val="singleAccounting"/>
      <sz val="12"/>
      <color indexed="9"/>
      <name val="Arial"/>
      <family val="2"/>
    </font>
    <font>
      <sz val="8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10"/>
      <name val="Arial"/>
      <family val="2"/>
    </font>
    <font>
      <b/>
      <sz val="20"/>
      <color indexed="9"/>
      <name val="Arial"/>
      <family val="2"/>
    </font>
    <font>
      <sz val="20"/>
      <color indexed="9"/>
      <name val="Arial"/>
      <family val="2"/>
    </font>
    <font>
      <b/>
      <sz val="14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9"/>
      <name val="Arial"/>
      <family val="2"/>
    </font>
    <font>
      <b/>
      <sz val="9"/>
      <color indexed="0"/>
      <name val="Arial"/>
      <family val="2"/>
    </font>
    <font>
      <b/>
      <u val="singleAccounting"/>
      <sz val="10"/>
      <color indexed="12"/>
      <name val="Arial"/>
      <family val="2"/>
    </font>
    <font>
      <sz val="10"/>
      <name val="Arial"/>
      <family val="2"/>
    </font>
    <font>
      <sz val="9"/>
      <name val="TimesNewRoman"/>
    </font>
    <font>
      <u val="singleAccounting"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u/>
      <sz val="12"/>
      <color indexed="9"/>
      <name val="Arial"/>
      <family val="2"/>
    </font>
    <font>
      <u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theme="0"/>
      <name val="Arial"/>
      <family val="2"/>
    </font>
    <font>
      <sz val="12"/>
      <color rgb="FF0000FF"/>
      <name val="Arial"/>
      <family val="2"/>
    </font>
    <font>
      <sz val="12"/>
      <color theme="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 val="singleAccounting"/>
      <sz val="10"/>
      <color theme="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</font>
    <font>
      <sz val="10"/>
      <color rgb="FF000000"/>
      <name val="Tahoma"/>
      <family val="2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</borders>
  <cellStyleXfs count="40">
    <xf numFmtId="0" fontId="0" fillId="0" borderId="0" applyFill="0" applyBorder="0" applyProtection="0">
      <protection locked="0"/>
    </xf>
    <xf numFmtId="0" fontId="9" fillId="0" borderId="0" applyNumberFormat="0" applyFill="0" applyBorder="0" applyAlignment="0" applyProtection="0"/>
    <xf numFmtId="0" fontId="47" fillId="0" borderId="0" applyFill="0" applyBorder="0" applyProtection="0">
      <protection locked="0"/>
    </xf>
    <xf numFmtId="172" fontId="19" fillId="0" borderId="0" applyFont="0" applyFill="0" applyBorder="0" applyAlignment="0" applyProtection="0"/>
    <xf numFmtId="0" fontId="2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  <xf numFmtId="183" fontId="26" fillId="0" borderId="0" applyFont="0" applyFill="0" applyBorder="0" applyAlignment="0" applyProtection="0">
      <alignment horizontal="right"/>
    </xf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200" fontId="15" fillId="7" borderId="17">
      <alignment horizontal="right"/>
    </xf>
    <xf numFmtId="200" fontId="21" fillId="7" borderId="17">
      <alignment horizontal="right"/>
    </xf>
    <xf numFmtId="0" fontId="1" fillId="0" borderId="0"/>
    <xf numFmtId="0" fontId="51" fillId="0" borderId="0"/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44" fontId="68" fillId="0" borderId="0" applyFont="0" applyFill="0" applyBorder="0" applyAlignment="0" applyProtection="0"/>
  </cellStyleXfs>
  <cellXfs count="596">
    <xf numFmtId="0" fontId="0" fillId="0" borderId="0" xfId="0" applyProtection="1"/>
    <xf numFmtId="0" fontId="4" fillId="0" borderId="0" xfId="4" applyFont="1" applyProtection="1"/>
    <xf numFmtId="0" fontId="5" fillId="0" borderId="0" xfId="4" applyFont="1" applyProtection="1"/>
    <xf numFmtId="0" fontId="4" fillId="0" borderId="0" xfId="4" applyFont="1" applyFill="1" applyBorder="1" applyProtection="1"/>
    <xf numFmtId="0" fontId="5" fillId="0" borderId="0" xfId="4" applyFont="1" applyFill="1" applyBorder="1" applyProtection="1"/>
    <xf numFmtId="0" fontId="6" fillId="2" borderId="0" xfId="4" applyFont="1" applyFill="1" applyBorder="1" applyProtection="1"/>
    <xf numFmtId="0" fontId="10" fillId="0" borderId="0" xfId="2" applyFont="1" applyProtection="1"/>
    <xf numFmtId="0" fontId="11" fillId="3" borderId="1" xfId="2" applyFont="1" applyFill="1" applyBorder="1" applyAlignment="1" applyProtection="1">
      <alignment horizontal="center"/>
    </xf>
    <xf numFmtId="0" fontId="4" fillId="0" borderId="0" xfId="4" applyFont="1" applyFill="1" applyProtection="1"/>
    <xf numFmtId="0" fontId="12" fillId="0" borderId="0" xfId="4" applyFont="1" applyProtection="1"/>
    <xf numFmtId="0" fontId="13" fillId="2" borderId="0" xfId="2" applyFont="1" applyFill="1" applyAlignment="1" applyProtection="1">
      <alignment horizontal="centerContinuous"/>
    </xf>
    <xf numFmtId="0" fontId="14" fillId="2" borderId="0" xfId="2" applyFont="1" applyFill="1" applyAlignment="1" applyProtection="1">
      <alignment horizontal="centerContinuous"/>
    </xf>
    <xf numFmtId="0" fontId="15" fillId="0" borderId="0" xfId="4" applyFont="1" applyBorder="1" applyAlignment="1" applyProtection="1">
      <alignment horizontal="center"/>
    </xf>
    <xf numFmtId="0" fontId="12" fillId="0" borderId="0" xfId="4" applyFont="1" applyFill="1" applyBorder="1" applyProtection="1"/>
    <xf numFmtId="0" fontId="17" fillId="0" borderId="0" xfId="4" applyFont="1" applyBorder="1" applyAlignment="1" applyProtection="1">
      <alignment horizontal="center"/>
    </xf>
    <xf numFmtId="169" fontId="17" fillId="0" borderId="0" xfId="4" applyNumberFormat="1" applyFont="1" applyFill="1" applyBorder="1" applyAlignment="1" applyProtection="1">
      <alignment horizontal="center"/>
    </xf>
    <xf numFmtId="171" fontId="18" fillId="0" borderId="0" xfId="13" applyNumberFormat="1" applyFont="1" applyAlignment="1" applyProtection="1">
      <alignment horizontal="center"/>
    </xf>
    <xf numFmtId="170" fontId="10" fillId="0" borderId="0" xfId="1" applyNumberFormat="1" applyFont="1" applyFill="1"/>
    <xf numFmtId="9" fontId="12" fillId="0" borderId="0" xfId="4" applyNumberFormat="1" applyFont="1" applyFill="1" applyBorder="1" applyProtection="1"/>
    <xf numFmtId="173" fontId="18" fillId="0" borderId="0" xfId="1" applyNumberFormat="1" applyFont="1" applyFill="1" applyBorder="1" applyAlignment="1">
      <alignment horizontal="right"/>
    </xf>
    <xf numFmtId="171" fontId="20" fillId="0" borderId="0" xfId="13" applyNumberFormat="1" applyFont="1" applyFill="1" applyBorder="1" applyProtection="1"/>
    <xf numFmtId="9" fontId="5" fillId="0" borderId="0" xfId="4" applyNumberFormat="1" applyFont="1" applyFill="1" applyBorder="1" applyProtection="1"/>
    <xf numFmtId="0" fontId="21" fillId="0" borderId="0" xfId="4" applyFont="1" applyFill="1" applyBorder="1"/>
    <xf numFmtId="174" fontId="24" fillId="0" borderId="0" xfId="4" applyNumberFormat="1" applyFont="1" applyFill="1" applyBorder="1" applyAlignment="1" applyProtection="1">
      <alignment horizontal="center"/>
    </xf>
    <xf numFmtId="175" fontId="17" fillId="0" borderId="0" xfId="11" applyNumberFormat="1" applyFont="1" applyFill="1" applyBorder="1" applyAlignment="1">
      <alignment horizontal="center"/>
    </xf>
    <xf numFmtId="0" fontId="10" fillId="0" borderId="0" xfId="4" applyFont="1" applyProtection="1"/>
    <xf numFmtId="176" fontId="12" fillId="0" borderId="0" xfId="4" applyNumberFormat="1" applyFont="1" applyFill="1" applyBorder="1" applyProtection="1"/>
    <xf numFmtId="178" fontId="3" fillId="0" borderId="0" xfId="1" applyNumberFormat="1" applyFont="1" applyFill="1" applyBorder="1"/>
    <xf numFmtId="173" fontId="3" fillId="0" borderId="0" xfId="1" applyNumberFormat="1" applyFont="1" applyFill="1" applyBorder="1"/>
    <xf numFmtId="179" fontId="3" fillId="0" borderId="0" xfId="1" applyNumberFormat="1" applyFont="1" applyFill="1" applyBorder="1"/>
    <xf numFmtId="180" fontId="3" fillId="0" borderId="0" xfId="1" applyNumberFormat="1" applyFont="1" applyFill="1" applyBorder="1"/>
    <xf numFmtId="181" fontId="5" fillId="0" borderId="0" xfId="4" applyNumberFormat="1" applyFont="1" applyFill="1" applyBorder="1" applyProtection="1"/>
    <xf numFmtId="0" fontId="3" fillId="0" borderId="0" xfId="4" applyFont="1" applyProtection="1"/>
    <xf numFmtId="0" fontId="3" fillId="0" borderId="0" xfId="4" applyFont="1" applyBorder="1" applyProtection="1"/>
    <xf numFmtId="0" fontId="3" fillId="0" borderId="0" xfId="4" applyFont="1" applyFill="1" applyBorder="1" applyAlignment="1" applyProtection="1">
      <alignment horizontal="center"/>
    </xf>
    <xf numFmtId="171" fontId="18" fillId="0" borderId="0" xfId="13" applyNumberFormat="1" applyFont="1" applyFill="1" applyBorder="1" applyAlignment="1" applyProtection="1">
      <alignment horizontal="center"/>
    </xf>
    <xf numFmtId="0" fontId="10" fillId="0" borderId="0" xfId="4" applyFont="1" applyFill="1" applyBorder="1" applyProtection="1"/>
    <xf numFmtId="0" fontId="4" fillId="0" borderId="0" xfId="4" applyFont="1" applyBorder="1" applyAlignment="1" applyProtection="1">
      <alignment horizontal="left"/>
    </xf>
    <xf numFmtId="171" fontId="3" fillId="0" borderId="0" xfId="13" applyNumberFormat="1" applyFont="1" applyFill="1" applyBorder="1" applyAlignment="1" applyProtection="1">
      <alignment horizontal="right"/>
    </xf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184" fontId="23" fillId="0" borderId="0" xfId="4" applyNumberFormat="1" applyFont="1" applyBorder="1" applyProtection="1"/>
    <xf numFmtId="184" fontId="23" fillId="0" borderId="0" xfId="4" applyNumberFormat="1" applyFont="1" applyProtection="1"/>
    <xf numFmtId="184" fontId="4" fillId="0" borderId="0" xfId="4" applyNumberFormat="1" applyFont="1" applyFill="1" applyBorder="1" applyProtection="1"/>
    <xf numFmtId="170" fontId="10" fillId="4" borderId="0" xfId="1" applyNumberFormat="1" applyFont="1" applyFill="1" applyBorder="1"/>
    <xf numFmtId="176" fontId="10" fillId="0" borderId="0" xfId="4" applyNumberFormat="1" applyFont="1" applyFill="1" applyBorder="1" applyProtection="1"/>
    <xf numFmtId="0" fontId="3" fillId="0" borderId="0" xfId="4" applyFont="1" applyFill="1" applyBorder="1" applyProtection="1"/>
    <xf numFmtId="181" fontId="18" fillId="0" borderId="0" xfId="4" applyNumberFormat="1" applyFont="1" applyFill="1" applyBorder="1" applyProtection="1"/>
    <xf numFmtId="176" fontId="3" fillId="0" borderId="0" xfId="4" applyNumberFormat="1" applyFont="1" applyFill="1" applyBorder="1" applyProtection="1"/>
    <xf numFmtId="177" fontId="3" fillId="0" borderId="0" xfId="4" applyNumberFormat="1" applyFont="1" applyFill="1" applyBorder="1" applyProtection="1"/>
    <xf numFmtId="0" fontId="3" fillId="0" borderId="0" xfId="4" applyFont="1" applyAlignment="1" applyProtection="1">
      <alignment horizontal="center"/>
    </xf>
    <xf numFmtId="171" fontId="3" fillId="0" borderId="0" xfId="13" applyNumberFormat="1" applyFont="1" applyFill="1" applyBorder="1" applyProtection="1"/>
    <xf numFmtId="0" fontId="4" fillId="0" borderId="0" xfId="4" applyFont="1" applyAlignment="1" applyProtection="1">
      <alignment horizontal="center"/>
    </xf>
    <xf numFmtId="0" fontId="4" fillId="0" borderId="0" xfId="4" applyFont="1" applyFill="1" applyBorder="1" applyAlignment="1" applyProtection="1">
      <alignment horizontal="center"/>
    </xf>
    <xf numFmtId="171" fontId="13" fillId="0" borderId="0" xfId="13" applyNumberFormat="1" applyFont="1" applyFill="1" applyBorder="1" applyAlignment="1" applyProtection="1">
      <alignment horizontal="centerContinuous"/>
    </xf>
    <xf numFmtId="185" fontId="14" fillId="0" borderId="0" xfId="2" applyNumberFormat="1" applyFont="1" applyFill="1" applyBorder="1" applyAlignment="1" applyProtection="1">
      <alignment horizontal="centerContinuous"/>
    </xf>
    <xf numFmtId="0" fontId="14" fillId="0" borderId="0" xfId="2" applyFont="1" applyFill="1" applyBorder="1" applyAlignment="1" applyProtection="1">
      <alignment horizontal="centerContinuous"/>
    </xf>
    <xf numFmtId="0" fontId="15" fillId="0" borderId="0" xfId="4" applyFont="1" applyFill="1" applyBorder="1" applyProtection="1"/>
    <xf numFmtId="186" fontId="10" fillId="0" borderId="0" xfId="13" quotePrefix="1" applyNumberFormat="1" applyFont="1" applyFill="1" applyBorder="1" applyProtection="1"/>
    <xf numFmtId="0" fontId="4" fillId="0" borderId="0" xfId="2" applyFont="1" applyFill="1" applyBorder="1" applyAlignment="1" applyProtection="1"/>
    <xf numFmtId="0" fontId="17" fillId="0" borderId="0" xfId="2" applyFont="1" applyFill="1" applyBorder="1" applyAlignment="1" applyProtection="1">
      <alignment horizontal="centerContinuous"/>
    </xf>
    <xf numFmtId="0" fontId="15" fillId="0" borderId="0" xfId="2" applyFont="1" applyProtection="1"/>
    <xf numFmtId="170" fontId="3" fillId="0" borderId="0" xfId="1" applyNumberFormat="1" applyFont="1" applyFill="1"/>
    <xf numFmtId="176" fontId="4" fillId="0" borderId="0" xfId="4" applyNumberFormat="1" applyFont="1" applyFill="1" applyBorder="1" applyProtection="1"/>
    <xf numFmtId="0" fontId="4" fillId="0" borderId="0" xfId="2" applyFont="1" applyFill="1" applyBorder="1" applyProtection="1"/>
    <xf numFmtId="187" fontId="29" fillId="0" borderId="0" xfId="2" applyNumberFormat="1" applyFont="1" applyFill="1" applyBorder="1" applyProtection="1"/>
    <xf numFmtId="186" fontId="10" fillId="0" borderId="0" xfId="2" applyNumberFormat="1" applyFont="1" applyFill="1" applyBorder="1" applyAlignment="1" applyProtection="1">
      <alignment horizontal="center"/>
    </xf>
    <xf numFmtId="186" fontId="11" fillId="0" borderId="0" xfId="2" applyNumberFormat="1" applyFont="1" applyFill="1" applyBorder="1" applyAlignment="1" applyProtection="1">
      <alignment horizontal="center"/>
    </xf>
    <xf numFmtId="0" fontId="4" fillId="0" borderId="0" xfId="2" applyFont="1" applyProtection="1"/>
    <xf numFmtId="177" fontId="25" fillId="0" borderId="0" xfId="4" applyNumberFormat="1" applyFont="1" applyFill="1" applyBorder="1" applyProtection="1"/>
    <xf numFmtId="173" fontId="3" fillId="0" borderId="0" xfId="1" applyNumberFormat="1" applyFont="1" applyBorder="1"/>
    <xf numFmtId="171" fontId="10" fillId="0" borderId="0" xfId="13" applyNumberFormat="1" applyFont="1" applyFill="1" applyBorder="1"/>
    <xf numFmtId="38" fontId="4" fillId="0" borderId="0" xfId="2" applyNumberFormat="1" applyFont="1" applyFill="1" applyBorder="1" applyAlignment="1" applyProtection="1">
      <alignment horizontal="center"/>
    </xf>
    <xf numFmtId="181" fontId="3" fillId="0" borderId="0" xfId="4" applyNumberFormat="1" applyFont="1" applyFill="1" applyBorder="1" applyProtection="1"/>
    <xf numFmtId="38" fontId="28" fillId="0" borderId="0" xfId="2" applyNumberFormat="1" applyFont="1" applyFill="1" applyBorder="1" applyAlignment="1" applyProtection="1">
      <alignment horizontal="center"/>
    </xf>
    <xf numFmtId="0" fontId="4" fillId="0" borderId="0" xfId="2" applyFont="1" applyBorder="1" applyProtection="1"/>
    <xf numFmtId="171" fontId="11" fillId="0" borderId="0" xfId="13" applyNumberFormat="1" applyFont="1" applyFill="1" applyBorder="1"/>
    <xf numFmtId="165" fontId="15" fillId="0" borderId="0" xfId="2" applyNumberFormat="1" applyFont="1" applyFill="1" applyBorder="1" applyAlignment="1" applyProtection="1">
      <alignment horizontal="center"/>
    </xf>
    <xf numFmtId="182" fontId="10" fillId="4" borderId="1" xfId="12" applyNumberFormat="1" applyFont="1" applyFill="1" applyBorder="1" applyAlignment="1">
      <alignment horizontal="right" vertical="distributed"/>
    </xf>
    <xf numFmtId="171" fontId="4" fillId="0" borderId="0" xfId="4" applyNumberFormat="1" applyFont="1" applyFill="1" applyBorder="1" applyProtection="1"/>
    <xf numFmtId="186" fontId="4" fillId="0" borderId="0" xfId="4" applyNumberFormat="1" applyFont="1" applyFill="1" applyBorder="1" applyProtection="1"/>
    <xf numFmtId="170" fontId="10" fillId="4" borderId="1" xfId="1" applyNumberFormat="1" applyFont="1" applyFill="1" applyBorder="1"/>
    <xf numFmtId="181" fontId="3" fillId="0" borderId="0" xfId="4" applyNumberFormat="1" applyFont="1" applyFill="1" applyProtection="1"/>
    <xf numFmtId="177" fontId="4" fillId="0" borderId="0" xfId="4" applyNumberFormat="1" applyFont="1" applyAlignment="1" applyProtection="1">
      <alignment horizontal="right"/>
    </xf>
    <xf numFmtId="0" fontId="24" fillId="0" borderId="0" xfId="4" applyFont="1" applyProtection="1"/>
    <xf numFmtId="177" fontId="3" fillId="0" borderId="0" xfId="7" applyNumberFormat="1" applyFont="1" applyFill="1" applyBorder="1" applyProtection="1"/>
    <xf numFmtId="0" fontId="15" fillId="0" borderId="0" xfId="2" applyFont="1" applyFill="1" applyBorder="1" applyProtection="1"/>
    <xf numFmtId="190" fontId="10" fillId="4" borderId="1" xfId="1" applyNumberFormat="1" applyFont="1" applyFill="1" applyBorder="1" applyAlignment="1">
      <alignment horizontal="right"/>
    </xf>
    <xf numFmtId="177" fontId="23" fillId="0" borderId="0" xfId="7" applyNumberFormat="1" applyFont="1" applyFill="1" applyBorder="1" applyProtection="1"/>
    <xf numFmtId="177" fontId="4" fillId="0" borderId="0" xfId="4" applyNumberFormat="1" applyFont="1" applyFill="1" applyBorder="1" applyProtection="1"/>
    <xf numFmtId="191" fontId="10" fillId="0" borderId="0" xfId="7" applyNumberFormat="1" applyFont="1" applyFill="1" applyBorder="1" applyProtection="1"/>
    <xf numFmtId="0" fontId="4" fillId="0" borderId="0" xfId="2" applyFont="1" applyAlignment="1" applyProtection="1"/>
    <xf numFmtId="0" fontId="17" fillId="0" borderId="0" xfId="2" applyFont="1" applyBorder="1" applyAlignment="1" applyProtection="1">
      <alignment horizontal="centerContinuous"/>
    </xf>
    <xf numFmtId="187" fontId="29" fillId="4" borderId="0" xfId="2" applyNumberFormat="1" applyFont="1" applyFill="1" applyBorder="1" applyProtection="1"/>
    <xf numFmtId="186" fontId="10" fillId="0" borderId="0" xfId="2" applyNumberFormat="1" applyFont="1" applyBorder="1" applyAlignment="1" applyProtection="1">
      <alignment horizontal="center"/>
    </xf>
    <xf numFmtId="171" fontId="10" fillId="0" borderId="0" xfId="4" applyNumberFormat="1" applyFont="1" applyFill="1" applyBorder="1" applyAlignment="1" applyProtection="1">
      <alignment horizontal="center"/>
    </xf>
    <xf numFmtId="0" fontId="15" fillId="0" borderId="0" xfId="2" applyFont="1" applyBorder="1" applyAlignment="1" applyProtection="1">
      <alignment horizontal="right" vertical="distributed" textRotation="90"/>
      <protection locked="0"/>
    </xf>
    <xf numFmtId="171" fontId="10" fillId="5" borderId="0" xfId="13" applyNumberFormat="1" applyFont="1" applyFill="1" applyBorder="1"/>
    <xf numFmtId="38" fontId="4" fillId="0" borderId="5" xfId="2" applyNumberFormat="1" applyFont="1" applyBorder="1" applyAlignment="1" applyProtection="1">
      <alignment horizontal="center"/>
    </xf>
    <xf numFmtId="38" fontId="4" fillId="0" borderId="0" xfId="2" applyNumberFormat="1" applyFont="1" applyBorder="1" applyAlignment="1" applyProtection="1">
      <alignment horizontal="center"/>
    </xf>
    <xf numFmtId="171" fontId="4" fillId="0" borderId="5" xfId="2" applyNumberFormat="1" applyFont="1" applyBorder="1" applyAlignment="1" applyProtection="1">
      <alignment horizontal="center"/>
    </xf>
    <xf numFmtId="171" fontId="4" fillId="0" borderId="0" xfId="2" applyNumberFormat="1" applyFont="1" applyBorder="1" applyAlignment="1" applyProtection="1">
      <alignment horizontal="center"/>
    </xf>
    <xf numFmtId="38" fontId="28" fillId="2" borderId="0" xfId="2" applyNumberFormat="1" applyFont="1" applyFill="1" applyBorder="1" applyAlignment="1" applyProtection="1">
      <alignment horizontal="center"/>
    </xf>
    <xf numFmtId="171" fontId="28" fillId="2" borderId="0" xfId="2" applyNumberFormat="1" applyFont="1" applyFill="1" applyBorder="1" applyAlignment="1" applyProtection="1">
      <alignment horizontal="center"/>
    </xf>
    <xf numFmtId="171" fontId="11" fillId="5" borderId="0" xfId="13" applyNumberFormat="1" applyFont="1" applyFill="1" applyBorder="1"/>
    <xf numFmtId="165" fontId="15" fillId="4" borderId="0" xfId="2" applyNumberFormat="1" applyFont="1" applyFill="1" applyBorder="1" applyAlignment="1" applyProtection="1">
      <alignment horizontal="center"/>
    </xf>
    <xf numFmtId="171" fontId="15" fillId="4" borderId="0" xfId="2" applyNumberFormat="1" applyFont="1" applyFill="1" applyBorder="1" applyAlignment="1" applyProtection="1">
      <alignment horizontal="center"/>
    </xf>
    <xf numFmtId="181" fontId="10" fillId="0" borderId="0" xfId="2" applyNumberFormat="1" applyFont="1" applyFill="1" applyBorder="1" applyProtection="1"/>
    <xf numFmtId="183" fontId="18" fillId="0" borderId="0" xfId="12" applyFont="1" applyFill="1" applyBorder="1" applyAlignment="1">
      <alignment horizontal="right"/>
    </xf>
    <xf numFmtId="171" fontId="3" fillId="0" borderId="6" xfId="13" applyNumberFormat="1" applyFont="1" applyFill="1" applyBorder="1" applyProtection="1"/>
    <xf numFmtId="0" fontId="15" fillId="0" borderId="6" xfId="2" applyFont="1" applyFill="1" applyBorder="1" applyProtection="1"/>
    <xf numFmtId="181" fontId="10" fillId="0" borderId="6" xfId="2" applyNumberFormat="1" applyFont="1" applyFill="1" applyBorder="1" applyProtection="1"/>
    <xf numFmtId="171" fontId="3" fillId="0" borderId="6" xfId="13" applyNumberFormat="1" applyFont="1" applyFill="1" applyBorder="1" applyAlignment="1" applyProtection="1">
      <alignment horizontal="right"/>
    </xf>
    <xf numFmtId="0" fontId="4" fillId="0" borderId="6" xfId="4" applyFont="1" applyFill="1" applyBorder="1" applyProtection="1"/>
    <xf numFmtId="183" fontId="18" fillId="0" borderId="6" xfId="12" applyFont="1" applyFill="1" applyBorder="1" applyAlignment="1">
      <alignment horizontal="right"/>
    </xf>
    <xf numFmtId="171" fontId="18" fillId="0" borderId="0" xfId="13" applyNumberFormat="1" applyFont="1" applyFill="1" applyBorder="1" applyAlignment="1" applyProtection="1">
      <alignment horizontal="right"/>
    </xf>
    <xf numFmtId="171" fontId="18" fillId="0" borderId="0" xfId="13" applyNumberFormat="1" applyFont="1" applyFill="1" applyBorder="1" applyProtection="1"/>
    <xf numFmtId="0" fontId="27" fillId="0" borderId="0" xfId="2" applyFont="1" applyFill="1" applyBorder="1" applyProtection="1"/>
    <xf numFmtId="171" fontId="3" fillId="4" borderId="7" xfId="13" applyNumberFormat="1" applyFont="1" applyFill="1" applyBorder="1" applyProtection="1"/>
    <xf numFmtId="0" fontId="15" fillId="4" borderId="8" xfId="2" applyFont="1" applyFill="1" applyBorder="1" applyProtection="1"/>
    <xf numFmtId="182" fontId="3" fillId="4" borderId="8" xfId="12" applyNumberFormat="1" applyFont="1" applyFill="1" applyBorder="1" applyAlignment="1">
      <alignment horizontal="right" vertical="distributed"/>
    </xf>
    <xf numFmtId="182" fontId="3" fillId="4" borderId="9" xfId="12" applyNumberFormat="1" applyFont="1" applyFill="1" applyBorder="1" applyAlignment="1">
      <alignment horizontal="right" vertical="distributed"/>
    </xf>
    <xf numFmtId="182" fontId="3" fillId="4" borderId="10" xfId="12" applyNumberFormat="1" applyFont="1" applyFill="1" applyBorder="1" applyAlignment="1">
      <alignment horizontal="right" vertical="distributed"/>
    </xf>
    <xf numFmtId="183" fontId="3" fillId="0" borderId="0" xfId="12" applyFont="1" applyFill="1" applyBorder="1" applyAlignment="1">
      <alignment horizontal="right"/>
    </xf>
    <xf numFmtId="171" fontId="3" fillId="4" borderId="5" xfId="13" applyNumberFormat="1" applyFont="1" applyFill="1" applyBorder="1" applyProtection="1"/>
    <xf numFmtId="0" fontId="15" fillId="4" borderId="0" xfId="2" applyFont="1" applyFill="1" applyBorder="1" applyProtection="1"/>
    <xf numFmtId="182" fontId="3" fillId="4" borderId="0" xfId="12" applyNumberFormat="1" applyFont="1" applyFill="1" applyBorder="1" applyAlignment="1">
      <alignment horizontal="right" vertical="distributed"/>
    </xf>
    <xf numFmtId="182" fontId="3" fillId="4" borderId="11" xfId="12" applyNumberFormat="1" applyFont="1" applyFill="1" applyBorder="1" applyAlignment="1">
      <alignment horizontal="right" vertical="distributed"/>
    </xf>
    <xf numFmtId="182" fontId="3" fillId="4" borderId="12" xfId="12" applyNumberFormat="1" applyFont="1" applyFill="1" applyBorder="1" applyAlignment="1">
      <alignment horizontal="right" vertical="distributed"/>
    </xf>
    <xf numFmtId="171" fontId="3" fillId="4" borderId="5" xfId="13" applyNumberFormat="1" applyFont="1" applyFill="1" applyBorder="1"/>
    <xf numFmtId="182" fontId="25" fillId="4" borderId="0" xfId="12" applyNumberFormat="1" applyFont="1" applyFill="1" applyBorder="1" applyAlignment="1">
      <alignment horizontal="right" vertical="distributed"/>
    </xf>
    <xf numFmtId="171" fontId="3" fillId="4" borderId="13" xfId="13" applyNumberFormat="1" applyFont="1" applyFill="1" applyBorder="1" applyProtection="1"/>
    <xf numFmtId="0" fontId="15" fillId="4" borderId="4" xfId="2" applyFont="1" applyFill="1" applyBorder="1" applyProtection="1"/>
    <xf numFmtId="181" fontId="10" fillId="4" borderId="4" xfId="2" applyNumberFormat="1" applyFont="1" applyFill="1" applyBorder="1" applyProtection="1"/>
    <xf numFmtId="171" fontId="3" fillId="4" borderId="4" xfId="13" applyNumberFormat="1" applyFont="1" applyFill="1" applyBorder="1" applyAlignment="1" applyProtection="1">
      <alignment horizontal="right"/>
    </xf>
    <xf numFmtId="171" fontId="3" fillId="4" borderId="4" xfId="13" applyNumberFormat="1" applyFont="1" applyFill="1" applyBorder="1" applyProtection="1"/>
    <xf numFmtId="182" fontId="3" fillId="4" borderId="14" xfId="12" applyNumberFormat="1" applyFont="1" applyFill="1" applyBorder="1" applyAlignment="1">
      <alignment horizontal="right" vertical="distributed"/>
    </xf>
    <xf numFmtId="182" fontId="3" fillId="4" borderId="4" xfId="12" applyNumberFormat="1" applyFont="1" applyFill="1" applyBorder="1" applyAlignment="1">
      <alignment horizontal="right" vertical="distributed"/>
    </xf>
    <xf numFmtId="182" fontId="3" fillId="4" borderId="15" xfId="12" applyNumberFormat="1" applyFont="1" applyFill="1" applyBorder="1" applyAlignment="1">
      <alignment horizontal="right" vertical="distributed"/>
    </xf>
    <xf numFmtId="171" fontId="30" fillId="0" borderId="0" xfId="4" applyNumberFormat="1" applyFont="1" applyProtection="1"/>
    <xf numFmtId="186" fontId="30" fillId="0" borderId="0" xfId="4" applyNumberFormat="1" applyFont="1" applyProtection="1"/>
    <xf numFmtId="0" fontId="5" fillId="0" borderId="0" xfId="4" applyFont="1" applyFill="1" applyProtection="1"/>
    <xf numFmtId="0" fontId="6" fillId="0" borderId="0" xfId="4" applyFont="1" applyFill="1" applyBorder="1" applyProtection="1"/>
    <xf numFmtId="38" fontId="4" fillId="0" borderId="7" xfId="2" applyNumberFormat="1" applyFont="1" applyBorder="1" applyAlignment="1" applyProtection="1">
      <alignment horizontal="center"/>
    </xf>
    <xf numFmtId="38" fontId="4" fillId="0" borderId="8" xfId="2" applyNumberFormat="1" applyFont="1" applyBorder="1" applyAlignment="1" applyProtection="1">
      <alignment horizontal="center"/>
    </xf>
    <xf numFmtId="40" fontId="4" fillId="0" borderId="7" xfId="2" applyNumberFormat="1" applyFont="1" applyBorder="1" applyAlignment="1" applyProtection="1">
      <alignment horizontal="center"/>
    </xf>
    <xf numFmtId="40" fontId="4" fillId="0" borderId="8" xfId="2" applyNumberFormat="1" applyFont="1" applyBorder="1" applyAlignment="1" applyProtection="1">
      <alignment horizontal="center"/>
    </xf>
    <xf numFmtId="171" fontId="4" fillId="0" borderId="7" xfId="2" applyNumberFormat="1" applyFont="1" applyBorder="1" applyAlignment="1" applyProtection="1">
      <alignment horizontal="center"/>
    </xf>
    <xf numFmtId="171" fontId="4" fillId="0" borderId="8" xfId="2" applyNumberFormat="1" applyFont="1" applyBorder="1" applyAlignment="1" applyProtection="1">
      <alignment horizontal="center"/>
    </xf>
    <xf numFmtId="40" fontId="4" fillId="0" borderId="5" xfId="2" applyNumberFormat="1" applyFont="1" applyBorder="1" applyAlignment="1" applyProtection="1">
      <alignment horizontal="center"/>
    </xf>
    <xf numFmtId="40" fontId="28" fillId="2" borderId="0" xfId="2" applyNumberFormat="1" applyFont="1" applyFill="1" applyBorder="1" applyAlignment="1" applyProtection="1">
      <alignment horizontal="center"/>
    </xf>
    <xf numFmtId="40" fontId="4" fillId="0" borderId="0" xfId="2" applyNumberFormat="1" applyFont="1" applyBorder="1" applyAlignment="1" applyProtection="1">
      <alignment horizontal="center"/>
    </xf>
    <xf numFmtId="166" fontId="15" fillId="4" borderId="0" xfId="2" applyNumberFormat="1" applyFont="1" applyFill="1" applyBorder="1" applyAlignment="1" applyProtection="1">
      <alignment horizontal="center"/>
    </xf>
    <xf numFmtId="0" fontId="4" fillId="0" borderId="0" xfId="2" applyFont="1" applyBorder="1" applyAlignment="1" applyProtection="1"/>
    <xf numFmtId="186" fontId="4" fillId="0" borderId="7" xfId="2" applyNumberFormat="1" applyFont="1" applyBorder="1" applyAlignment="1" applyProtection="1">
      <alignment horizontal="center"/>
    </xf>
    <xf numFmtId="186" fontId="4" fillId="0" borderId="8" xfId="2" applyNumberFormat="1" applyFont="1" applyBorder="1" applyAlignment="1" applyProtection="1">
      <alignment horizontal="center"/>
    </xf>
    <xf numFmtId="186" fontId="4" fillId="0" borderId="5" xfId="2" applyNumberFormat="1" applyFont="1" applyBorder="1" applyAlignment="1" applyProtection="1">
      <alignment horizontal="center"/>
    </xf>
    <xf numFmtId="186" fontId="28" fillId="2" borderId="0" xfId="2" applyNumberFormat="1" applyFont="1" applyFill="1" applyBorder="1" applyAlignment="1" applyProtection="1">
      <alignment horizontal="center"/>
    </xf>
    <xf numFmtId="186" fontId="4" fillId="0" borderId="0" xfId="2" applyNumberFormat="1" applyFont="1" applyBorder="1" applyAlignment="1" applyProtection="1">
      <alignment horizontal="center"/>
    </xf>
    <xf numFmtId="186" fontId="15" fillId="4" borderId="0" xfId="2" applyNumberFormat="1" applyFont="1" applyFill="1" applyBorder="1" applyAlignment="1" applyProtection="1">
      <alignment horizontal="center"/>
    </xf>
    <xf numFmtId="171" fontId="10" fillId="0" borderId="0" xfId="13" applyNumberFormat="1" applyFont="1" applyBorder="1"/>
    <xf numFmtId="0" fontId="10" fillId="5" borderId="0" xfId="9" applyFont="1" applyFill="1"/>
    <xf numFmtId="170" fontId="10" fillId="5" borderId="0" xfId="1" applyNumberFormat="1" applyFont="1" applyFill="1"/>
    <xf numFmtId="0" fontId="10" fillId="4" borderId="0" xfId="9" applyFont="1" applyFill="1"/>
    <xf numFmtId="0" fontId="10" fillId="0" borderId="0" xfId="9" applyFont="1" applyFill="1"/>
    <xf numFmtId="181" fontId="10" fillId="0" borderId="0" xfId="9" applyNumberFormat="1" applyFont="1" applyFill="1"/>
    <xf numFmtId="0" fontId="10" fillId="5" borderId="0" xfId="5" applyFont="1" applyFill="1" applyAlignment="1">
      <alignment horizontal="center"/>
    </xf>
    <xf numFmtId="14" fontId="17" fillId="5" borderId="0" xfId="5" applyNumberFormat="1" applyFont="1" applyFill="1" applyAlignment="1">
      <alignment horizontal="center"/>
    </xf>
    <xf numFmtId="0" fontId="3" fillId="5" borderId="0" xfId="5" applyFont="1" applyFill="1" applyAlignment="1"/>
    <xf numFmtId="179" fontId="25" fillId="3" borderId="0" xfId="1" applyNumberFormat="1" applyFont="1" applyFill="1"/>
    <xf numFmtId="193" fontId="25" fillId="3" borderId="0" xfId="1" applyNumberFormat="1" applyFont="1" applyFill="1"/>
    <xf numFmtId="194" fontId="3" fillId="5" borderId="0" xfId="5" applyNumberFormat="1" applyFont="1" applyFill="1" applyBorder="1" applyAlignment="1">
      <alignment horizontal="right"/>
    </xf>
    <xf numFmtId="177" fontId="3" fillId="5" borderId="0" xfId="5" applyNumberFormat="1" applyFont="1" applyFill="1" applyAlignment="1">
      <alignment horizontal="right"/>
    </xf>
    <xf numFmtId="180" fontId="25" fillId="3" borderId="0" xfId="1" applyNumberFormat="1" applyFont="1" applyFill="1"/>
    <xf numFmtId="194" fontId="3" fillId="5" borderId="0" xfId="5" quotePrefix="1" applyNumberFormat="1" applyFont="1" applyFill="1" applyBorder="1" applyAlignment="1">
      <alignment horizontal="right"/>
    </xf>
    <xf numFmtId="179" fontId="22" fillId="3" borderId="0" xfId="1" applyNumberFormat="1" applyFont="1" applyFill="1"/>
    <xf numFmtId="180" fontId="22" fillId="3" borderId="0" xfId="1" applyNumberFormat="1" applyFont="1" applyFill="1"/>
    <xf numFmtId="194" fontId="23" fillId="5" borderId="0" xfId="5" applyNumberFormat="1" applyFont="1" applyFill="1" applyBorder="1" applyAlignment="1">
      <alignment horizontal="right"/>
    </xf>
    <xf numFmtId="177" fontId="23" fillId="5" borderId="0" xfId="5" applyNumberFormat="1" applyFont="1" applyFill="1" applyAlignment="1">
      <alignment horizontal="right"/>
    </xf>
    <xf numFmtId="0" fontId="10" fillId="5" borderId="0" xfId="5" applyFont="1" applyFill="1"/>
    <xf numFmtId="194" fontId="10" fillId="5" borderId="0" xfId="5" applyNumberFormat="1" applyFont="1" applyFill="1"/>
    <xf numFmtId="177" fontId="10" fillId="5" borderId="0" xfId="5" applyNumberFormat="1" applyFont="1" applyFill="1"/>
    <xf numFmtId="194" fontId="10" fillId="5" borderId="0" xfId="5" applyNumberFormat="1" applyFont="1" applyFill="1" applyBorder="1"/>
    <xf numFmtId="0" fontId="3" fillId="5" borderId="0" xfId="2" applyFont="1" applyFill="1" applyProtection="1"/>
    <xf numFmtId="0" fontId="3" fillId="5" borderId="0" xfId="10" applyFont="1" applyFill="1"/>
    <xf numFmtId="194" fontId="23" fillId="5" borderId="0" xfId="2" applyNumberFormat="1" applyFont="1" applyFill="1" applyBorder="1" applyAlignment="1" applyProtection="1"/>
    <xf numFmtId="0" fontId="10" fillId="5" borderId="0" xfId="2" applyFont="1" applyFill="1" applyProtection="1"/>
    <xf numFmtId="194" fontId="23" fillId="0" borderId="0" xfId="2" applyNumberFormat="1" applyFont="1" applyFill="1" applyBorder="1" applyAlignment="1" applyProtection="1"/>
    <xf numFmtId="190" fontId="32" fillId="4" borderId="0" xfId="1" applyNumberFormat="1" applyFont="1" applyFill="1" applyBorder="1"/>
    <xf numFmtId="0" fontId="28" fillId="2" borderId="0" xfId="2" applyFont="1" applyFill="1" applyBorder="1" applyProtection="1"/>
    <xf numFmtId="0" fontId="28" fillId="2" borderId="0" xfId="2" applyFont="1" applyFill="1" applyBorder="1" applyAlignment="1" applyProtection="1">
      <alignment horizontal="center"/>
    </xf>
    <xf numFmtId="0" fontId="28" fillId="0" borderId="0" xfId="2" applyFont="1" applyFill="1" applyBorder="1" applyProtection="1"/>
    <xf numFmtId="0" fontId="21" fillId="0" borderId="0" xfId="4" applyFont="1"/>
    <xf numFmtId="0" fontId="6" fillId="2" borderId="0" xfId="2" applyFont="1" applyFill="1" applyBorder="1" applyProtection="1"/>
    <xf numFmtId="0" fontId="21" fillId="0" borderId="0" xfId="2" applyFont="1" applyProtection="1"/>
    <xf numFmtId="0" fontId="3" fillId="0" borderId="0" xfId="2" applyFont="1" applyBorder="1" applyAlignment="1" applyProtection="1">
      <alignment horizontal="center"/>
    </xf>
    <xf numFmtId="0" fontId="3" fillId="0" borderId="0" xfId="2" applyFont="1" applyAlignment="1" applyProtection="1">
      <alignment horizontal="center"/>
    </xf>
    <xf numFmtId="0" fontId="3" fillId="0" borderId="0" xfId="2" applyFont="1" applyProtection="1"/>
    <xf numFmtId="0" fontId="3" fillId="0" borderId="0" xfId="2" applyFont="1" applyFill="1" applyBorder="1" applyProtection="1"/>
    <xf numFmtId="0" fontId="8" fillId="6" borderId="0" xfId="2" applyFont="1" applyFill="1" applyProtection="1"/>
    <xf numFmtId="177" fontId="17" fillId="6" borderId="0" xfId="2" applyNumberFormat="1" applyFont="1" applyFill="1" applyBorder="1" applyAlignment="1" applyProtection="1">
      <alignment horizontal="center"/>
    </xf>
    <xf numFmtId="0" fontId="15" fillId="0" borderId="0" xfId="4" applyFont="1"/>
    <xf numFmtId="0" fontId="15" fillId="0" borderId="0" xfId="4" applyFont="1" applyFill="1" applyBorder="1" applyAlignment="1">
      <alignment horizontal="center"/>
    </xf>
    <xf numFmtId="0" fontId="15" fillId="0" borderId="0" xfId="4" applyFont="1" applyBorder="1" applyAlignment="1">
      <alignment horizontal="center"/>
    </xf>
    <xf numFmtId="189" fontId="3" fillId="0" borderId="0" xfId="1" applyNumberFormat="1" applyFont="1" applyFill="1"/>
    <xf numFmtId="177" fontId="25" fillId="0" borderId="0" xfId="4" applyNumberFormat="1" applyFont="1"/>
    <xf numFmtId="177" fontId="21" fillId="0" borderId="0" xfId="4" applyNumberFormat="1" applyFont="1"/>
    <xf numFmtId="0" fontId="33" fillId="0" borderId="0" xfId="2" applyFont="1" applyProtection="1"/>
    <xf numFmtId="177" fontId="25" fillId="0" borderId="0" xfId="4" applyNumberFormat="1" applyFont="1" applyBorder="1"/>
    <xf numFmtId="177" fontId="21" fillId="0" borderId="0" xfId="4" applyNumberFormat="1" applyFont="1" applyBorder="1"/>
    <xf numFmtId="0" fontId="21" fillId="0" borderId="0" xfId="2" applyFont="1" applyAlignment="1" applyProtection="1">
      <alignment horizontal="left"/>
    </xf>
    <xf numFmtId="189" fontId="23" fillId="0" borderId="0" xfId="1" applyNumberFormat="1" applyFont="1" applyFill="1"/>
    <xf numFmtId="181" fontId="21" fillId="0" borderId="0" xfId="4" applyNumberFormat="1" applyFont="1" applyBorder="1"/>
    <xf numFmtId="0" fontId="30" fillId="0" borderId="0" xfId="2" applyFont="1" applyAlignment="1" applyProtection="1">
      <alignment horizontal="left"/>
    </xf>
    <xf numFmtId="171" fontId="3" fillId="0" borderId="0" xfId="13" applyNumberFormat="1" applyFont="1" applyBorder="1"/>
    <xf numFmtId="177" fontId="21" fillId="0" borderId="0" xfId="4" applyNumberFormat="1" applyFont="1" applyFill="1"/>
    <xf numFmtId="181" fontId="15" fillId="0" borderId="0" xfId="4" applyNumberFormat="1" applyFont="1"/>
    <xf numFmtId="181" fontId="15" fillId="4" borderId="0" xfId="2" applyNumberFormat="1" applyFont="1" applyFill="1" applyBorder="1" applyProtection="1"/>
    <xf numFmtId="170" fontId="10" fillId="4" borderId="0" xfId="1" applyNumberFormat="1" applyFont="1" applyFill="1"/>
    <xf numFmtId="181" fontId="15" fillId="0" borderId="0" xfId="2" applyNumberFormat="1" applyFont="1" applyBorder="1" applyProtection="1"/>
    <xf numFmtId="181" fontId="15" fillId="0" borderId="0" xfId="4" applyNumberFormat="1" applyFont="1" applyBorder="1"/>
    <xf numFmtId="181" fontId="15" fillId="0" borderId="0" xfId="4" applyNumberFormat="1" applyFont="1" applyFill="1" applyBorder="1"/>
    <xf numFmtId="0" fontId="27" fillId="0" borderId="0" xfId="2" applyFont="1" applyProtection="1"/>
    <xf numFmtId="0" fontId="21" fillId="0" borderId="0" xfId="4" applyFont="1" applyFill="1"/>
    <xf numFmtId="0" fontId="21" fillId="4" borderId="7" xfId="2" applyFont="1" applyFill="1" applyBorder="1" applyAlignment="1" applyProtection="1">
      <alignment horizontal="left"/>
    </xf>
    <xf numFmtId="189" fontId="3" fillId="4" borderId="8" xfId="1" applyNumberFormat="1" applyFont="1" applyFill="1" applyBorder="1"/>
    <xf numFmtId="189" fontId="3" fillId="4" borderId="9" xfId="1" applyNumberFormat="1" applyFont="1" applyFill="1" applyBorder="1"/>
    <xf numFmtId="189" fontId="3" fillId="4" borderId="10" xfId="1" applyNumberFormat="1" applyFont="1" applyFill="1" applyBorder="1"/>
    <xf numFmtId="0" fontId="21" fillId="4" borderId="5" xfId="2" applyFont="1" applyFill="1" applyBorder="1" applyAlignment="1" applyProtection="1">
      <alignment horizontal="left"/>
    </xf>
    <xf numFmtId="189" fontId="3" fillId="4" borderId="0" xfId="1" applyNumberFormat="1" applyFont="1" applyFill="1" applyBorder="1"/>
    <xf numFmtId="189" fontId="3" fillId="4" borderId="11" xfId="1" applyNumberFormat="1" applyFont="1" applyFill="1" applyBorder="1"/>
    <xf numFmtId="189" fontId="3" fillId="4" borderId="12" xfId="1" applyNumberFormat="1" applyFont="1" applyFill="1" applyBorder="1"/>
    <xf numFmtId="171" fontId="21" fillId="4" borderId="0" xfId="4" applyNumberFormat="1" applyFont="1" applyFill="1" applyBorder="1"/>
    <xf numFmtId="0" fontId="21" fillId="4" borderId="5" xfId="4" applyFont="1" applyFill="1" applyBorder="1"/>
    <xf numFmtId="187" fontId="21" fillId="4" borderId="0" xfId="4" applyNumberFormat="1" applyFont="1" applyFill="1" applyBorder="1"/>
    <xf numFmtId="0" fontId="21" fillId="4" borderId="0" xfId="4" applyFont="1" applyFill="1" applyBorder="1"/>
    <xf numFmtId="0" fontId="21" fillId="4" borderId="11" xfId="4" applyFont="1" applyFill="1" applyBorder="1"/>
    <xf numFmtId="0" fontId="21" fillId="4" borderId="12" xfId="4" applyFont="1" applyFill="1" applyBorder="1"/>
    <xf numFmtId="0" fontId="21" fillId="4" borderId="13" xfId="2" applyFont="1" applyFill="1" applyBorder="1" applyAlignment="1" applyProtection="1">
      <alignment horizontal="left"/>
    </xf>
    <xf numFmtId="171" fontId="21" fillId="4" borderId="4" xfId="4" applyNumberFormat="1" applyFont="1" applyFill="1" applyBorder="1"/>
    <xf numFmtId="0" fontId="21" fillId="0" borderId="0" xfId="4" applyFont="1" applyAlignment="1">
      <alignment horizontal="right"/>
    </xf>
    <xf numFmtId="0" fontId="28" fillId="2" borderId="0" xfId="4" applyFont="1" applyFill="1" applyBorder="1"/>
    <xf numFmtId="0" fontId="4" fillId="0" borderId="0" xfId="4" applyFont="1" applyFill="1"/>
    <xf numFmtId="0" fontId="4" fillId="0" borderId="0" xfId="4" applyFont="1"/>
    <xf numFmtId="0" fontId="4" fillId="0" borderId="0" xfId="4" applyFont="1" applyFill="1" applyBorder="1"/>
    <xf numFmtId="0" fontId="28" fillId="2" borderId="0" xfId="4" applyFont="1" applyFill="1" applyBorder="1" applyProtection="1"/>
    <xf numFmtId="0" fontId="28" fillId="0" borderId="0" xfId="4" applyFont="1" applyFill="1" applyBorder="1" applyProtection="1"/>
    <xf numFmtId="0" fontId="27" fillId="0" borderId="0" xfId="4" applyFont="1" applyBorder="1"/>
    <xf numFmtId="0" fontId="21" fillId="0" borderId="0" xfId="4" applyFont="1" applyBorder="1"/>
    <xf numFmtId="0" fontId="34" fillId="0" borderId="0" xfId="4" applyFont="1" applyBorder="1" applyAlignment="1"/>
    <xf numFmtId="0" fontId="34" fillId="0" borderId="0" xfId="4" applyFont="1" applyBorder="1" applyAlignment="1">
      <alignment horizontal="center"/>
    </xf>
    <xf numFmtId="0" fontId="3" fillId="0" borderId="0" xfId="2" applyFont="1" applyFill="1" applyBorder="1" applyAlignment="1" applyProtection="1">
      <alignment vertical="top"/>
    </xf>
    <xf numFmtId="182" fontId="3" fillId="0" borderId="0" xfId="12" applyNumberFormat="1" applyFont="1" applyBorder="1" applyAlignment="1">
      <alignment horizontal="right" vertical="distributed"/>
    </xf>
    <xf numFmtId="0" fontId="21" fillId="0" borderId="0" xfId="2" applyFont="1" applyFill="1" applyBorder="1" applyProtection="1"/>
    <xf numFmtId="195" fontId="3" fillId="0" borderId="0" xfId="1" applyNumberFormat="1" applyFont="1" applyFill="1"/>
    <xf numFmtId="196" fontId="3" fillId="0" borderId="0" xfId="6" applyNumberFormat="1" applyFont="1" applyFill="1"/>
    <xf numFmtId="0" fontId="15" fillId="0" borderId="0" xfId="4" applyFont="1" applyBorder="1"/>
    <xf numFmtId="0" fontId="15" fillId="4" borderId="0" xfId="4" applyFont="1" applyFill="1"/>
    <xf numFmtId="195" fontId="10" fillId="4" borderId="0" xfId="1" applyNumberFormat="1" applyFont="1" applyFill="1"/>
    <xf numFmtId="0" fontId="21" fillId="4" borderId="0" xfId="4" applyFont="1" applyFill="1"/>
    <xf numFmtId="182" fontId="10" fillId="4" borderId="0" xfId="12" applyNumberFormat="1" applyFont="1" applyFill="1" applyBorder="1" applyAlignment="1">
      <alignment horizontal="right" vertical="distributed"/>
    </xf>
    <xf numFmtId="0" fontId="15" fillId="0" borderId="0" xfId="4" applyFont="1" applyAlignment="1">
      <alignment horizontal="center"/>
    </xf>
    <xf numFmtId="0" fontId="15" fillId="0" borderId="0" xfId="4" applyFont="1" applyFill="1" applyBorder="1"/>
    <xf numFmtId="195" fontId="10" fillId="4" borderId="1" xfId="1" applyNumberFormat="1" applyFont="1" applyFill="1" applyBorder="1"/>
    <xf numFmtId="40" fontId="21" fillId="0" borderId="0" xfId="4" applyNumberFormat="1" applyFont="1" applyFill="1" applyBorder="1"/>
    <xf numFmtId="171" fontId="21" fillId="0" borderId="0" xfId="4" applyNumberFormat="1" applyFont="1" applyFill="1" applyBorder="1"/>
    <xf numFmtId="198" fontId="10" fillId="0" borderId="0" xfId="4" applyNumberFormat="1" applyFont="1" applyFill="1" applyBorder="1"/>
    <xf numFmtId="171" fontId="10" fillId="5" borderId="4" xfId="2" applyNumberFormat="1" applyFont="1" applyFill="1" applyBorder="1" applyAlignment="1" applyProtection="1">
      <alignment horizontal="center"/>
    </xf>
    <xf numFmtId="171" fontId="11" fillId="5" borderId="4" xfId="2" applyNumberFormat="1" applyFont="1" applyFill="1" applyBorder="1" applyAlignment="1" applyProtection="1">
      <alignment horizontal="center"/>
    </xf>
    <xf numFmtId="0" fontId="23" fillId="0" borderId="0" xfId="2" applyFont="1" applyBorder="1" applyAlignment="1" applyProtection="1">
      <alignment horizontal="centerContinuous"/>
    </xf>
    <xf numFmtId="171" fontId="3" fillId="0" borderId="0" xfId="13" applyNumberFormat="1" applyFont="1" applyFill="1" applyBorder="1"/>
    <xf numFmtId="199" fontId="10" fillId="0" borderId="0" xfId="2" applyNumberFormat="1" applyFont="1" applyBorder="1" applyAlignment="1" applyProtection="1">
      <alignment horizontal="center"/>
    </xf>
    <xf numFmtId="171" fontId="18" fillId="0" borderId="0" xfId="2" applyNumberFormat="1" applyFont="1" applyBorder="1" applyProtection="1"/>
    <xf numFmtId="0" fontId="10" fillId="0" borderId="0" xfId="2" applyFont="1" applyBorder="1" applyProtection="1"/>
    <xf numFmtId="0" fontId="3" fillId="0" borderId="0" xfId="2" applyFont="1" applyBorder="1" applyProtection="1"/>
    <xf numFmtId="182" fontId="3" fillId="0" borderId="16" xfId="12" applyNumberFormat="1" applyFont="1" applyFill="1" applyBorder="1" applyAlignment="1">
      <alignment horizontal="right" vertical="distributed"/>
    </xf>
    <xf numFmtId="173" fontId="3" fillId="0" borderId="16" xfId="1" applyNumberFormat="1" applyFont="1" applyFill="1" applyBorder="1"/>
    <xf numFmtId="182" fontId="25" fillId="4" borderId="5" xfId="12" applyNumberFormat="1" applyFont="1" applyFill="1" applyBorder="1" applyAlignment="1">
      <alignment horizontal="right" vertical="distributed"/>
    </xf>
    <xf numFmtId="173" fontId="3" fillId="4" borderId="0" xfId="1" applyNumberFormat="1" applyFont="1" applyFill="1" applyBorder="1"/>
    <xf numFmtId="173" fontId="3" fillId="4" borderId="12" xfId="1" applyNumberFormat="1" applyFont="1" applyFill="1" applyBorder="1"/>
    <xf numFmtId="182" fontId="25" fillId="4" borderId="13" xfId="12" applyNumberFormat="1" applyFont="1" applyFill="1" applyBorder="1" applyAlignment="1">
      <alignment horizontal="right" vertical="distributed"/>
    </xf>
    <xf numFmtId="173" fontId="3" fillId="4" borderId="4" xfId="1" applyNumberFormat="1" applyFont="1" applyFill="1" applyBorder="1"/>
    <xf numFmtId="173" fontId="3" fillId="4" borderId="15" xfId="1" applyNumberFormat="1" applyFont="1" applyFill="1" applyBorder="1"/>
    <xf numFmtId="171" fontId="3" fillId="0" borderId="16" xfId="2" applyNumberFormat="1" applyFont="1" applyBorder="1" applyProtection="1"/>
    <xf numFmtId="182" fontId="25" fillId="4" borderId="4" xfId="12" applyNumberFormat="1" applyFont="1" applyFill="1" applyBorder="1" applyAlignment="1">
      <alignment horizontal="right" vertical="distributed"/>
    </xf>
    <xf numFmtId="171" fontId="3" fillId="0" borderId="0" xfId="2" applyNumberFormat="1" applyFont="1" applyBorder="1" applyProtection="1"/>
    <xf numFmtId="0" fontId="3" fillId="0" borderId="0" xfId="8" applyFont="1" applyBorder="1"/>
    <xf numFmtId="171" fontId="18" fillId="0" borderId="0" xfId="1" applyNumberFormat="1" applyFont="1" applyBorder="1"/>
    <xf numFmtId="0" fontId="17" fillId="0" borderId="0" xfId="1" applyFont="1" applyBorder="1" applyAlignment="1">
      <alignment horizontal="centerContinuous"/>
    </xf>
    <xf numFmtId="0" fontId="23" fillId="0" borderId="0" xfId="1" applyFont="1" applyBorder="1" applyAlignment="1">
      <alignment horizontal="centerContinuous"/>
    </xf>
    <xf numFmtId="199" fontId="10" fillId="0" borderId="0" xfId="1" applyNumberFormat="1" applyFont="1" applyBorder="1" applyAlignment="1">
      <alignment horizontal="center"/>
    </xf>
    <xf numFmtId="0" fontId="17" fillId="0" borderId="0" xfId="1" quotePrefix="1" applyFont="1" applyBorder="1" applyAlignment="1">
      <alignment horizontal="center"/>
    </xf>
    <xf numFmtId="0" fontId="16" fillId="0" borderId="0" xfId="1" applyFont="1" applyBorder="1"/>
    <xf numFmtId="0" fontId="3" fillId="0" borderId="0" xfId="1" applyFont="1" applyBorder="1"/>
    <xf numFmtId="189" fontId="25" fillId="4" borderId="7" xfId="1" applyNumberFormat="1" applyFont="1" applyFill="1" applyBorder="1"/>
    <xf numFmtId="189" fontId="25" fillId="4" borderId="8" xfId="1" applyNumberFormat="1" applyFont="1" applyFill="1" applyBorder="1"/>
    <xf numFmtId="189" fontId="25" fillId="4" borderId="5" xfId="1" applyNumberFormat="1" applyFont="1" applyFill="1" applyBorder="1"/>
    <xf numFmtId="189" fontId="25" fillId="4" borderId="0" xfId="1" applyNumberFormat="1" applyFont="1" applyFill="1" applyBorder="1"/>
    <xf numFmtId="189" fontId="25" fillId="4" borderId="13" xfId="1" applyNumberFormat="1" applyFont="1" applyFill="1" applyBorder="1"/>
    <xf numFmtId="189" fontId="25" fillId="4" borderId="4" xfId="1" applyNumberFormat="1" applyFont="1" applyFill="1" applyBorder="1"/>
    <xf numFmtId="189" fontId="3" fillId="4" borderId="4" xfId="1" applyNumberFormat="1" applyFont="1" applyFill="1" applyBorder="1"/>
    <xf numFmtId="189" fontId="3" fillId="4" borderId="15" xfId="1" applyNumberFormat="1" applyFont="1" applyFill="1" applyBorder="1"/>
    <xf numFmtId="189" fontId="18" fillId="0" borderId="0" xfId="1" applyNumberFormat="1" applyFont="1" applyBorder="1"/>
    <xf numFmtId="189" fontId="3" fillId="0" borderId="16" xfId="1" applyNumberFormat="1" applyFont="1" applyBorder="1"/>
    <xf numFmtId="173" fontId="18" fillId="0" borderId="0" xfId="1" applyNumberFormat="1" applyFont="1" applyBorder="1"/>
    <xf numFmtId="182" fontId="25" fillId="3" borderId="0" xfId="12" applyNumberFormat="1" applyFont="1" applyFill="1" applyBorder="1" applyAlignment="1">
      <alignment horizontal="right" vertical="distributed"/>
    </xf>
    <xf numFmtId="177" fontId="25" fillId="3" borderId="0" xfId="4" applyNumberFormat="1" applyFont="1" applyFill="1" applyBorder="1" applyProtection="1"/>
    <xf numFmtId="189" fontId="25" fillId="3" borderId="0" xfId="1" applyNumberFormat="1" applyFont="1" applyFill="1"/>
    <xf numFmtId="189" fontId="22" fillId="3" borderId="0" xfId="1" applyNumberFormat="1" applyFont="1" applyFill="1"/>
    <xf numFmtId="195" fontId="25" fillId="3" borderId="0" xfId="1" applyNumberFormat="1" applyFont="1" applyFill="1"/>
    <xf numFmtId="170" fontId="25" fillId="3" borderId="0" xfId="1" applyNumberFormat="1" applyFont="1" applyFill="1"/>
    <xf numFmtId="197" fontId="25" fillId="3" borderId="0" xfId="12" applyNumberFormat="1" applyFont="1" applyFill="1" applyBorder="1" applyAlignment="1">
      <alignment horizontal="right" vertical="distributed"/>
    </xf>
    <xf numFmtId="0" fontId="25" fillId="3" borderId="0" xfId="2" applyFont="1" applyFill="1" applyBorder="1" applyProtection="1"/>
    <xf numFmtId="177" fontId="22" fillId="3" borderId="0" xfId="4" applyNumberFormat="1" applyFont="1" applyFill="1" applyBorder="1" applyProtection="1"/>
    <xf numFmtId="177" fontId="3" fillId="5" borderId="0" xfId="4" applyNumberFormat="1" applyFont="1" applyFill="1" applyBorder="1" applyProtection="1"/>
    <xf numFmtId="177" fontId="23" fillId="5" borderId="0" xfId="4" applyNumberFormat="1" applyFont="1" applyFill="1" applyBorder="1" applyProtection="1"/>
    <xf numFmtId="0" fontId="40" fillId="2" borderId="0" xfId="4" applyFont="1" applyFill="1" applyBorder="1" applyProtection="1"/>
    <xf numFmtId="0" fontId="7" fillId="0" borderId="0" xfId="4" applyFont="1" applyFill="1" applyBorder="1" applyProtection="1"/>
    <xf numFmtId="0" fontId="42" fillId="2" borderId="0" xfId="4" applyFont="1" applyFill="1" applyBorder="1" applyProtection="1"/>
    <xf numFmtId="0" fontId="43" fillId="0" borderId="0" xfId="4" applyFont="1" applyFill="1" applyBorder="1" applyProtection="1"/>
    <xf numFmtId="0" fontId="42" fillId="0" borderId="0" xfId="4" applyFont="1" applyFill="1" applyBorder="1" applyProtection="1"/>
    <xf numFmtId="0" fontId="5" fillId="0" borderId="0" xfId="4" applyFont="1" applyBorder="1" applyProtection="1"/>
    <xf numFmtId="0" fontId="3" fillId="5" borderId="0" xfId="9" applyFont="1" applyFill="1"/>
    <xf numFmtId="0" fontId="3" fillId="4" borderId="0" xfId="9" applyFont="1" applyFill="1"/>
    <xf numFmtId="0" fontId="3" fillId="0" borderId="0" xfId="9" applyFont="1" applyFill="1"/>
    <xf numFmtId="0" fontId="10" fillId="0" borderId="0" xfId="1" applyFont="1"/>
    <xf numFmtId="0" fontId="10" fillId="0" borderId="0" xfId="1" applyFont="1" applyBorder="1"/>
    <xf numFmtId="0" fontId="10" fillId="0" borderId="4" xfId="1" applyFont="1" applyBorder="1"/>
    <xf numFmtId="0" fontId="10" fillId="0" borderId="0" xfId="1" applyFont="1" applyFill="1"/>
    <xf numFmtId="187" fontId="3" fillId="0" borderId="0" xfId="2" applyNumberFormat="1" applyFont="1" applyBorder="1" applyProtection="1"/>
    <xf numFmtId="0" fontId="3" fillId="0" borderId="12" xfId="2" applyFont="1" applyBorder="1" applyProtection="1"/>
    <xf numFmtId="0" fontId="43" fillId="2" borderId="0" xfId="4" applyFont="1" applyFill="1" applyBorder="1"/>
    <xf numFmtId="0" fontId="42" fillId="2" borderId="0" xfId="4" applyFont="1" applyFill="1" applyBorder="1"/>
    <xf numFmtId="171" fontId="3" fillId="0" borderId="0" xfId="2" applyNumberFormat="1" applyFont="1" applyProtection="1"/>
    <xf numFmtId="196" fontId="25" fillId="0" borderId="0" xfId="6" applyNumberFormat="1" applyFont="1" applyFill="1"/>
    <xf numFmtId="187" fontId="25" fillId="0" borderId="0" xfId="6" applyNumberFormat="1" applyFont="1" applyFill="1"/>
    <xf numFmtId="171" fontId="25" fillId="0" borderId="0" xfId="6" applyNumberFormat="1" applyFont="1" applyFill="1"/>
    <xf numFmtId="0" fontId="3" fillId="0" borderId="4" xfId="2" applyFont="1" applyBorder="1" applyProtection="1"/>
    <xf numFmtId="0" fontId="3" fillId="0" borderId="0" xfId="2" applyFont="1" applyFill="1" applyProtection="1"/>
    <xf numFmtId="0" fontId="43" fillId="2" borderId="0" xfId="2" applyFont="1" applyFill="1" applyBorder="1" applyProtection="1"/>
    <xf numFmtId="0" fontId="42" fillId="2" borderId="0" xfId="2" applyFont="1" applyFill="1" applyBorder="1" applyProtection="1"/>
    <xf numFmtId="0" fontId="44" fillId="2" borderId="0" xfId="2" applyFont="1" applyFill="1" applyBorder="1" applyProtection="1"/>
    <xf numFmtId="0" fontId="17" fillId="0" borderId="11" xfId="4" applyFont="1" applyBorder="1" applyAlignment="1" applyProtection="1">
      <alignment horizontal="center"/>
    </xf>
    <xf numFmtId="0" fontId="15" fillId="0" borderId="11" xfId="4" applyFont="1" applyBorder="1" applyAlignment="1">
      <alignment horizontal="center"/>
    </xf>
    <xf numFmtId="170" fontId="3" fillId="0" borderId="11" xfId="1" applyNumberFormat="1" applyFont="1" applyFill="1" applyBorder="1"/>
    <xf numFmtId="189" fontId="3" fillId="0" borderId="11" xfId="1" applyNumberFormat="1" applyFont="1" applyFill="1" applyBorder="1"/>
    <xf numFmtId="177" fontId="21" fillId="0" borderId="11" xfId="4" applyNumberFormat="1" applyFont="1" applyBorder="1"/>
    <xf numFmtId="189" fontId="23" fillId="0" borderId="11" xfId="1" applyNumberFormat="1" applyFont="1" applyFill="1" applyBorder="1"/>
    <xf numFmtId="170" fontId="10" fillId="0" borderId="11" xfId="1" applyNumberFormat="1" applyFont="1" applyFill="1" applyBorder="1"/>
    <xf numFmtId="181" fontId="21" fillId="0" borderId="11" xfId="4" applyNumberFormat="1" applyFont="1" applyBorder="1"/>
    <xf numFmtId="173" fontId="18" fillId="0" borderId="11" xfId="1" applyNumberFormat="1" applyFont="1" applyFill="1" applyBorder="1" applyAlignment="1">
      <alignment horizontal="right"/>
    </xf>
    <xf numFmtId="177" fontId="21" fillId="0" borderId="11" xfId="4" applyNumberFormat="1" applyFont="1" applyFill="1" applyBorder="1"/>
    <xf numFmtId="170" fontId="10" fillId="4" borderId="11" xfId="1" applyNumberFormat="1" applyFont="1" applyFill="1" applyBorder="1"/>
    <xf numFmtId="181" fontId="15" fillId="0" borderId="11" xfId="4" applyNumberFormat="1" applyFont="1" applyFill="1" applyBorder="1"/>
    <xf numFmtId="0" fontId="21" fillId="0" borderId="11" xfId="4" applyFont="1" applyFill="1" applyBorder="1"/>
    <xf numFmtId="0" fontId="45" fillId="0" borderId="0" xfId="4" applyFont="1" applyProtection="1"/>
    <xf numFmtId="177" fontId="25" fillId="0" borderId="0" xfId="4" applyNumberFormat="1" applyFont="1" applyFill="1"/>
    <xf numFmtId="189" fontId="25" fillId="0" borderId="0" xfId="1" applyNumberFormat="1" applyFont="1" applyFill="1"/>
    <xf numFmtId="189" fontId="22" fillId="0" borderId="0" xfId="1" applyNumberFormat="1" applyFont="1" applyFill="1"/>
    <xf numFmtId="177" fontId="3" fillId="0" borderId="0" xfId="4" applyNumberFormat="1" applyFont="1" applyFill="1" applyBorder="1"/>
    <xf numFmtId="181" fontId="3" fillId="0" borderId="0" xfId="4" applyNumberFormat="1" applyFont="1" applyFill="1" applyBorder="1"/>
    <xf numFmtId="0" fontId="46" fillId="3" borderId="0" xfId="4" applyFont="1" applyFill="1" applyBorder="1" applyAlignment="1" applyProtection="1">
      <alignment horizontal="center"/>
    </xf>
    <xf numFmtId="187" fontId="29" fillId="4" borderId="0" xfId="2" applyNumberFormat="1" applyFont="1" applyFill="1" applyBorder="1" applyAlignment="1" applyProtection="1">
      <alignment horizontal="right"/>
    </xf>
    <xf numFmtId="0" fontId="12" fillId="0" borderId="0" xfId="4" applyFont="1" applyBorder="1" applyProtection="1"/>
    <xf numFmtId="200" fontId="15" fillId="7" borderId="0" xfId="15" applyNumberFormat="1" applyFont="1" applyFill="1" applyBorder="1" applyAlignment="1" applyProtection="1">
      <alignment horizontal="right"/>
    </xf>
    <xf numFmtId="200" fontId="21" fillId="7" borderId="0" xfId="16" applyNumberFormat="1" applyFont="1" applyFill="1" applyBorder="1" applyAlignment="1" applyProtection="1">
      <alignment horizontal="right"/>
    </xf>
    <xf numFmtId="2" fontId="48" fillId="0" borderId="0" xfId="0" applyNumberFormat="1" applyFont="1" applyProtection="1"/>
    <xf numFmtId="2" fontId="24" fillId="0" borderId="0" xfId="4" applyNumberFormat="1" applyFont="1" applyFill="1" applyBorder="1" applyAlignment="1" applyProtection="1">
      <alignment horizontal="center"/>
    </xf>
    <xf numFmtId="201" fontId="4" fillId="0" borderId="0" xfId="4" applyNumberFormat="1" applyFont="1" applyFill="1" applyBorder="1" applyProtection="1"/>
    <xf numFmtId="201" fontId="4" fillId="0" borderId="0" xfId="4" applyNumberFormat="1" applyFont="1" applyProtection="1"/>
    <xf numFmtId="164" fontId="4" fillId="0" borderId="0" xfId="14" applyFont="1" applyProtection="1"/>
    <xf numFmtId="201" fontId="21" fillId="0" borderId="0" xfId="4" applyNumberFormat="1" applyFont="1"/>
    <xf numFmtId="0" fontId="40" fillId="8" borderId="0" xfId="4" applyFont="1" applyFill="1" applyBorder="1" applyProtection="1"/>
    <xf numFmtId="0" fontId="41" fillId="8" borderId="0" xfId="2" applyFont="1" applyFill="1" applyBorder="1" applyProtection="1"/>
    <xf numFmtId="0" fontId="7" fillId="8" borderId="0" xfId="4" applyFont="1" applyFill="1" applyBorder="1" applyProtection="1"/>
    <xf numFmtId="0" fontId="42" fillId="8" borderId="0" xfId="4" applyFont="1" applyFill="1" applyBorder="1" applyProtection="1"/>
    <xf numFmtId="0" fontId="6" fillId="8" borderId="0" xfId="4" applyFont="1" applyFill="1" applyBorder="1" applyProtection="1"/>
    <xf numFmtId="0" fontId="8" fillId="8" borderId="0" xfId="1" applyFont="1" applyFill="1" applyBorder="1"/>
    <xf numFmtId="0" fontId="8" fillId="8" borderId="0" xfId="1" applyFont="1" applyFill="1" applyBorder="1" applyAlignment="1">
      <alignment horizontal="right"/>
    </xf>
    <xf numFmtId="0" fontId="13" fillId="8" borderId="0" xfId="2" applyFont="1" applyFill="1" applyAlignment="1" applyProtection="1">
      <alignment horizontal="centerContinuous"/>
    </xf>
    <xf numFmtId="0" fontId="14" fillId="8" borderId="0" xfId="2" applyFont="1" applyFill="1" applyAlignment="1" applyProtection="1">
      <alignment horizontal="centerContinuous"/>
    </xf>
    <xf numFmtId="0" fontId="13" fillId="8" borderId="0" xfId="4" applyFont="1" applyFill="1" applyBorder="1" applyAlignment="1" applyProtection="1">
      <alignment horizontal="centerContinuous"/>
    </xf>
    <xf numFmtId="0" fontId="14" fillId="8" borderId="0" xfId="4" applyFont="1" applyFill="1" applyBorder="1" applyAlignment="1" applyProtection="1">
      <alignment horizontal="centerContinuous"/>
    </xf>
    <xf numFmtId="0" fontId="28" fillId="8" borderId="0" xfId="4" applyFont="1" applyFill="1" applyAlignment="1" applyProtection="1">
      <alignment horizontal="centerContinuous"/>
    </xf>
    <xf numFmtId="176" fontId="8" fillId="8" borderId="0" xfId="4" applyNumberFormat="1" applyFont="1" applyFill="1" applyBorder="1" applyAlignment="1" applyProtection="1">
      <alignment horizontal="centerContinuous"/>
    </xf>
    <xf numFmtId="171" fontId="13" fillId="8" borderId="0" xfId="13" applyNumberFormat="1" applyFont="1" applyFill="1" applyBorder="1" applyAlignment="1" applyProtection="1">
      <alignment horizontal="centerContinuous"/>
    </xf>
    <xf numFmtId="185" fontId="14" fillId="8" borderId="0" xfId="2" applyNumberFormat="1" applyFont="1" applyFill="1" applyBorder="1" applyAlignment="1" applyProtection="1">
      <alignment horizontal="centerContinuous"/>
    </xf>
    <xf numFmtId="171" fontId="10" fillId="9" borderId="0" xfId="13" applyNumberFormat="1" applyFont="1" applyFill="1" applyBorder="1"/>
    <xf numFmtId="171" fontId="11" fillId="9" borderId="0" xfId="13" applyNumberFormat="1" applyFont="1" applyFill="1" applyBorder="1"/>
    <xf numFmtId="186" fontId="10" fillId="9" borderId="4" xfId="2" applyNumberFormat="1" applyFont="1" applyFill="1" applyBorder="1" applyAlignment="1" applyProtection="1">
      <alignment horizontal="center"/>
    </xf>
    <xf numFmtId="186" fontId="11" fillId="9" borderId="4" xfId="2" applyNumberFormat="1" applyFont="1" applyFill="1" applyBorder="1" applyAlignment="1" applyProtection="1">
      <alignment horizontal="center"/>
    </xf>
    <xf numFmtId="187" fontId="29" fillId="10" borderId="0" xfId="2" applyNumberFormat="1" applyFont="1" applyFill="1" applyBorder="1" applyProtection="1"/>
    <xf numFmtId="0" fontId="10" fillId="10" borderId="0" xfId="4" applyFont="1" applyFill="1" applyBorder="1" applyProtection="1"/>
    <xf numFmtId="0" fontId="4" fillId="10" borderId="0" xfId="4" applyFont="1" applyFill="1" applyBorder="1" applyProtection="1"/>
    <xf numFmtId="181" fontId="27" fillId="10" borderId="0" xfId="4" applyNumberFormat="1" applyFont="1" applyFill="1" applyBorder="1" applyProtection="1"/>
    <xf numFmtId="176" fontId="4" fillId="10" borderId="0" xfId="4" applyNumberFormat="1" applyFont="1" applyFill="1" applyBorder="1" applyProtection="1"/>
    <xf numFmtId="0" fontId="4" fillId="10" borderId="0" xfId="4" applyFont="1" applyFill="1" applyBorder="1" applyAlignment="1" applyProtection="1">
      <alignment horizontal="center"/>
    </xf>
    <xf numFmtId="170" fontId="10" fillId="10" borderId="0" xfId="1" applyNumberFormat="1" applyFont="1" applyFill="1" applyBorder="1"/>
    <xf numFmtId="182" fontId="10" fillId="10" borderId="1" xfId="12" applyNumberFormat="1" applyFont="1" applyFill="1" applyBorder="1" applyAlignment="1">
      <alignment horizontal="right" vertical="distributed"/>
    </xf>
    <xf numFmtId="188" fontId="10" fillId="10" borderId="1" xfId="12" applyNumberFormat="1" applyFont="1" applyFill="1" applyBorder="1" applyAlignment="1">
      <alignment horizontal="right" vertical="distributed"/>
    </xf>
    <xf numFmtId="0" fontId="14" fillId="8" borderId="0" xfId="2" applyFont="1" applyFill="1" applyBorder="1" applyAlignment="1" applyProtection="1">
      <alignment horizontal="centerContinuous"/>
    </xf>
    <xf numFmtId="186" fontId="10" fillId="9" borderId="0" xfId="2" applyNumberFormat="1" applyFont="1" applyFill="1" applyBorder="1" applyAlignment="1" applyProtection="1">
      <alignment horizontal="center"/>
    </xf>
    <xf numFmtId="186" fontId="11" fillId="9" borderId="0" xfId="2" applyNumberFormat="1" applyFont="1" applyFill="1" applyBorder="1" applyAlignment="1" applyProtection="1">
      <alignment horizontal="center"/>
    </xf>
    <xf numFmtId="38" fontId="28" fillId="8" borderId="0" xfId="2" applyNumberFormat="1" applyFont="1" applyFill="1" applyBorder="1" applyAlignment="1" applyProtection="1">
      <alignment horizontal="center"/>
    </xf>
    <xf numFmtId="171" fontId="28" fillId="8" borderId="0" xfId="2" applyNumberFormat="1" applyFont="1" applyFill="1" applyBorder="1" applyAlignment="1" applyProtection="1">
      <alignment horizontal="center"/>
    </xf>
    <xf numFmtId="202" fontId="21" fillId="0" borderId="0" xfId="4" applyNumberFormat="1" applyFont="1"/>
    <xf numFmtId="204" fontId="21" fillId="0" borderId="0" xfId="4" applyNumberFormat="1" applyFont="1"/>
    <xf numFmtId="203" fontId="4" fillId="0" borderId="0" xfId="4" applyNumberFormat="1" applyFont="1" applyProtection="1"/>
    <xf numFmtId="0" fontId="52" fillId="0" borderId="0" xfId="17" applyFont="1"/>
    <xf numFmtId="0" fontId="52" fillId="0" borderId="0" xfId="0" applyFont="1" applyProtection="1"/>
    <xf numFmtId="0" fontId="53" fillId="0" borderId="0" xfId="17" applyNumberFormat="1" applyFont="1" applyBorder="1" applyAlignment="1"/>
    <xf numFmtId="0" fontId="54" fillId="0" borderId="0" xfId="17" applyNumberFormat="1" applyFont="1" applyBorder="1" applyAlignment="1"/>
    <xf numFmtId="0" fontId="52" fillId="0" borderId="0" xfId="17" applyNumberFormat="1" applyFont="1" applyBorder="1" applyAlignment="1"/>
    <xf numFmtId="0" fontId="52" fillId="0" borderId="0" xfId="17" applyFont="1" applyBorder="1"/>
    <xf numFmtId="1" fontId="52" fillId="0" borderId="0" xfId="17" applyNumberFormat="1" applyFont="1"/>
    <xf numFmtId="0" fontId="44" fillId="11" borderId="0" xfId="18" applyFont="1" applyFill="1" applyBorder="1" applyAlignment="1">
      <alignment horizontal="left"/>
    </xf>
    <xf numFmtId="0" fontId="44" fillId="11" borderId="0" xfId="17" applyFont="1" applyFill="1" applyBorder="1"/>
    <xf numFmtId="0" fontId="55" fillId="11" borderId="0" xfId="17" applyFont="1" applyFill="1" applyBorder="1" applyAlignment="1">
      <alignment horizontal="centerContinuous"/>
    </xf>
    <xf numFmtId="0" fontId="56" fillId="11" borderId="0" xfId="17" applyFont="1" applyFill="1" applyBorder="1" applyAlignment="1">
      <alignment horizontal="centerContinuous"/>
    </xf>
    <xf numFmtId="0" fontId="57" fillId="11" borderId="0" xfId="17" applyFont="1" applyFill="1" applyBorder="1"/>
    <xf numFmtId="0" fontId="44" fillId="11" borderId="0" xfId="17" applyFont="1" applyFill="1" applyBorder="1" applyAlignment="1">
      <alignment horizontal="center"/>
    </xf>
    <xf numFmtId="0" fontId="57" fillId="11" borderId="0" xfId="17" applyFont="1" applyFill="1" applyBorder="1" applyAlignment="1">
      <alignment horizontal="centerContinuous"/>
    </xf>
    <xf numFmtId="0" fontId="44" fillId="11" borderId="4" xfId="17" applyFont="1" applyFill="1" applyBorder="1"/>
    <xf numFmtId="0" fontId="44" fillId="11" borderId="4" xfId="17" applyFont="1" applyFill="1" applyBorder="1" applyAlignment="1">
      <alignment horizontal="center"/>
    </xf>
    <xf numFmtId="205" fontId="58" fillId="12" borderId="4" xfId="0" applyNumberFormat="1" applyFont="1" applyFill="1" applyBorder="1" applyAlignment="1" applyProtection="1">
      <alignment horizontal="center"/>
    </xf>
    <xf numFmtId="14" fontId="44" fillId="11" borderId="4" xfId="17" applyNumberFormat="1" applyFont="1" applyFill="1" applyBorder="1" applyAlignment="1">
      <alignment horizontal="center"/>
    </xf>
    <xf numFmtId="177" fontId="59" fillId="0" borderId="0" xfId="17" applyNumberFormat="1" applyFont="1"/>
    <xf numFmtId="204" fontId="52" fillId="0" borderId="0" xfId="0" applyNumberFormat="1" applyFont="1" applyAlignment="1" applyProtection="1">
      <alignment horizontal="center"/>
    </xf>
    <xf numFmtId="191" fontId="59" fillId="0" borderId="0" xfId="17" applyNumberFormat="1" applyFont="1"/>
    <xf numFmtId="206" fontId="52" fillId="0" borderId="0" xfId="17" applyNumberFormat="1" applyFont="1"/>
    <xf numFmtId="0" fontId="52" fillId="0" borderId="7" xfId="17" applyFont="1" applyFill="1" applyBorder="1"/>
    <xf numFmtId="0" fontId="52" fillId="0" borderId="8" xfId="17" applyFont="1" applyFill="1" applyBorder="1"/>
    <xf numFmtId="207" fontId="52" fillId="0" borderId="8" xfId="17" applyNumberFormat="1" applyFont="1" applyFill="1" applyBorder="1"/>
    <xf numFmtId="206" fontId="52" fillId="0" borderId="8" xfId="17" applyNumberFormat="1" applyFont="1" applyFill="1" applyBorder="1"/>
    <xf numFmtId="206" fontId="52" fillId="0" borderId="10" xfId="17" applyNumberFormat="1" applyFont="1" applyFill="1" applyBorder="1"/>
    <xf numFmtId="0" fontId="52" fillId="0" borderId="5" xfId="17" applyFont="1" applyFill="1" applyBorder="1"/>
    <xf numFmtId="0" fontId="52" fillId="0" borderId="0" xfId="17" applyFont="1" applyFill="1" applyBorder="1"/>
    <xf numFmtId="208" fontId="52" fillId="0" borderId="0" xfId="17" applyNumberFormat="1" applyFont="1"/>
    <xf numFmtId="206" fontId="52" fillId="0" borderId="12" xfId="17" applyNumberFormat="1" applyFont="1" applyBorder="1"/>
    <xf numFmtId="0" fontId="54" fillId="13" borderId="18" xfId="17" applyFont="1" applyFill="1" applyBorder="1"/>
    <xf numFmtId="0" fontId="54" fillId="13" borderId="16" xfId="17" applyFont="1" applyFill="1" applyBorder="1"/>
    <xf numFmtId="207" fontId="54" fillId="13" borderId="16" xfId="17" applyNumberFormat="1" applyFont="1" applyFill="1" applyBorder="1"/>
    <xf numFmtId="206" fontId="54" fillId="13" borderId="16" xfId="17" applyNumberFormat="1" applyFont="1" applyFill="1" applyBorder="1"/>
    <xf numFmtId="206" fontId="54" fillId="13" borderId="19" xfId="17" applyNumberFormat="1" applyFont="1" applyFill="1" applyBorder="1"/>
    <xf numFmtId="0" fontId="54" fillId="0" borderId="0" xfId="17" applyFont="1" applyFill="1" applyBorder="1"/>
    <xf numFmtId="0" fontId="52" fillId="0" borderId="13" xfId="17" applyFont="1" applyFill="1" applyBorder="1"/>
    <xf numFmtId="0" fontId="54" fillId="0" borderId="4" xfId="17" applyFont="1" applyFill="1" applyBorder="1"/>
    <xf numFmtId="208" fontId="52" fillId="0" borderId="4" xfId="17" applyNumberFormat="1" applyFont="1" applyBorder="1"/>
    <xf numFmtId="206" fontId="52" fillId="0" borderId="4" xfId="17" applyNumberFormat="1" applyFont="1" applyBorder="1"/>
    <xf numFmtId="206" fontId="52" fillId="0" borderId="15" xfId="17" applyNumberFormat="1" applyFont="1" applyBorder="1"/>
    <xf numFmtId="0" fontId="58" fillId="14" borderId="18" xfId="17" applyFont="1" applyFill="1" applyBorder="1"/>
    <xf numFmtId="0" fontId="58" fillId="14" borderId="16" xfId="17" applyFont="1" applyFill="1" applyBorder="1"/>
    <xf numFmtId="191" fontId="58" fillId="14" borderId="16" xfId="17" applyNumberFormat="1" applyFont="1" applyFill="1" applyBorder="1"/>
    <xf numFmtId="206" fontId="58" fillId="14" borderId="16" xfId="17" applyNumberFormat="1" applyFont="1" applyFill="1" applyBorder="1"/>
    <xf numFmtId="0" fontId="44" fillId="11" borderId="22" xfId="17" applyFont="1" applyFill="1" applyBorder="1" applyAlignment="1">
      <alignment horizontal="center"/>
    </xf>
    <xf numFmtId="0" fontId="52" fillId="0" borderId="0" xfId="17" applyFont="1" applyAlignment="1">
      <alignment horizontal="center"/>
    </xf>
    <xf numFmtId="0" fontId="44" fillId="11" borderId="21" xfId="17" applyFont="1" applyFill="1" applyBorder="1" applyAlignment="1">
      <alignment horizontal="center"/>
    </xf>
    <xf numFmtId="205" fontId="60" fillId="12" borderId="21" xfId="0" applyNumberFormat="1" applyFont="1" applyFill="1" applyBorder="1" applyAlignment="1" applyProtection="1">
      <alignment horizontal="center"/>
    </xf>
    <xf numFmtId="205" fontId="60" fillId="12" borderId="4" xfId="0" applyNumberFormat="1" applyFont="1" applyFill="1" applyBorder="1" applyAlignment="1" applyProtection="1">
      <alignment horizontal="center"/>
    </xf>
    <xf numFmtId="205" fontId="60" fillId="12" borderId="24" xfId="0" applyNumberFormat="1" applyFont="1" applyFill="1" applyBorder="1" applyAlignment="1" applyProtection="1">
      <alignment horizontal="center"/>
    </xf>
    <xf numFmtId="0" fontId="54" fillId="0" borderId="0" xfId="17" applyFont="1" applyAlignment="1">
      <alignment horizontal="center"/>
    </xf>
    <xf numFmtId="207" fontId="52" fillId="0" borderId="8" xfId="17" applyNumberFormat="1" applyFont="1" applyFill="1" applyBorder="1" applyAlignment="1">
      <alignment horizontal="center"/>
    </xf>
    <xf numFmtId="209" fontId="52" fillId="0" borderId="8" xfId="17" applyNumberFormat="1" applyFont="1" applyFill="1" applyBorder="1" applyAlignment="1">
      <alignment horizontal="center"/>
    </xf>
    <xf numFmtId="209" fontId="52" fillId="0" borderId="10" xfId="17" applyNumberFormat="1" applyFont="1" applyFill="1" applyBorder="1" applyAlignment="1">
      <alignment horizontal="center"/>
    </xf>
    <xf numFmtId="207" fontId="54" fillId="13" borderId="16" xfId="17" applyNumberFormat="1" applyFont="1" applyFill="1" applyBorder="1" applyAlignment="1">
      <alignment horizontal="center"/>
    </xf>
    <xf numFmtId="209" fontId="54" fillId="13" borderId="16" xfId="17" applyNumberFormat="1" applyFont="1" applyFill="1" applyBorder="1" applyAlignment="1">
      <alignment horizontal="center"/>
    </xf>
    <xf numFmtId="209" fontId="54" fillId="13" borderId="19" xfId="17" applyNumberFormat="1" applyFont="1" applyFill="1" applyBorder="1" applyAlignment="1">
      <alignment horizontal="center"/>
    </xf>
    <xf numFmtId="0" fontId="44" fillId="11" borderId="0" xfId="17" applyFont="1" applyFill="1" applyBorder="1" applyAlignment="1">
      <alignment horizontal="center" wrapText="1"/>
    </xf>
    <xf numFmtId="0" fontId="44" fillId="11" borderId="4" xfId="17" applyFont="1" applyFill="1" applyBorder="1" applyAlignment="1">
      <alignment horizontal="center" wrapText="1"/>
    </xf>
    <xf numFmtId="0" fontId="58" fillId="14" borderId="18" xfId="17" applyFont="1" applyFill="1" applyBorder="1" applyAlignment="1">
      <alignment horizontal="center"/>
    </xf>
    <xf numFmtId="0" fontId="58" fillId="14" borderId="16" xfId="17" applyFont="1" applyFill="1" applyBorder="1" applyAlignment="1">
      <alignment horizontal="center"/>
    </xf>
    <xf numFmtId="210" fontId="58" fillId="14" borderId="16" xfId="17" applyNumberFormat="1" applyFont="1" applyFill="1" applyBorder="1" applyAlignment="1">
      <alignment horizontal="center"/>
    </xf>
    <xf numFmtId="209" fontId="58" fillId="14" borderId="16" xfId="17" applyNumberFormat="1" applyFont="1" applyFill="1" applyBorder="1" applyAlignment="1">
      <alignment horizontal="center"/>
    </xf>
    <xf numFmtId="0" fontId="52" fillId="15" borderId="0" xfId="17" applyFont="1" applyFill="1"/>
    <xf numFmtId="0" fontId="54" fillId="15" borderId="0" xfId="17" applyFont="1" applyFill="1" applyAlignment="1">
      <alignment horizontal="center"/>
    </xf>
    <xf numFmtId="0" fontId="52" fillId="15" borderId="0" xfId="0" applyFont="1" applyFill="1" applyProtection="1"/>
    <xf numFmtId="0" fontId="44" fillId="0" borderId="0" xfId="17" applyFont="1" applyFill="1" applyBorder="1"/>
    <xf numFmtId="0" fontId="44" fillId="0" borderId="0" xfId="17" applyFont="1" applyFill="1" applyBorder="1" applyAlignment="1">
      <alignment horizontal="center" wrapText="1"/>
    </xf>
    <xf numFmtId="0" fontId="44" fillId="0" borderId="0" xfId="17" applyFont="1" applyFill="1" applyBorder="1" applyAlignment="1">
      <alignment horizontal="center"/>
    </xf>
    <xf numFmtId="205" fontId="60" fillId="0" borderId="0" xfId="0" applyNumberFormat="1" applyFont="1" applyFill="1" applyBorder="1" applyAlignment="1" applyProtection="1">
      <alignment horizontal="center"/>
    </xf>
    <xf numFmtId="0" fontId="52" fillId="0" borderId="0" xfId="17" applyFont="1" applyFill="1" applyAlignment="1">
      <alignment horizontal="left"/>
    </xf>
    <xf numFmtId="0" fontId="52" fillId="0" borderId="0" xfId="17" applyFont="1" applyFill="1" applyAlignment="1">
      <alignment horizontal="center"/>
    </xf>
    <xf numFmtId="211" fontId="52" fillId="0" borderId="0" xfId="14" applyNumberFormat="1" applyFont="1" applyFill="1" applyAlignment="1" applyProtection="1">
      <alignment horizontal="center"/>
    </xf>
    <xf numFmtId="211" fontId="59" fillId="0" borderId="0" xfId="14" applyNumberFormat="1" applyFont="1" applyFill="1" applyAlignment="1">
      <alignment horizontal="center"/>
    </xf>
    <xf numFmtId="211" fontId="52" fillId="0" borderId="0" xfId="14" applyNumberFormat="1" applyFont="1" applyFill="1" applyProtection="1"/>
    <xf numFmtId="209" fontId="52" fillId="0" borderId="0" xfId="17" applyNumberFormat="1" applyFont="1" applyFill="1" applyAlignment="1">
      <alignment horizontal="center"/>
    </xf>
    <xf numFmtId="212" fontId="52" fillId="0" borderId="0" xfId="0" applyNumberFormat="1" applyFont="1" applyFill="1" applyAlignment="1" applyProtection="1">
      <alignment horizontal="center"/>
    </xf>
    <xf numFmtId="208" fontId="52" fillId="0" borderId="0" xfId="17" applyNumberFormat="1" applyFont="1" applyFill="1" applyAlignment="1">
      <alignment horizontal="center"/>
    </xf>
    <xf numFmtId="209" fontId="52" fillId="0" borderId="12" xfId="17" applyNumberFormat="1" applyFont="1" applyFill="1" applyBorder="1" applyAlignment="1">
      <alignment horizontal="center"/>
    </xf>
    <xf numFmtId="208" fontId="52" fillId="0" borderId="4" xfId="17" applyNumberFormat="1" applyFont="1" applyFill="1" applyBorder="1" applyAlignment="1">
      <alignment horizontal="center"/>
    </xf>
    <xf numFmtId="209" fontId="52" fillId="0" borderId="4" xfId="17" applyNumberFormat="1" applyFont="1" applyFill="1" applyBorder="1" applyAlignment="1">
      <alignment horizontal="center"/>
    </xf>
    <xf numFmtId="209" fontId="52" fillId="0" borderId="15" xfId="17" applyNumberFormat="1" applyFont="1" applyFill="1" applyBorder="1" applyAlignment="1">
      <alignment horizontal="center"/>
    </xf>
    <xf numFmtId="0" fontId="52" fillId="0" borderId="0" xfId="17" applyFont="1" applyFill="1"/>
    <xf numFmtId="201" fontId="12" fillId="0" borderId="0" xfId="4" applyNumberFormat="1" applyFont="1" applyProtection="1"/>
    <xf numFmtId="201" fontId="10" fillId="0" borderId="0" xfId="4" applyNumberFormat="1" applyFont="1" applyProtection="1"/>
    <xf numFmtId="164" fontId="4" fillId="0" borderId="0" xfId="4" applyNumberFormat="1" applyFont="1" applyFill="1" applyBorder="1" applyProtection="1"/>
    <xf numFmtId="171" fontId="66" fillId="0" borderId="0" xfId="13" applyNumberFormat="1" applyFont="1" applyAlignment="1" applyProtection="1">
      <alignment horizontal="center"/>
    </xf>
    <xf numFmtId="173" fontId="66" fillId="0" borderId="0" xfId="1" applyNumberFormat="1" applyFont="1" applyFill="1" applyBorder="1" applyAlignment="1">
      <alignment horizontal="right"/>
    </xf>
    <xf numFmtId="171" fontId="66" fillId="0" borderId="0" xfId="13" applyNumberFormat="1" applyFont="1" applyAlignment="1" applyProtection="1">
      <alignment horizontal="right"/>
    </xf>
    <xf numFmtId="0" fontId="63" fillId="15" borderId="0" xfId="4" applyFont="1" applyFill="1" applyProtection="1"/>
    <xf numFmtId="0" fontId="64" fillId="15" borderId="0" xfId="4" applyFont="1" applyFill="1" applyProtection="1"/>
    <xf numFmtId="0" fontId="65" fillId="15" borderId="0" xfId="4" applyFont="1" applyFill="1" applyBorder="1" applyAlignment="1" applyProtection="1">
      <alignment horizontal="center"/>
    </xf>
    <xf numFmtId="168" fontId="65" fillId="15" borderId="3" xfId="4" applyNumberFormat="1" applyFont="1" applyFill="1" applyBorder="1" applyAlignment="1" applyProtection="1">
      <alignment horizontal="center"/>
    </xf>
    <xf numFmtId="170" fontId="64" fillId="15" borderId="0" xfId="1" applyNumberFormat="1" applyFont="1" applyFill="1"/>
    <xf numFmtId="171" fontId="66" fillId="15" borderId="0" xfId="13" applyNumberFormat="1" applyFont="1" applyFill="1" applyAlignment="1" applyProtection="1">
      <alignment horizontal="center"/>
    </xf>
    <xf numFmtId="170" fontId="64" fillId="15" borderId="2" xfId="1" applyNumberFormat="1" applyFont="1" applyFill="1" applyBorder="1"/>
    <xf numFmtId="0" fontId="66" fillId="15" borderId="0" xfId="4" applyFont="1" applyFill="1" applyAlignment="1" applyProtection="1">
      <alignment horizontal="left"/>
    </xf>
    <xf numFmtId="0" fontId="50" fillId="15" borderId="0" xfId="4" applyFont="1" applyFill="1" applyProtection="1"/>
    <xf numFmtId="173" fontId="66" fillId="15" borderId="0" xfId="1" applyNumberFormat="1" applyFont="1" applyFill="1" applyBorder="1" applyAlignment="1">
      <alignment horizontal="right"/>
    </xf>
    <xf numFmtId="171" fontId="66" fillId="15" borderId="0" xfId="13" applyNumberFormat="1" applyFont="1" applyFill="1" applyAlignment="1" applyProtection="1">
      <alignment horizontal="right"/>
    </xf>
    <xf numFmtId="173" fontId="66" fillId="15" borderId="2" xfId="1" applyNumberFormat="1" applyFont="1" applyFill="1" applyBorder="1" applyAlignment="1">
      <alignment horizontal="right"/>
    </xf>
    <xf numFmtId="0" fontId="50" fillId="15" borderId="0" xfId="4" applyFont="1" applyFill="1" applyBorder="1"/>
    <xf numFmtId="0" fontId="67" fillId="15" borderId="0" xfId="4" applyFont="1" applyFill="1" applyProtection="1"/>
    <xf numFmtId="177" fontId="49" fillId="15" borderId="0" xfId="4" applyNumberFormat="1" applyFont="1" applyFill="1" applyBorder="1" applyProtection="1"/>
    <xf numFmtId="177" fontId="49" fillId="15" borderId="0" xfId="4" applyNumberFormat="1" applyFont="1" applyFill="1" applyProtection="1"/>
    <xf numFmtId="0" fontId="64" fillId="15" borderId="0" xfId="4" applyFont="1" applyFill="1" applyBorder="1" applyAlignment="1">
      <alignment horizontal="left"/>
    </xf>
    <xf numFmtId="0" fontId="50" fillId="15" borderId="0" xfId="4" applyFont="1" applyFill="1" applyAlignment="1" applyProtection="1">
      <alignment horizontal="left"/>
    </xf>
    <xf numFmtId="0" fontId="50" fillId="15" borderId="3" xfId="4" applyFont="1" applyFill="1" applyBorder="1" applyProtection="1"/>
    <xf numFmtId="0" fontId="50" fillId="15" borderId="0" xfId="4" applyFont="1" applyFill="1" applyBorder="1" applyProtection="1"/>
    <xf numFmtId="177" fontId="50" fillId="15" borderId="0" xfId="4" applyNumberFormat="1" applyFont="1" applyFill="1" applyProtection="1"/>
    <xf numFmtId="177" fontId="50" fillId="15" borderId="0" xfId="4" applyNumberFormat="1" applyFont="1" applyFill="1" applyBorder="1" applyProtection="1"/>
    <xf numFmtId="189" fontId="50" fillId="15" borderId="3" xfId="4" applyNumberFormat="1" applyFont="1" applyFill="1" applyBorder="1" applyProtection="1"/>
    <xf numFmtId="0" fontId="50" fillId="15" borderId="0" xfId="4" applyFont="1" applyFill="1" applyBorder="1" applyAlignment="1" applyProtection="1">
      <alignment horizontal="center"/>
    </xf>
    <xf numFmtId="0" fontId="64" fillId="15" borderId="0" xfId="4" applyFont="1" applyFill="1" applyBorder="1" applyProtection="1"/>
    <xf numFmtId="176" fontId="64" fillId="15" borderId="0" xfId="4" applyNumberFormat="1" applyFont="1" applyFill="1" applyProtection="1"/>
    <xf numFmtId="171" fontId="64" fillId="15" borderId="0" xfId="13" applyNumberFormat="1" applyFont="1" applyFill="1" applyProtection="1"/>
    <xf numFmtId="171" fontId="66" fillId="15" borderId="0" xfId="13" applyNumberFormat="1" applyFont="1" applyFill="1" applyBorder="1" applyAlignment="1" applyProtection="1">
      <alignment horizontal="center"/>
    </xf>
    <xf numFmtId="170" fontId="64" fillId="15" borderId="0" xfId="1" applyNumberFormat="1" applyFont="1" applyFill="1" applyBorder="1"/>
    <xf numFmtId="0" fontId="50" fillId="15" borderId="0" xfId="4" applyFont="1" applyFill="1" applyBorder="1" applyAlignment="1" applyProtection="1">
      <alignment horizontal="left"/>
    </xf>
    <xf numFmtId="197" fontId="50" fillId="15" borderId="0" xfId="12" applyNumberFormat="1" applyFont="1" applyFill="1" applyBorder="1" applyAlignment="1">
      <alignment horizontal="right" vertical="distributed"/>
    </xf>
    <xf numFmtId="176" fontId="50" fillId="15" borderId="0" xfId="4" applyNumberFormat="1" applyFont="1" applyFill="1" applyProtection="1"/>
    <xf numFmtId="177" fontId="50" fillId="15" borderId="0" xfId="4" applyNumberFormat="1" applyFont="1" applyFill="1" applyBorder="1" applyAlignment="1" applyProtection="1">
      <alignment horizontal="right"/>
    </xf>
    <xf numFmtId="177" fontId="50" fillId="15" borderId="0" xfId="4" applyNumberFormat="1" applyFont="1" applyFill="1" applyAlignment="1" applyProtection="1">
      <alignment horizontal="right"/>
    </xf>
    <xf numFmtId="0" fontId="15" fillId="10" borderId="0" xfId="2" applyFont="1" applyFill="1" applyBorder="1" applyProtection="1"/>
    <xf numFmtId="0" fontId="66" fillId="15" borderId="0" xfId="2" applyFont="1" applyFill="1" applyBorder="1" applyProtection="1"/>
    <xf numFmtId="0" fontId="50" fillId="15" borderId="0" xfId="2" applyFont="1" applyFill="1" applyProtection="1"/>
    <xf numFmtId="171" fontId="66" fillId="15" borderId="0" xfId="13" applyNumberFormat="1" applyFont="1" applyFill="1" applyProtection="1"/>
    <xf numFmtId="0" fontId="50" fillId="15" borderId="0" xfId="2" applyFont="1" applyFill="1" applyBorder="1" applyProtection="1"/>
    <xf numFmtId="170" fontId="50" fillId="15" borderId="0" xfId="1" applyNumberFormat="1" applyFont="1" applyFill="1"/>
    <xf numFmtId="0" fontId="64" fillId="15" borderId="0" xfId="2" applyFont="1" applyFill="1" applyBorder="1" applyProtection="1"/>
    <xf numFmtId="184" fontId="49" fillId="15" borderId="0" xfId="2" applyNumberFormat="1" applyFont="1" applyFill="1" applyBorder="1" applyProtection="1"/>
    <xf numFmtId="167" fontId="49" fillId="15" borderId="0" xfId="2" applyNumberFormat="1" applyFont="1" applyFill="1" applyBorder="1" applyProtection="1"/>
    <xf numFmtId="0" fontId="64" fillId="0" borderId="0" xfId="4" applyFont="1" applyBorder="1" applyAlignment="1" applyProtection="1">
      <alignment horizontal="center"/>
    </xf>
    <xf numFmtId="189" fontId="50" fillId="16" borderId="0" xfId="4" applyNumberFormat="1" applyFont="1" applyFill="1" applyProtection="1"/>
    <xf numFmtId="177" fontId="49" fillId="16" borderId="0" xfId="2" applyNumberFormat="1" applyFont="1" applyFill="1" applyBorder="1" applyProtection="1"/>
    <xf numFmtId="170" fontId="64" fillId="16" borderId="0" xfId="1" applyNumberFormat="1" applyFont="1" applyFill="1"/>
    <xf numFmtId="177" fontId="50" fillId="16" borderId="0" xfId="4" applyNumberFormat="1" applyFont="1" applyFill="1" applyProtection="1"/>
    <xf numFmtId="177" fontId="49" fillId="16" borderId="3" xfId="2" applyNumberFormat="1" applyFont="1" applyFill="1" applyBorder="1" applyProtection="1"/>
    <xf numFmtId="44" fontId="10" fillId="0" borderId="0" xfId="39" applyFont="1" applyFill="1" applyBorder="1" applyProtection="1"/>
    <xf numFmtId="16" fontId="10" fillId="0" borderId="0" xfId="4" applyNumberFormat="1" applyFont="1" applyFill="1" applyBorder="1" applyProtection="1"/>
    <xf numFmtId="177" fontId="49" fillId="16" borderId="0" xfId="4" applyNumberFormat="1" applyFont="1" applyFill="1" applyProtection="1"/>
    <xf numFmtId="177" fontId="49" fillId="16" borderId="3" xfId="4" applyNumberFormat="1" applyFont="1" applyFill="1" applyBorder="1" applyProtection="1"/>
    <xf numFmtId="177" fontId="50" fillId="16" borderId="3" xfId="4" applyNumberFormat="1" applyFont="1" applyFill="1" applyBorder="1" applyProtection="1"/>
    <xf numFmtId="0" fontId="1" fillId="0" borderId="0" xfId="2" applyFont="1" applyProtection="1"/>
    <xf numFmtId="0" fontId="4" fillId="16" borderId="0" xfId="4" applyFont="1" applyFill="1" applyProtection="1"/>
    <xf numFmtId="0" fontId="21" fillId="16" borderId="0" xfId="2" applyFont="1" applyFill="1" applyAlignment="1" applyProtection="1">
      <alignment horizontal="left"/>
    </xf>
    <xf numFmtId="0" fontId="15" fillId="16" borderId="0" xfId="4" applyFont="1" applyFill="1"/>
    <xf numFmtId="0" fontId="10" fillId="16" borderId="0" xfId="2" applyFont="1" applyFill="1" applyProtection="1"/>
    <xf numFmtId="177" fontId="10" fillId="5" borderId="0" xfId="2" applyNumberFormat="1" applyFont="1" applyFill="1" applyBorder="1" applyAlignment="1" applyProtection="1"/>
    <xf numFmtId="177" fontId="25" fillId="3" borderId="0" xfId="2" applyNumberFormat="1" applyFont="1" applyFill="1" applyBorder="1" applyProtection="1"/>
    <xf numFmtId="177" fontId="3" fillId="5" borderId="0" xfId="2" applyNumberFormat="1" applyFont="1" applyFill="1" applyBorder="1" applyProtection="1"/>
    <xf numFmtId="177" fontId="23" fillId="5" borderId="0" xfId="2" applyNumberFormat="1" applyFont="1" applyFill="1" applyBorder="1" applyAlignment="1" applyProtection="1"/>
    <xf numFmtId="177" fontId="10" fillId="5" borderId="0" xfId="2" applyNumberFormat="1" applyFont="1" applyFill="1" applyBorder="1" applyProtection="1"/>
    <xf numFmtId="213" fontId="25" fillId="3" borderId="0" xfId="1" applyNumberFormat="1" applyFont="1" applyFill="1"/>
    <xf numFmtId="0" fontId="17" fillId="5" borderId="0" xfId="9" applyFont="1" applyFill="1" applyAlignment="1">
      <alignment horizontal="left"/>
    </xf>
    <xf numFmtId="0" fontId="13" fillId="2" borderId="0" xfId="4" applyFont="1" applyFill="1" applyBorder="1" applyAlignment="1" applyProtection="1">
      <alignment horizontal="left"/>
    </xf>
    <xf numFmtId="0" fontId="15" fillId="0" borderId="0" xfId="2" applyFont="1" applyBorder="1" applyAlignment="1" applyProtection="1">
      <alignment horizontal="right" vertical="distributed" textRotation="90"/>
      <protection locked="0"/>
    </xf>
    <xf numFmtId="0" fontId="13" fillId="8" borderId="0" xfId="2" applyFont="1" applyFill="1" applyAlignment="1" applyProtection="1">
      <alignment horizontal="center"/>
    </xf>
    <xf numFmtId="0" fontId="13" fillId="8" borderId="0" xfId="4" applyFont="1" applyFill="1" applyBorder="1" applyAlignment="1" applyProtection="1">
      <alignment horizontal="center"/>
    </xf>
    <xf numFmtId="0" fontId="15" fillId="0" borderId="0" xfId="2" applyFont="1" applyFill="1" applyBorder="1" applyAlignment="1" applyProtection="1">
      <alignment horizontal="right" vertical="distributed" textRotation="90"/>
      <protection locked="0"/>
    </xf>
    <xf numFmtId="0" fontId="65" fillId="15" borderId="0" xfId="2" applyFont="1" applyFill="1" applyAlignment="1" applyProtection="1">
      <alignment horizontal="left"/>
    </xf>
    <xf numFmtId="171" fontId="13" fillId="8" borderId="0" xfId="13" applyNumberFormat="1" applyFont="1" applyFill="1" applyBorder="1" applyAlignment="1" applyProtection="1">
      <alignment horizontal="center"/>
    </xf>
    <xf numFmtId="0" fontId="13" fillId="2" borderId="0" xfId="2" applyFont="1" applyFill="1" applyAlignment="1" applyProtection="1">
      <alignment horizontal="center"/>
    </xf>
    <xf numFmtId="0" fontId="13" fillId="2" borderId="0" xfId="2" applyFont="1" applyFill="1" applyBorder="1" applyAlignment="1" applyProtection="1">
      <alignment horizontal="center"/>
    </xf>
    <xf numFmtId="0" fontId="17" fillId="0" borderId="0" xfId="2" applyFont="1" applyBorder="1" applyAlignment="1" applyProtection="1">
      <alignment horizontal="center"/>
    </xf>
    <xf numFmtId="0" fontId="13" fillId="2" borderId="0" xfId="2" applyFont="1" applyFill="1" applyAlignment="1" applyProtection="1">
      <alignment horizontal="left"/>
    </xf>
    <xf numFmtId="0" fontId="13" fillId="2" borderId="0" xfId="4" applyFont="1" applyFill="1" applyAlignment="1">
      <alignment horizontal="left"/>
    </xf>
    <xf numFmtId="0" fontId="36" fillId="2" borderId="0" xfId="2" applyFont="1" applyFill="1" applyBorder="1" applyAlignment="1" applyProtection="1">
      <alignment horizontal="left"/>
    </xf>
    <xf numFmtId="0" fontId="36" fillId="2" borderId="0" xfId="1" applyFont="1" applyFill="1" applyBorder="1" applyAlignment="1">
      <alignment horizontal="left"/>
    </xf>
    <xf numFmtId="0" fontId="55" fillId="11" borderId="0" xfId="17" applyFont="1" applyFill="1" applyBorder="1" applyAlignment="1">
      <alignment horizontal="center" vertical="center"/>
    </xf>
    <xf numFmtId="0" fontId="55" fillId="11" borderId="22" xfId="17" applyFont="1" applyFill="1" applyBorder="1" applyAlignment="1">
      <alignment horizontal="center" vertical="center"/>
    </xf>
    <xf numFmtId="0" fontId="44" fillId="11" borderId="0" xfId="17" applyFont="1" applyFill="1" applyBorder="1" applyAlignment="1">
      <alignment horizontal="center" vertical="center" wrapText="1"/>
    </xf>
    <xf numFmtId="0" fontId="54" fillId="0" borderId="22" xfId="0" applyFont="1" applyBorder="1" applyAlignment="1" applyProtection="1">
      <alignment horizontal="center" vertical="center" wrapText="1"/>
    </xf>
    <xf numFmtId="0" fontId="54" fillId="0" borderId="20" xfId="0" applyFont="1" applyBorder="1" applyAlignment="1" applyProtection="1">
      <alignment horizontal="center" vertical="center" wrapText="1"/>
    </xf>
    <xf numFmtId="0" fontId="54" fillId="0" borderId="23" xfId="0" applyFont="1" applyBorder="1" applyAlignment="1" applyProtection="1">
      <alignment horizontal="center" vertical="center" wrapText="1"/>
    </xf>
    <xf numFmtId="215" fontId="70" fillId="4" borderId="0" xfId="2" applyNumberFormat="1" applyFont="1" applyFill="1" applyBorder="1" applyProtection="1"/>
    <xf numFmtId="0" fontId="1" fillId="0" borderId="0" xfId="0" applyFont="1" applyProtection="1"/>
    <xf numFmtId="9" fontId="3" fillId="0" borderId="0" xfId="13" applyFont="1" applyFill="1" applyBorder="1" applyProtection="1"/>
    <xf numFmtId="2" fontId="50" fillId="15" borderId="0" xfId="13" applyNumberFormat="1" applyFont="1" applyFill="1" applyBorder="1" applyAlignment="1" applyProtection="1">
      <alignment horizontal="right"/>
    </xf>
    <xf numFmtId="9" fontId="50" fillId="15" borderId="0" xfId="13" applyFont="1" applyFill="1" applyProtection="1"/>
    <xf numFmtId="9" fontId="50" fillId="15" borderId="0" xfId="13" applyFont="1" applyFill="1" applyBorder="1" applyAlignment="1" applyProtection="1">
      <alignment horizontal="right"/>
    </xf>
    <xf numFmtId="9" fontId="50" fillId="15" borderId="0" xfId="13" applyFont="1" applyFill="1" applyAlignment="1" applyProtection="1">
      <alignment horizontal="right"/>
    </xf>
    <xf numFmtId="10" fontId="49" fillId="16" borderId="0" xfId="13" applyNumberFormat="1" applyFont="1" applyFill="1" applyBorder="1" applyAlignment="1">
      <alignment horizontal="right" vertical="distributed"/>
    </xf>
    <xf numFmtId="183" fontId="3" fillId="16" borderId="0" xfId="12" applyFont="1" applyFill="1" applyBorder="1" applyAlignment="1">
      <alignment horizontal="right"/>
    </xf>
    <xf numFmtId="192" fontId="3" fillId="16" borderId="0" xfId="12" applyNumberFormat="1" applyFont="1" applyFill="1" applyBorder="1" applyAlignment="1">
      <alignment horizontal="right"/>
    </xf>
    <xf numFmtId="187" fontId="70" fillId="4" borderId="0" xfId="2" applyNumberFormat="1" applyFont="1" applyFill="1" applyBorder="1" applyAlignment="1" applyProtection="1">
      <alignment horizontal="right"/>
    </xf>
  </cellXfs>
  <cellStyles count="40">
    <cellStyle name="_x000d_386grabber=M" xfId="1" xr:uid="{00000000-0005-0000-0000-000000000000}"/>
    <cellStyle name="AFE" xfId="2" xr:uid="{00000000-0005-0000-0000-000001000000}"/>
    <cellStyle name="Euro" xfId="3" xr:uid="{00000000-0005-0000-0000-00000D000000}"/>
    <cellStyle name="fa_data_bold_1_grouped" xfId="15" xr:uid="{00000000-0005-0000-0000-00000E000000}"/>
    <cellStyle name="fa_data_standard_1_grouped" xfId="16" xr:uid="{00000000-0005-0000-0000-00000F000000}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Millares" xfId="14" builtinId="3"/>
    <cellStyle name="Moneda" xfId="39" builtinId="4"/>
    <cellStyle name="Normal" xfId="0" builtinId="0"/>
    <cellStyle name="Normal 2" xfId="17" xr:uid="{00000000-0005-0000-0000-00001A000000}"/>
    <cellStyle name="Normal 3 2" xfId="18" xr:uid="{00000000-0005-0000-0000-00001B000000}"/>
    <cellStyle name="Normal_Ch01 Pics v2.2" xfId="4" xr:uid="{00000000-0005-0000-0000-00001C000000}"/>
    <cellStyle name="Normal_Ch03 Pics" xfId="5" xr:uid="{00000000-0005-0000-0000-00001D000000}"/>
    <cellStyle name="Normal_compSet(1)" xfId="6" xr:uid="{00000000-0005-0000-0000-00001E000000}"/>
    <cellStyle name="Normal_DCF" xfId="7" xr:uid="{00000000-0005-0000-0000-00001F000000}"/>
    <cellStyle name="Normal_Financials" xfId="8" xr:uid="{00000000-0005-0000-0000-000020000000}"/>
    <cellStyle name="Normal_Implied Share Price v12-22-07" xfId="9" xr:uid="{00000000-0005-0000-0000-000021000000}"/>
    <cellStyle name="Normal_Input Page2" xfId="10" xr:uid="{00000000-0005-0000-0000-000022000000}"/>
    <cellStyle name="Normal_Project Horseshoe - Merger Model (May 2006) v.33 (DRAFT)" xfId="11" xr:uid="{00000000-0005-0000-0000-000023000000}"/>
    <cellStyle name="Pctg" xfId="12" xr:uid="{00000000-0005-0000-0000-000024000000}"/>
    <cellStyle name="Porcentaje" xfId="1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0</xdr:rowOff>
    </xdr:from>
    <xdr:to>
      <xdr:col>12</xdr:col>
      <xdr:colOff>0</xdr:colOff>
      <xdr:row>16</xdr:row>
      <xdr:rowOff>0</xdr:rowOff>
    </xdr:to>
    <xdr:sp macro="" textlink="">
      <xdr:nvSpPr>
        <xdr:cNvPr id="1026" name="Rectangle 1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Arrowheads="1"/>
        </xdr:cNvSpPr>
      </xdr:nvSpPr>
      <xdr:spPr bwMode="auto">
        <a:xfrm>
          <a:off x="4470400" y="2565400"/>
          <a:ext cx="8724900" cy="330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63500" dist="53882" dir="2700000" algn="ctr" rotWithShape="0">
            <a:srgbClr val="0000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i/Documents/Schule:Universita&#776;t/ESADE/Corporate%20Valuation%20/Amazon/Valuation%20/IBIG-04-05-Valuation-DCF-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LD-DCF"/>
      <sheetName val="WACC"/>
      <sheetName val="Public Comps"/>
      <sheetName val="M&amp;A-Comps"/>
      <sheetName val="ValSum"/>
      <sheetName val="ValGraph"/>
    </sheetNames>
    <sheetDataSet>
      <sheetData sheetId="0">
        <row r="8">
          <cell r="F8" t="str">
            <v>Steel Dynamics Inc.</v>
          </cell>
        </row>
        <row r="9">
          <cell r="F9" t="str">
            <v>STLD</v>
          </cell>
        </row>
        <row r="10">
          <cell r="F10">
            <v>24.97</v>
          </cell>
        </row>
        <row r="11">
          <cell r="F11">
            <v>242.017</v>
          </cell>
        </row>
        <row r="17">
          <cell r="F17">
            <v>42369</v>
          </cell>
        </row>
        <row r="21">
          <cell r="F21">
            <v>6043.1644899999992</v>
          </cell>
        </row>
        <row r="22">
          <cell r="F22">
            <v>-1052.6659999999999</v>
          </cell>
        </row>
        <row r="23">
          <cell r="F23">
            <v>0</v>
          </cell>
        </row>
        <row r="24">
          <cell r="F24">
            <v>-8.3000000000000007</v>
          </cell>
        </row>
        <row r="25">
          <cell r="F25">
            <v>-61.148000000000003</v>
          </cell>
        </row>
        <row r="26">
          <cell r="F26">
            <v>2591.2330000000002</v>
          </cell>
        </row>
        <row r="27">
          <cell r="F27">
            <v>0</v>
          </cell>
        </row>
        <row r="28">
          <cell r="F28">
            <v>-11.230999999999995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7501.0524899999991</v>
          </cell>
        </row>
        <row r="86">
          <cell r="J86">
            <v>7716.0163775469155</v>
          </cell>
          <cell r="K86">
            <v>8406.1512406317233</v>
          </cell>
        </row>
        <row r="126">
          <cell r="J126">
            <v>626.35222174379942</v>
          </cell>
          <cell r="K126">
            <v>730.23721367378289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azaro Sanz, Albert" id="{EB967BA1-D8B3-294A-81CD-A0B48B08A94B}" userId="S::albert.lazaro@esade.edu::c666ee9f-c1f2-4324-a85a-3debf60aa481" providerId="AD"/>
</personList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4" dT="2019-10-26T22:14:27.83" personId="{EB967BA1-D8B3-294A-81CD-A0B48B08A94B}" id="{6C0CE5BD-DDE2-924A-BC62-857B1B8BB828}">
    <text>Delaware’s.</text>
  </threadedComment>
  <threadedComment ref="F126" dT="2019-10-26T23:24:16.46" personId="{EB967BA1-D8B3-294A-81CD-A0B48B08A94B}" id="{B4F3CF6E-09E5-5549-91B4-7AB39B0DFA69}">
    <text>Used in S-1 as pro-forma # shares (page 22).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9" dT="2019-10-24T11:52:13.69" personId="{EB967BA1-D8B3-294A-81CD-A0B48B08A94B}" id="{78F9A93C-715B-D24D-A93A-EF0A9950D963}">
    <text>Damodaran; resto Bloomberg “raw beta”. And Bloomberg “Total Debt” and “Total Equity”.</text>
  </threadedComment>
  <threadedComment ref="D13" dT="2019-10-24T09:45:17.42" personId="{EB967BA1-D8B3-294A-81CD-A0B48B08A94B}" id="{DBF62D9E-9BE6-2E40-AEE0-EB98BC4EA812}">
    <text>Latest issued bond YTM (6Y)</text>
  </threadedComment>
  <threadedComment ref="E13" dT="2019-10-24T09:39:41.64" personId="{EB967BA1-D8B3-294A-81CD-A0B48B08A94B}" id="{2109D82C-1E04-4C48-8F77-4F087859B353}">
    <text>Interests paid over Total Debt</text>
  </threadedComment>
  <threadedComment ref="K13" dT="2019-10-25T19:50:19.45" personId="{EB967BA1-D8B3-294A-81CD-A0B48B08A94B}" id="{5E4A1A71-5CE7-A940-A92F-F68564D623E3}">
    <text>Jersey Tax is 0% 2019; Debt &amp; Eq are 2018, so tax 2018 is 20%.</text>
  </threadedComment>
  <threadedComment ref="D14" dT="2019-10-26T22:14:43.68" personId="{EB967BA1-D8B3-294A-81CD-A0B48B08A94B}" id="{F86554A1-9E43-0849-998E-DA36F55C351A}">
    <text>Delaware’s.</text>
  </threadedComment>
  <threadedComment ref="D19" dT="2019-10-24T09:50:50.23" personId="{EB967BA1-D8B3-294A-81CD-A0B48B08A94B}" id="{BF9E2425-A83B-E94E-911B-D7226FD97DAB}">
    <text>10Y US Bond</text>
  </threadedComment>
  <threadedComment ref="D20" dT="2019-10-24T10:05:29.97" personId="{EB967BA1-D8B3-294A-81CD-A0B48B08A94B}" id="{2EF43C4F-7064-F94B-8755-1B418631E86A}">
    <text>Damodaran (Jan 19): 5.96%</text>
  </threadedComment>
  <threadedComment ref="D20" dT="2019-10-24T10:11:20.96" personId="{EB967BA1-D8B3-294A-81CD-A0B48B08A94B}" id="{DF54A3F6-1BFF-2C42-B40B-7249B0EE253C}" parentId="{2EF43C4F-7064-F94B-8755-1B418631E86A}">
    <text>Bloomberg 23/10: 6.996%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154"/>
  <sheetViews>
    <sheetView showGridLines="0" tabSelected="1" topLeftCell="A59" workbookViewId="0">
      <selection activeCell="A69" sqref="A69:XFD104"/>
    </sheetView>
  </sheetViews>
  <sheetFormatPr baseColWidth="10" defaultColWidth="9.1640625" defaultRowHeight="13"/>
  <cols>
    <col min="1" max="1" width="0.83203125" style="2" customWidth="1"/>
    <col min="2" max="2" width="13.6640625" style="2" customWidth="1"/>
    <col min="3" max="3" width="8.83203125" style="2" customWidth="1"/>
    <col min="4" max="4" width="8.5" style="2" bestFit="1" customWidth="1"/>
    <col min="5" max="15" width="13.6640625" style="2" customWidth="1"/>
    <col min="16" max="16" width="12.6640625" style="1" customWidth="1"/>
    <col min="17" max="17" width="18.83203125" style="1" bestFit="1" customWidth="1"/>
    <col min="18" max="18" width="19.5" style="1" bestFit="1" customWidth="1"/>
    <col min="19" max="19" width="9.5" style="2" bestFit="1" customWidth="1"/>
    <col min="20" max="20" width="15.33203125" style="2" customWidth="1"/>
    <col min="21" max="21" width="14.1640625" style="2" bestFit="1" customWidth="1"/>
    <col min="22" max="16384" width="9.1640625" style="2"/>
  </cols>
  <sheetData>
    <row r="1" spans="1:32" ht="25">
      <c r="A1" s="372" t="s">
        <v>0</v>
      </c>
      <c r="B1" s="373" t="s">
        <v>217</v>
      </c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374"/>
      <c r="P1" s="317"/>
    </row>
    <row r="2" spans="1:32" ht="18">
      <c r="A2" s="375" t="s">
        <v>1</v>
      </c>
      <c r="B2" s="374"/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>
      <c r="A3" s="376" t="s">
        <v>2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7"/>
      <c r="N3" s="374"/>
      <c r="O3" s="374"/>
      <c r="P3" s="3"/>
      <c r="R3" s="378" t="str">
        <f>+CHOOSE(R5,'A1'!B10,'A1'!B11,'A1'!B12,'A1'!B13,'A1'!B14)</f>
        <v xml:space="preserve">   Base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>
      <c r="A4" s="1"/>
      <c r="C4" s="197"/>
      <c r="E4" s="1"/>
      <c r="P4" s="3"/>
      <c r="R4" s="39"/>
      <c r="S4" s="3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s="9" customFormat="1" ht="16">
      <c r="C5" s="197"/>
      <c r="E5" s="379" t="s">
        <v>6</v>
      </c>
      <c r="F5" s="380"/>
      <c r="G5" s="380"/>
      <c r="H5" s="12" t="s">
        <v>7</v>
      </c>
      <c r="J5" s="567" t="s">
        <v>8</v>
      </c>
      <c r="K5" s="567"/>
      <c r="L5" s="567"/>
      <c r="M5" s="567"/>
      <c r="N5" s="567"/>
      <c r="O5" s="542" t="s">
        <v>7</v>
      </c>
      <c r="P5" s="13"/>
      <c r="Q5" s="6" t="s">
        <v>3</v>
      </c>
      <c r="R5" s="7">
        <v>1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s="9" customFormat="1" ht="16">
      <c r="B6" s="499"/>
      <c r="C6" s="500"/>
      <c r="D6" s="500"/>
      <c r="E6" s="501">
        <v>2016</v>
      </c>
      <c r="F6" s="501">
        <v>2017</v>
      </c>
      <c r="G6" s="501">
        <v>2018</v>
      </c>
      <c r="H6" s="501" t="s">
        <v>219</v>
      </c>
      <c r="I6" s="502">
        <v>2019</v>
      </c>
      <c r="J6" s="501">
        <v>2020</v>
      </c>
      <c r="K6" s="501">
        <v>2021</v>
      </c>
      <c r="L6" s="501">
        <v>2022</v>
      </c>
      <c r="M6" s="501">
        <v>2023</v>
      </c>
      <c r="N6" s="501">
        <v>2024</v>
      </c>
      <c r="O6" s="501" t="s">
        <v>218</v>
      </c>
      <c r="P6" s="13"/>
      <c r="Q6" s="6" t="s">
        <v>4</v>
      </c>
      <c r="R6" s="7" t="s">
        <v>5</v>
      </c>
      <c r="S6" s="15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s="9" customFormat="1">
      <c r="B7" s="500" t="s">
        <v>14</v>
      </c>
      <c r="C7" s="500"/>
      <c r="D7" s="500"/>
      <c r="E7" s="545">
        <v>436.1</v>
      </c>
      <c r="F7" s="545">
        <v>886</v>
      </c>
      <c r="G7" s="545">
        <v>1821.8</v>
      </c>
      <c r="H7" s="504">
        <f>+IF(ISERROR((G7/E7)^(1/($G$6-$E$6))-1),"-",(G7/E7)^(1/($G$6-$E$6))-1)</f>
        <v>1.04388899621447</v>
      </c>
      <c r="I7" s="503">
        <v>2901.7</v>
      </c>
      <c r="J7" s="505">
        <f>I7*(1+J59)</f>
        <v>3264.4124999999999</v>
      </c>
      <c r="K7" s="503">
        <f>J7*(1+K59)</f>
        <v>3672.4640624999997</v>
      </c>
      <c r="L7" s="503">
        <f>K7*(1+L59)</f>
        <v>4406.9568749999999</v>
      </c>
      <c r="M7" s="503">
        <f>L7*(1+M59)</f>
        <v>5508.6960937499998</v>
      </c>
      <c r="N7" s="503">
        <f>M7*(1+N59)</f>
        <v>7161.3049218750002</v>
      </c>
      <c r="O7" s="496">
        <f>+IF(ISERROR((N7/I7)^(1/($N$6-$I$6))-1),"-",(N7/I7)^(1/($N$6-$I$6))-1)</f>
        <v>0.19803065611537263</v>
      </c>
      <c r="P7" s="13"/>
      <c r="R7" s="363"/>
      <c r="S7" s="364"/>
      <c r="T7" s="364"/>
      <c r="U7" s="364"/>
      <c r="V7" s="13"/>
      <c r="W7" s="13"/>
      <c r="X7" s="18"/>
      <c r="Y7" s="13"/>
      <c r="Z7" s="13"/>
      <c r="AA7" s="13"/>
      <c r="AB7" s="13"/>
      <c r="AC7" s="13"/>
      <c r="AD7" s="13"/>
      <c r="AE7" s="13"/>
      <c r="AF7" s="13"/>
    </row>
    <row r="8" spans="1:32">
      <c r="A8" s="1"/>
      <c r="B8" s="506" t="s">
        <v>15</v>
      </c>
      <c r="C8" s="507"/>
      <c r="D8" s="507"/>
      <c r="E8" s="508" t="s">
        <v>16</v>
      </c>
      <c r="F8" s="508">
        <f>+IF(ISERROR(F7/E7-1),0,F7/E7-1)</f>
        <v>1.0316441183214859</v>
      </c>
      <c r="G8" s="508">
        <f>+IF(ISERROR(G7/F7-1),0,G7/F7-1)</f>
        <v>1.0562076749435665</v>
      </c>
      <c r="H8" s="509"/>
      <c r="I8" s="508">
        <f>+IF(ISERROR(I7/G7-1),0,I7/G7-1)</f>
        <v>0.59276539686024798</v>
      </c>
      <c r="J8" s="510">
        <f>+IF(ISERROR(J7/I7-1),0,J7/I7-1)</f>
        <v>0.125</v>
      </c>
      <c r="K8" s="508">
        <f>+IF(ISERROR(K7/J7-1),0,K7/J7-1)</f>
        <v>0.125</v>
      </c>
      <c r="L8" s="508">
        <f>+IF(ISERROR(L7/K7-1),0,L7/K7-1)</f>
        <v>0.19999999999999996</v>
      </c>
      <c r="M8" s="508">
        <f>+IF(ISERROR(M7/L7-1),0,M7/L7-1)</f>
        <v>0.25</v>
      </c>
      <c r="N8" s="508">
        <f>+IF(ISERROR(N7/M7-1),0,N7/M7-1)</f>
        <v>0.30000000000000004</v>
      </c>
      <c r="O8" s="498"/>
      <c r="P8" s="20"/>
      <c r="R8" s="39"/>
      <c r="S8" s="366"/>
      <c r="T8" s="4"/>
      <c r="U8" s="4"/>
      <c r="V8" s="4"/>
      <c r="W8" s="4"/>
      <c r="X8" s="21"/>
      <c r="Y8" s="4"/>
      <c r="Z8" s="4"/>
      <c r="AA8" s="4"/>
      <c r="AB8" s="4"/>
      <c r="AC8" s="4"/>
      <c r="AD8" s="4"/>
      <c r="AE8" s="4"/>
      <c r="AF8" s="4"/>
    </row>
    <row r="9" spans="1:32" ht="16">
      <c r="A9" s="1"/>
      <c r="B9" s="511" t="s">
        <v>156</v>
      </c>
      <c r="C9" s="512"/>
      <c r="D9" s="512"/>
      <c r="E9" s="544">
        <v>584.6</v>
      </c>
      <c r="F9" s="544">
        <v>1057.5</v>
      </c>
      <c r="G9" s="544">
        <v>2463</v>
      </c>
      <c r="H9" s="504"/>
      <c r="I9" s="547">
        <v>3528.7</v>
      </c>
      <c r="J9" s="513">
        <f>J7*J60</f>
        <v>3917.2949999999996</v>
      </c>
      <c r="K9" s="514">
        <f>K7*K60</f>
        <v>4406.9568749999999</v>
      </c>
      <c r="L9" s="514">
        <f>L7*L60</f>
        <v>4186.60903125</v>
      </c>
      <c r="M9" s="514">
        <f>M7*M60</f>
        <v>4682.3916796875001</v>
      </c>
      <c r="N9" s="514">
        <f>N7*N60</f>
        <v>5370.9786914062497</v>
      </c>
      <c r="O9" s="496"/>
      <c r="P9" s="3"/>
      <c r="R9" s="39"/>
      <c r="S9" s="365"/>
      <c r="T9" s="365"/>
      <c r="U9" s="365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6">
      <c r="A10" s="1"/>
      <c r="B10" s="515" t="s">
        <v>17</v>
      </c>
      <c r="C10" s="512"/>
      <c r="D10" s="512"/>
      <c r="E10" s="503">
        <f>+E7-E9</f>
        <v>-148.5</v>
      </c>
      <c r="F10" s="503">
        <f>+F7-F9</f>
        <v>-171.5</v>
      </c>
      <c r="G10" s="503">
        <f>+G7-G9</f>
        <v>-641.20000000000005</v>
      </c>
      <c r="H10" s="504">
        <f>+IF(ISERROR((G10/E10)^(1/($G$6-$E$6))-1),"-",(G10/E10)^(1/($G$6-$E$6))-1)</f>
        <v>1.0779425203419652</v>
      </c>
      <c r="I10" s="503">
        <f t="shared" ref="I10:N10" si="0">+I7-I9</f>
        <v>-627</v>
      </c>
      <c r="J10" s="505">
        <f t="shared" si="0"/>
        <v>-652.88249999999971</v>
      </c>
      <c r="K10" s="503">
        <f t="shared" si="0"/>
        <v>-734.49281250000013</v>
      </c>
      <c r="L10" s="503">
        <f t="shared" si="0"/>
        <v>220.34784374999981</v>
      </c>
      <c r="M10" s="503">
        <f t="shared" si="0"/>
        <v>826.30441406249975</v>
      </c>
      <c r="N10" s="503">
        <f t="shared" si="0"/>
        <v>1790.3262304687505</v>
      </c>
      <c r="O10" s="496">
        <f>+IF(ISERROR((N10/I10)^(1/($N$6-$I$6))-1),"-",(N10/I10)^(1/($N$6-$I$6))-1)</f>
        <v>-2.2334823137888988</v>
      </c>
      <c r="P10" s="3"/>
      <c r="R10" s="39"/>
      <c r="S10" s="367"/>
      <c r="T10" s="4"/>
      <c r="U10" s="2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>
      <c r="A11" s="1"/>
      <c r="B11" s="506" t="s">
        <v>18</v>
      </c>
      <c r="C11" s="507"/>
      <c r="D11" s="507"/>
      <c r="E11" s="508">
        <f>+IF(ISERROR(E10/E7),0,E10/E7)</f>
        <v>-0.34051822976381563</v>
      </c>
      <c r="F11" s="508">
        <f t="shared" ref="F11:M11" si="1">+IF(ISERROR(F10/F7),0,F10/F7)</f>
        <v>-0.1935665914221219</v>
      </c>
      <c r="G11" s="508">
        <f t="shared" si="1"/>
        <v>-0.35195960039521357</v>
      </c>
      <c r="H11" s="504"/>
      <c r="I11" s="508">
        <f>+IF(ISERROR(I10/I7),0,I10/I7)</f>
        <v>-0.21608022883137473</v>
      </c>
      <c r="J11" s="510">
        <f t="shared" si="1"/>
        <v>-0.19999999999999993</v>
      </c>
      <c r="K11" s="508">
        <f t="shared" si="1"/>
        <v>-0.20000000000000004</v>
      </c>
      <c r="L11" s="508">
        <f t="shared" si="1"/>
        <v>4.9999999999999961E-2</v>
      </c>
      <c r="M11" s="508">
        <f t="shared" si="1"/>
        <v>0.14999999999999997</v>
      </c>
      <c r="N11" s="508">
        <f>+IF(ISERROR(N10/N7),0,N10/N7)</f>
        <v>0.25000000000000006</v>
      </c>
      <c r="O11" s="497"/>
      <c r="P11" s="20"/>
      <c r="Q11" s="369"/>
      <c r="R11" s="39"/>
      <c r="S11" s="4"/>
      <c r="T11" s="4"/>
      <c r="U11" s="4"/>
      <c r="V11" s="4"/>
      <c r="W11" s="4"/>
      <c r="X11" s="21"/>
      <c r="Y11" s="4"/>
      <c r="Z11" s="4"/>
      <c r="AA11" s="4"/>
      <c r="AB11" s="4"/>
      <c r="AC11" s="4"/>
      <c r="AD11" s="4"/>
      <c r="AE11" s="4"/>
      <c r="AF11" s="4"/>
    </row>
    <row r="12" spans="1:32" ht="16">
      <c r="A12" s="1"/>
      <c r="B12" s="511" t="s">
        <v>19</v>
      </c>
      <c r="C12" s="512"/>
      <c r="D12" s="512"/>
      <c r="E12" s="544">
        <v>158.80000000000001</v>
      </c>
      <c r="F12" s="544">
        <v>597.4</v>
      </c>
      <c r="G12" s="544">
        <v>736.2</v>
      </c>
      <c r="H12" s="504"/>
      <c r="I12" s="547">
        <v>1372.2</v>
      </c>
      <c r="J12" s="513">
        <f>J7*J61</f>
        <v>816.10312499999998</v>
      </c>
      <c r="K12" s="514">
        <f t="shared" ref="J12:N12" si="2">K7*K61</f>
        <v>918.11601562499993</v>
      </c>
      <c r="L12" s="514">
        <f t="shared" si="2"/>
        <v>1057.6696499999998</v>
      </c>
      <c r="M12" s="514">
        <f t="shared" si="2"/>
        <v>1267.0001015625</v>
      </c>
      <c r="N12" s="514">
        <f t="shared" si="2"/>
        <v>1575.4870828125001</v>
      </c>
      <c r="O12" s="496"/>
      <c r="P12" s="3"/>
      <c r="Q12" s="370"/>
      <c r="R12" s="39"/>
      <c r="S12" s="23"/>
      <c r="T12" s="4"/>
      <c r="U12" s="2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s="9" customFormat="1">
      <c r="B13" s="500" t="s">
        <v>20</v>
      </c>
      <c r="C13" s="500"/>
      <c r="D13" s="500"/>
      <c r="E13" s="503">
        <f>E10-E12</f>
        <v>-307.3</v>
      </c>
      <c r="F13" s="503">
        <f>F10-F12</f>
        <v>-768.9</v>
      </c>
      <c r="G13" s="503">
        <f>G10-G12</f>
        <v>-1377.4</v>
      </c>
      <c r="H13" s="504">
        <f>+IF(ISERROR((G13/E13)^(1/($G$6-$E$6))-1),"-",(G13/E13)^(1/($G$6-$E$6))-1)</f>
        <v>1.1171360106832671</v>
      </c>
      <c r="I13" s="503">
        <f t="shared" ref="I13:N13" si="3">I10-I12</f>
        <v>-1999.2</v>
      </c>
      <c r="J13" s="505">
        <f t="shared" si="3"/>
        <v>-1468.9856249999998</v>
      </c>
      <c r="K13" s="503">
        <f t="shared" si="3"/>
        <v>-1652.6088281249999</v>
      </c>
      <c r="L13" s="503">
        <f t="shared" si="3"/>
        <v>-837.32180625000001</v>
      </c>
      <c r="M13" s="503">
        <f t="shared" si="3"/>
        <v>-440.6956875000003</v>
      </c>
      <c r="N13" s="503">
        <f t="shared" si="3"/>
        <v>214.83914765625036</v>
      </c>
      <c r="O13" s="496">
        <f>+IF(ISERROR((N13/I13)^(1/($N$6-$I$6))-1),"-",(N13/I13)^(1/($N$6-$I$6))-1)</f>
        <v>-1.6401053182721488</v>
      </c>
      <c r="P13" s="13"/>
      <c r="R13" s="363"/>
      <c r="S13" s="13"/>
      <c r="T13" s="13"/>
      <c r="U13" s="13"/>
      <c r="V13" s="13"/>
      <c r="W13" s="13"/>
      <c r="X13" s="26"/>
      <c r="Y13" s="13"/>
      <c r="Z13" s="13"/>
      <c r="AA13" s="13"/>
      <c r="AB13" s="13"/>
      <c r="AC13" s="13"/>
      <c r="AD13" s="13"/>
      <c r="AE13" s="13"/>
      <c r="AF13" s="13"/>
    </row>
    <row r="14" spans="1:32">
      <c r="A14" s="1"/>
      <c r="B14" s="506" t="s">
        <v>18</v>
      </c>
      <c r="C14" s="507"/>
      <c r="D14" s="507"/>
      <c r="E14" s="508">
        <f>+IF(ISERROR(E13/E7),0,E13/E7)</f>
        <v>-0.7046548956661316</v>
      </c>
      <c r="F14" s="508">
        <f t="shared" ref="F14:N14" si="4">+IF(ISERROR(F13/F7),0,F13/F7)</f>
        <v>-0.86783295711060948</v>
      </c>
      <c r="G14" s="508">
        <f t="shared" si="4"/>
        <v>-0.75606542979470859</v>
      </c>
      <c r="H14" s="504"/>
      <c r="I14" s="508">
        <f t="shared" si="4"/>
        <v>-0.68897542819726376</v>
      </c>
      <c r="J14" s="510">
        <f t="shared" si="4"/>
        <v>-0.44999999999999996</v>
      </c>
      <c r="K14" s="508">
        <f t="shared" si="4"/>
        <v>-0.45</v>
      </c>
      <c r="L14" s="508">
        <f t="shared" si="4"/>
        <v>-0.19</v>
      </c>
      <c r="M14" s="508">
        <f t="shared" si="4"/>
        <v>-8.0000000000000057E-2</v>
      </c>
      <c r="N14" s="508">
        <f t="shared" si="4"/>
        <v>3.0000000000000051E-2</v>
      </c>
      <c r="O14" s="497"/>
      <c r="P14" s="20"/>
      <c r="R14" s="39"/>
      <c r="S14" s="4"/>
      <c r="T14" s="4"/>
      <c r="U14" s="4"/>
      <c r="V14" s="4"/>
      <c r="W14" s="4"/>
      <c r="X14" s="21"/>
      <c r="Y14" s="4"/>
      <c r="Z14" s="4"/>
      <c r="AA14" s="4"/>
      <c r="AB14" s="4"/>
      <c r="AC14" s="4"/>
      <c r="AD14" s="4"/>
      <c r="AE14" s="4"/>
      <c r="AF14" s="4"/>
    </row>
    <row r="15" spans="1:32" ht="16">
      <c r="A15" s="1"/>
      <c r="B15" s="516" t="s">
        <v>21</v>
      </c>
      <c r="C15" s="507"/>
      <c r="D15" s="507"/>
      <c r="E15" s="544">
        <v>89</v>
      </c>
      <c r="F15" s="544">
        <v>162.9</v>
      </c>
      <c r="G15" s="544">
        <v>313.5</v>
      </c>
      <c r="H15" s="504"/>
      <c r="I15" s="547">
        <v>439.4</v>
      </c>
      <c r="J15" s="513">
        <f>J7*J62</f>
        <v>489.66187499999995</v>
      </c>
      <c r="K15" s="514">
        <f>K7*K62</f>
        <v>550.86960937499998</v>
      </c>
      <c r="L15" s="514">
        <f>L7*L62</f>
        <v>440.69568750000002</v>
      </c>
      <c r="M15" s="514">
        <f>M7*M62</f>
        <v>550.86960937499998</v>
      </c>
      <c r="N15" s="514">
        <f>N7*N62</f>
        <v>716.13049218750007</v>
      </c>
      <c r="O15" s="496"/>
      <c r="P15" s="3"/>
      <c r="Q15" s="407"/>
      <c r="R15" s="39"/>
      <c r="S15" s="4"/>
      <c r="T15" s="27"/>
      <c r="U15" s="28"/>
      <c r="V15" s="29"/>
      <c r="W15" s="30"/>
      <c r="X15" s="31"/>
      <c r="Y15" s="4"/>
      <c r="Z15" s="4"/>
      <c r="AA15" s="4"/>
      <c r="AB15" s="4"/>
      <c r="AC15" s="4"/>
      <c r="AD15" s="4"/>
      <c r="AE15" s="4"/>
      <c r="AF15" s="4"/>
    </row>
    <row r="16" spans="1:32" s="9" customFormat="1">
      <c r="B16" s="500" t="s">
        <v>22</v>
      </c>
      <c r="C16" s="500"/>
      <c r="D16" s="500"/>
      <c r="E16" s="503">
        <f>+E13-E15</f>
        <v>-396.3</v>
      </c>
      <c r="F16" s="503">
        <f>+F13-F15</f>
        <v>-931.8</v>
      </c>
      <c r="G16" s="503">
        <f>+G13-G15</f>
        <v>-1690.9</v>
      </c>
      <c r="H16" s="504">
        <f>+IF(ISERROR((G16/E16)^(1/($G$6-$E$6))-1),"-",(G16/E16)^(1/($G$6-$E$6))-1)</f>
        <v>1.0656033340127853</v>
      </c>
      <c r="I16" s="503">
        <f t="shared" ref="I16:N16" si="5">+I13-I15</f>
        <v>-2438.6</v>
      </c>
      <c r="J16" s="505">
        <f t="shared" si="5"/>
        <v>-1958.6474999999998</v>
      </c>
      <c r="K16" s="503">
        <f t="shared" si="5"/>
        <v>-2203.4784374999999</v>
      </c>
      <c r="L16" s="503">
        <f t="shared" si="5"/>
        <v>-1278.0174937500001</v>
      </c>
      <c r="M16" s="503">
        <f t="shared" si="5"/>
        <v>-991.56529687500029</v>
      </c>
      <c r="N16" s="503">
        <f t="shared" si="5"/>
        <v>-501.29134453124971</v>
      </c>
      <c r="O16" s="496">
        <f>+IF(ISERROR((N16/I16)^(1/($N$6-$I$6))-1),"-",(N16/I16)^(1/($N$6-$I$6))-1)</f>
        <v>-0.27123093834189216</v>
      </c>
      <c r="P16" s="13"/>
      <c r="S16" s="13"/>
      <c r="T16" s="13"/>
      <c r="U16" s="13"/>
      <c r="V16" s="13"/>
      <c r="W16" s="13"/>
      <c r="X16" s="18"/>
      <c r="Y16" s="13"/>
      <c r="Z16" s="13"/>
      <c r="AA16" s="13"/>
      <c r="AB16" s="13"/>
      <c r="AC16" s="13"/>
      <c r="AD16" s="13"/>
      <c r="AE16" s="13"/>
      <c r="AF16" s="13"/>
    </row>
    <row r="17" spans="1:234">
      <c r="A17" s="1"/>
      <c r="B17" s="506" t="s">
        <v>18</v>
      </c>
      <c r="C17" s="507"/>
      <c r="D17" s="507"/>
      <c r="E17" s="508">
        <f>+IF(ISERROR(E16/E7),0,E16/E7)</f>
        <v>-0.90873652831919283</v>
      </c>
      <c r="F17" s="508">
        <f t="shared" ref="F17:N17" si="6">+IF(ISERROR(F16/F7),0,F16/F7)</f>
        <v>-1.0516930022573363</v>
      </c>
      <c r="G17" s="508">
        <f t="shared" si="6"/>
        <v>-0.92814798550883748</v>
      </c>
      <c r="H17" s="504"/>
      <c r="I17" s="508">
        <f t="shared" si="6"/>
        <v>-0.84040390116138819</v>
      </c>
      <c r="J17" s="510">
        <f t="shared" si="6"/>
        <v>-0.6</v>
      </c>
      <c r="K17" s="508">
        <f t="shared" si="6"/>
        <v>-0.6</v>
      </c>
      <c r="L17" s="508">
        <f t="shared" si="6"/>
        <v>-0.29000000000000004</v>
      </c>
      <c r="M17" s="508">
        <f>+IF(ISERROR(M16/M7),0,M16/M7)</f>
        <v>-0.18000000000000005</v>
      </c>
      <c r="N17" s="508">
        <f t="shared" si="6"/>
        <v>-6.9999999999999951E-2</v>
      </c>
      <c r="O17" s="497"/>
      <c r="P17" s="20"/>
      <c r="S17" s="4"/>
      <c r="T17" s="4"/>
      <c r="U17" s="4"/>
      <c r="V17" s="4"/>
      <c r="W17" s="4"/>
      <c r="X17" s="21"/>
      <c r="Y17" s="4"/>
      <c r="Z17" s="4"/>
      <c r="AA17" s="4"/>
      <c r="AB17" s="4"/>
      <c r="AC17" s="4"/>
      <c r="AD17" s="4"/>
      <c r="AE17" s="4"/>
      <c r="AF17" s="4"/>
    </row>
    <row r="18" spans="1:234" ht="16">
      <c r="A18" s="1"/>
      <c r="B18" s="507" t="s">
        <v>23</v>
      </c>
      <c r="C18" s="507"/>
      <c r="D18" s="507"/>
      <c r="E18" s="550">
        <f>+E16*E64</f>
        <v>0</v>
      </c>
      <c r="F18" s="550">
        <f>+F16*F64</f>
        <v>-153.56064000000001</v>
      </c>
      <c r="G18" s="550">
        <f>+G16*G64</f>
        <v>-0.84545000000000003</v>
      </c>
      <c r="H18" s="504"/>
      <c r="I18" s="551">
        <f>+I16*I64</f>
        <v>-212.15819999999997</v>
      </c>
      <c r="J18" s="513">
        <f t="shared" ref="J18:N18" si="7">+J16*J64</f>
        <v>-170.40233249999997</v>
      </c>
      <c r="K18" s="514">
        <f t="shared" si="7"/>
        <v>-191.70262406249998</v>
      </c>
      <c r="L18" s="514">
        <f t="shared" si="7"/>
        <v>-111.18752195625</v>
      </c>
      <c r="M18" s="514">
        <f t="shared" si="7"/>
        <v>-86.266180828125016</v>
      </c>
      <c r="N18" s="514">
        <f t="shared" si="7"/>
        <v>-43.612346974218724</v>
      </c>
      <c r="O18" s="496"/>
      <c r="P18" s="3"/>
      <c r="Q18" s="369"/>
      <c r="S18" s="4"/>
      <c r="T18" s="4"/>
      <c r="U18" s="4"/>
      <c r="V18" s="4"/>
      <c r="W18" s="4"/>
      <c r="X18" s="31"/>
      <c r="Y18" s="4"/>
      <c r="Z18" s="4"/>
      <c r="AA18" s="4"/>
      <c r="AB18" s="4"/>
      <c r="AC18" s="4"/>
      <c r="AD18" s="4"/>
      <c r="AE18" s="4"/>
      <c r="AF18" s="4"/>
    </row>
    <row r="19" spans="1:234" s="9" customFormat="1">
      <c r="B19" s="500" t="s">
        <v>24</v>
      </c>
      <c r="C19" s="500"/>
      <c r="D19" s="500"/>
      <c r="E19" s="503">
        <f>+E16-E18</f>
        <v>-396.3</v>
      </c>
      <c r="F19" s="503">
        <f>+F16-F18</f>
        <v>-778.23935999999992</v>
      </c>
      <c r="G19" s="503">
        <f>+G16-G18</f>
        <v>-1690.0545500000001</v>
      </c>
      <c r="H19" s="504">
        <f>+IF(ISERROR((G19/E19)^(1/($G$6-$E$6))-1),"-",(G19/E19)^(1/($G$6-$E$6))-1)</f>
        <v>1.0650868686130353</v>
      </c>
      <c r="I19" s="503">
        <f t="shared" ref="I19:N19" si="8">+I16-I18</f>
        <v>-2226.4418000000001</v>
      </c>
      <c r="J19" s="505">
        <f t="shared" si="8"/>
        <v>-1788.2451674999998</v>
      </c>
      <c r="K19" s="503">
        <f t="shared" si="8"/>
        <v>-2011.7758134374999</v>
      </c>
      <c r="L19" s="503">
        <f t="shared" si="8"/>
        <v>-1166.82997179375</v>
      </c>
      <c r="M19" s="503">
        <f t="shared" si="8"/>
        <v>-905.29911604687527</v>
      </c>
      <c r="N19" s="503">
        <f t="shared" si="8"/>
        <v>-457.67899755703098</v>
      </c>
      <c r="O19" s="496">
        <f>+IF(ISERROR((N19/I19)^(1/($N$6-$I$6))-1),"-",(N19/I19)^(1/($N$6-$I$6))-1)</f>
        <v>-0.27123093834189216</v>
      </c>
      <c r="P19" s="13"/>
      <c r="Q19" s="493">
        <f>18.7*K13</f>
        <v>-30903.785085937499</v>
      </c>
      <c r="S19" s="13"/>
      <c r="T19" s="13"/>
      <c r="U19" s="13"/>
      <c r="V19" s="13"/>
      <c r="W19" s="13"/>
      <c r="X19" s="26"/>
      <c r="Y19" s="13"/>
      <c r="Z19" s="13"/>
      <c r="AA19" s="13"/>
      <c r="AB19" s="13"/>
      <c r="AC19" s="13"/>
      <c r="AD19" s="13"/>
      <c r="AE19" s="13"/>
      <c r="AF19" s="13"/>
    </row>
    <row r="20" spans="1:234" ht="3.75" customHeight="1">
      <c r="A20" s="1"/>
      <c r="B20" s="507"/>
      <c r="C20" s="507"/>
      <c r="D20" s="507"/>
      <c r="E20" s="507"/>
      <c r="F20" s="507"/>
      <c r="G20" s="507"/>
      <c r="H20" s="512"/>
      <c r="I20" s="517"/>
      <c r="J20" s="518"/>
      <c r="K20" s="507"/>
      <c r="L20" s="507"/>
      <c r="M20" s="507"/>
      <c r="N20" s="507"/>
      <c r="O20" s="496"/>
      <c r="P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234">
      <c r="A21" s="1"/>
      <c r="B21" s="507" t="s">
        <v>165</v>
      </c>
      <c r="C21" s="507"/>
      <c r="D21" s="507"/>
      <c r="E21" s="546">
        <f>E15</f>
        <v>89</v>
      </c>
      <c r="F21" s="546">
        <f t="shared" ref="F21:N21" si="9">F15</f>
        <v>162.9</v>
      </c>
      <c r="G21" s="546">
        <f t="shared" si="9"/>
        <v>313.5</v>
      </c>
      <c r="H21" s="512"/>
      <c r="I21" s="552">
        <f>I15</f>
        <v>439.4</v>
      </c>
      <c r="J21" s="520">
        <f t="shared" si="9"/>
        <v>489.66187499999995</v>
      </c>
      <c r="K21" s="519">
        <f t="shared" si="9"/>
        <v>550.86960937499998</v>
      </c>
      <c r="L21" s="519">
        <f t="shared" si="9"/>
        <v>440.69568750000002</v>
      </c>
      <c r="M21" s="519">
        <f t="shared" si="9"/>
        <v>550.86960937499998</v>
      </c>
      <c r="N21" s="519">
        <f t="shared" si="9"/>
        <v>716.13049218750007</v>
      </c>
      <c r="O21" s="496"/>
      <c r="P21" s="3"/>
      <c r="Q21" s="369">
        <f>3.3*K7</f>
        <v>12119.131406249999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234">
      <c r="A22" s="1"/>
      <c r="B22" s="507" t="s">
        <v>25</v>
      </c>
      <c r="C22" s="507"/>
      <c r="D22" s="507"/>
      <c r="E22" s="543">
        <v>778.4</v>
      </c>
      <c r="F22" s="543">
        <v>1032.3</v>
      </c>
      <c r="G22" s="543">
        <v>2063.9</v>
      </c>
      <c r="H22" s="512"/>
      <c r="I22" s="521">
        <f>I7*0.05</f>
        <v>145.08500000000001</v>
      </c>
      <c r="J22" s="520">
        <f>-(J7*J63)</f>
        <v>-163.22062500000001</v>
      </c>
      <c r="K22" s="519">
        <f>-(K7*K63)</f>
        <v>-183.623203125</v>
      </c>
      <c r="L22" s="519">
        <f>-(L7*L63)</f>
        <v>-220.34784375000001</v>
      </c>
      <c r="M22" s="519">
        <f>-(M7*M63)</f>
        <v>-550.86960937499998</v>
      </c>
      <c r="N22" s="519">
        <f>-(N7*N63)</f>
        <v>-1074.19573828125</v>
      </c>
      <c r="O22" s="496"/>
      <c r="P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234" ht="16">
      <c r="A23" s="1"/>
      <c r="B23" s="507" t="s">
        <v>166</v>
      </c>
      <c r="C23" s="507"/>
      <c r="D23" s="507"/>
      <c r="E23" s="514"/>
      <c r="F23" s="514"/>
      <c r="G23" s="514"/>
      <c r="H23" s="514"/>
      <c r="I23" s="522"/>
      <c r="J23" s="513">
        <f>NWC!I26</f>
        <v>257.6042252837351</v>
      </c>
      <c r="K23" s="514">
        <f>NWC!J26</f>
        <v>557.29781892123356</v>
      </c>
      <c r="L23" s="514">
        <f>NWC!K26</f>
        <v>43.264645119862962</v>
      </c>
      <c r="M23" s="514">
        <f>NWC!L26</f>
        <v>19.620013484588981</v>
      </c>
      <c r="N23" s="514">
        <f>NWC!M26</f>
        <v>100.36391513270519</v>
      </c>
      <c r="O23" s="496"/>
      <c r="P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234" ht="3.75" customHeight="1">
      <c r="A24" s="1"/>
      <c r="B24" s="507"/>
      <c r="C24" s="507"/>
      <c r="D24" s="507"/>
      <c r="E24" s="514"/>
      <c r="F24" s="514"/>
      <c r="G24" s="514"/>
      <c r="H24" s="514"/>
      <c r="I24" s="522"/>
      <c r="J24" s="513"/>
      <c r="K24" s="514"/>
      <c r="L24" s="514"/>
      <c r="M24" s="514"/>
      <c r="N24" s="514"/>
      <c r="O24" s="16"/>
      <c r="P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234" s="25" customFormat="1">
      <c r="B25" s="523" t="s">
        <v>26</v>
      </c>
      <c r="C25" s="523"/>
      <c r="D25" s="523"/>
      <c r="E25" s="524"/>
      <c r="F25" s="524"/>
      <c r="G25" s="525">
        <f>G22/G7</f>
        <v>1.1328905478098585</v>
      </c>
      <c r="H25" s="524"/>
      <c r="I25" s="526"/>
      <c r="J25" s="527">
        <f>+J19+SUM(J21:J23)</f>
        <v>-1204.1996922162648</v>
      </c>
      <c r="K25" s="503">
        <f>+K19+SUM(K21:K23)</f>
        <v>-1087.2315882662665</v>
      </c>
      <c r="L25" s="503">
        <f>+L19+SUM(L21:L23)</f>
        <v>-903.21748292388702</v>
      </c>
      <c r="M25" s="503">
        <f>+M19+SUM(M21:M23)</f>
        <v>-885.67910256228629</v>
      </c>
      <c r="N25" s="503">
        <f>+N19+SUM(N21:N23)</f>
        <v>-715.38032851807566</v>
      </c>
      <c r="O25" s="35"/>
      <c r="P25" s="36"/>
      <c r="Q25" s="494">
        <f>28 *K16</f>
        <v>-61697.396249999998</v>
      </c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</row>
    <row r="26" spans="1:234" s="25" customFormat="1">
      <c r="B26" s="528" t="s">
        <v>27</v>
      </c>
      <c r="C26" s="523"/>
      <c r="D26" s="523"/>
      <c r="E26" s="529">
        <v>9.5000000000000001E-2</v>
      </c>
      <c r="F26" s="500"/>
      <c r="G26" s="589"/>
      <c r="H26" s="530"/>
      <c r="I26" s="526"/>
      <c r="J26" s="590"/>
      <c r="K26" s="591"/>
      <c r="L26" s="591"/>
      <c r="M26" s="591"/>
      <c r="N26" s="591"/>
      <c r="O26" s="35"/>
      <c r="P26" s="38"/>
      <c r="S26" s="36"/>
      <c r="T26" s="549">
        <v>43721</v>
      </c>
      <c r="U26" s="549">
        <v>43725</v>
      </c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</row>
    <row r="27" spans="1:234" s="25" customFormat="1">
      <c r="B27" s="528" t="s">
        <v>28</v>
      </c>
      <c r="C27" s="523"/>
      <c r="D27" s="523"/>
      <c r="E27" s="588"/>
      <c r="F27" s="588"/>
      <c r="G27" s="588"/>
      <c r="H27" s="524"/>
      <c r="I27" s="588"/>
      <c r="J27" s="531">
        <v>1</v>
      </c>
      <c r="K27" s="532">
        <v>2</v>
      </c>
      <c r="L27" s="531">
        <v>3</v>
      </c>
      <c r="M27" s="532">
        <v>4</v>
      </c>
      <c r="N27" s="531">
        <v>5</v>
      </c>
      <c r="O27" s="35"/>
      <c r="P27" s="36"/>
      <c r="S27" s="36" t="s">
        <v>220</v>
      </c>
      <c r="T27" s="548">
        <v>19518290</v>
      </c>
      <c r="U27" s="548">
        <v>1894090</v>
      </c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</row>
    <row r="28" spans="1:234" s="1" customFormat="1" ht="16">
      <c r="B28" s="37" t="s">
        <v>29</v>
      </c>
      <c r="C28" s="39"/>
      <c r="I28" s="40"/>
      <c r="J28" s="41">
        <f>1/((1+$E$26)^(J27))</f>
        <v>0.91324200913242015</v>
      </c>
      <c r="K28" s="42">
        <f>1/((1+$E$26)^(K27))</f>
        <v>0.8340109672442193</v>
      </c>
      <c r="L28" s="42">
        <f>1/((1+$E$26)^(L27))</f>
        <v>0.76165385136458386</v>
      </c>
      <c r="M28" s="42">
        <f>1/((1+$E$26)^(M27))</f>
        <v>0.6955742934836382</v>
      </c>
      <c r="N28" s="42">
        <f>1/((1+$E$26)^(N27))</f>
        <v>0.63522766528186136</v>
      </c>
      <c r="O28" s="43"/>
      <c r="P28" s="35"/>
      <c r="R28" s="369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</row>
    <row r="29" spans="1:234" s="1" customFormat="1">
      <c r="B29" s="392" t="s">
        <v>30</v>
      </c>
      <c r="C29" s="393"/>
      <c r="D29" s="393"/>
      <c r="E29" s="394"/>
      <c r="F29" s="393"/>
      <c r="G29" s="393"/>
      <c r="H29" s="395"/>
      <c r="I29" s="396"/>
      <c r="J29" s="397">
        <f>+J25*J28</f>
        <v>-1099.7257463162236</v>
      </c>
      <c r="K29" s="397">
        <f>+K25*K28</f>
        <v>-906.76306854841766</v>
      </c>
      <c r="L29" s="397">
        <f>+L25*L28</f>
        <v>-687.93907448880384</v>
      </c>
      <c r="M29" s="397">
        <f>+M25*M28</f>
        <v>-616.05561601798502</v>
      </c>
      <c r="N29" s="397">
        <f>+N25*N28</f>
        <v>-454.4293758731082</v>
      </c>
      <c r="O29" s="45"/>
      <c r="P29" s="35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234" s="8" customFormat="1">
      <c r="B30" s="46"/>
      <c r="C30" s="46"/>
      <c r="D30" s="46"/>
      <c r="E30" s="47"/>
      <c r="F30" s="46"/>
      <c r="G30" s="46"/>
      <c r="H30" s="48"/>
      <c r="I30" s="34"/>
      <c r="J30" s="48"/>
      <c r="K30" s="587"/>
      <c r="L30" s="587"/>
      <c r="M30" s="587"/>
      <c r="N30" s="587"/>
      <c r="O30" s="48"/>
      <c r="P30" s="35"/>
      <c r="Q30" s="49"/>
      <c r="R30" s="368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234" s="1" customFormat="1" ht="12.75" customHeight="1">
      <c r="B31" s="33"/>
      <c r="C31" s="33"/>
      <c r="D31" s="33"/>
      <c r="E31" s="33"/>
      <c r="F31" s="32"/>
      <c r="G31" s="32"/>
      <c r="H31" s="32"/>
      <c r="I31" s="50"/>
      <c r="J31" s="32"/>
      <c r="K31" s="32"/>
      <c r="L31" s="51"/>
      <c r="M31" s="32"/>
      <c r="P31" s="53"/>
      <c r="Q31" s="3"/>
      <c r="R31" s="3"/>
      <c r="S31" s="3"/>
      <c r="T31" s="54"/>
      <c r="U31" s="55"/>
      <c r="V31" s="55"/>
      <c r="W31" s="55"/>
      <c r="X31" s="55"/>
      <c r="Y31" s="56"/>
      <c r="Z31" s="3"/>
      <c r="AA31" s="3"/>
      <c r="AB31" s="3"/>
      <c r="AC31" s="3"/>
      <c r="AD31" s="3"/>
      <c r="AE31" s="3"/>
      <c r="AF31" s="3"/>
    </row>
    <row r="32" spans="1:234" s="1" customFormat="1" ht="16">
      <c r="B32" s="381" t="s">
        <v>31</v>
      </c>
      <c r="C32" s="382"/>
      <c r="D32" s="382"/>
      <c r="E32" s="382"/>
      <c r="G32" s="568" t="s">
        <v>32</v>
      </c>
      <c r="H32" s="568"/>
      <c r="I32" s="568"/>
      <c r="J32" s="568"/>
      <c r="L32" s="381" t="s">
        <v>33</v>
      </c>
      <c r="M32" s="383"/>
      <c r="N32" s="383"/>
      <c r="O32" s="384"/>
      <c r="P32" s="3"/>
      <c r="Q32" s="58">
        <f>(N29*1.02)/(0.1-0.02)</f>
        <v>-5793.9745423821296</v>
      </c>
      <c r="R32" s="3"/>
      <c r="S32" s="59"/>
      <c r="T32" s="3"/>
      <c r="U32" s="60"/>
      <c r="V32" s="60"/>
      <c r="W32" s="60"/>
      <c r="X32" s="60"/>
      <c r="Y32" s="60"/>
      <c r="Z32" s="3"/>
      <c r="AA32" s="3"/>
      <c r="AB32" s="3"/>
      <c r="AC32" s="3"/>
      <c r="AD32" s="3"/>
      <c r="AE32" s="3"/>
      <c r="AF32" s="3"/>
    </row>
    <row r="33" spans="1:32" s="1" customFormat="1">
      <c r="B33" s="61" t="s">
        <v>34</v>
      </c>
      <c r="C33" s="61"/>
      <c r="D33" s="61"/>
      <c r="E33" s="17">
        <f>+SUM(J29:N29)</f>
        <v>-3764.9128812445383</v>
      </c>
      <c r="G33" s="1" t="s">
        <v>31</v>
      </c>
      <c r="I33" s="52"/>
      <c r="J33" s="62">
        <f>+E43</f>
        <v>2270.833085884065</v>
      </c>
      <c r="L33" s="3" t="str">
        <f>"Terminal Year Free Cash Flow ("&amp;N6&amp;"E)"</f>
        <v>Terminal Year Free Cash Flow (2024E)</v>
      </c>
      <c r="M33" s="3"/>
      <c r="N33" s="3"/>
      <c r="O33" s="62">
        <f>+N25</f>
        <v>-715.38032851807566</v>
      </c>
      <c r="P33" s="63"/>
      <c r="Q33" s="3"/>
      <c r="R33" s="3"/>
      <c r="S33" s="64"/>
      <c r="T33" s="65"/>
      <c r="U33" s="66"/>
      <c r="V33" s="66"/>
      <c r="W33" s="67"/>
      <c r="X33" s="66"/>
      <c r="Y33" s="66"/>
      <c r="Z33" s="3"/>
      <c r="AA33" s="3"/>
      <c r="AB33" s="3"/>
      <c r="AC33" s="3"/>
      <c r="AD33" s="3"/>
      <c r="AE33" s="3"/>
      <c r="AF33" s="3"/>
    </row>
    <row r="34" spans="1:32" s="1" customFormat="1">
      <c r="B34" s="534"/>
      <c r="C34" s="535"/>
      <c r="D34" s="535"/>
      <c r="E34" s="536"/>
      <c r="G34" s="1" t="s">
        <v>35</v>
      </c>
      <c r="J34" s="306">
        <v>1751.54</v>
      </c>
      <c r="K34" s="554">
        <v>-20301</v>
      </c>
      <c r="L34" s="3" t="s">
        <v>36</v>
      </c>
      <c r="M34" s="3"/>
      <c r="N34" s="3"/>
      <c r="O34" s="70">
        <f>+E26</f>
        <v>9.5000000000000001E-2</v>
      </c>
      <c r="P34" s="38"/>
      <c r="Q34" s="3"/>
      <c r="R34" s="3"/>
      <c r="S34" s="569"/>
      <c r="T34" s="71"/>
      <c r="U34" s="72"/>
      <c r="V34" s="72"/>
      <c r="W34" s="72"/>
      <c r="X34" s="72"/>
      <c r="Y34" s="72"/>
      <c r="Z34" s="3"/>
      <c r="AA34" s="3"/>
      <c r="AB34" s="3"/>
      <c r="AC34" s="3"/>
      <c r="AD34" s="3"/>
      <c r="AE34" s="3"/>
      <c r="AF34" s="3"/>
    </row>
    <row r="35" spans="1:32" s="1" customFormat="1" ht="16">
      <c r="B35" s="570" t="s">
        <v>37</v>
      </c>
      <c r="C35" s="570"/>
      <c r="D35" s="570"/>
      <c r="E35" s="570"/>
      <c r="G35" s="1" t="s">
        <v>38</v>
      </c>
      <c r="J35" s="306">
        <v>3498.7</v>
      </c>
      <c r="K35" s="554" t="s">
        <v>230</v>
      </c>
      <c r="L35" s="3" t="str">
        <f>+B35</f>
        <v>Terminal Value</v>
      </c>
      <c r="M35" s="3"/>
      <c r="N35" s="3"/>
      <c r="O35" s="62">
        <f>+E38</f>
        <v>9501.705131892264</v>
      </c>
      <c r="P35" s="73"/>
      <c r="Q35" s="495">
        <f>Q32*N28</f>
        <v>-3680.4929212599413</v>
      </c>
      <c r="R35" s="3"/>
      <c r="S35" s="569"/>
      <c r="T35" s="71"/>
      <c r="U35" s="72"/>
      <c r="V35" s="74"/>
      <c r="W35" s="74"/>
      <c r="X35" s="74"/>
      <c r="Y35" s="72"/>
      <c r="Z35" s="3"/>
      <c r="AA35" s="3"/>
      <c r="AB35" s="3"/>
      <c r="AC35" s="3"/>
      <c r="AD35" s="3"/>
      <c r="AE35" s="3"/>
      <c r="AF35" s="3"/>
    </row>
    <row r="36" spans="1:32" s="1" customFormat="1">
      <c r="B36" s="507" t="str">
        <f>"Terminal Year FCF ("&amp;N6&amp;"E)"</f>
        <v>Terminal Year FCF (2024E)</v>
      </c>
      <c r="C36" s="537"/>
      <c r="D36" s="537"/>
      <c r="E36" s="538">
        <f>+N29</f>
        <v>-454.4293758731082</v>
      </c>
      <c r="F36" s="3"/>
      <c r="G36" s="1" t="s">
        <v>153</v>
      </c>
      <c r="J36" s="306">
        <v>1359.7</v>
      </c>
      <c r="K36" s="554" t="s">
        <v>228</v>
      </c>
      <c r="L36" s="2"/>
      <c r="M36" s="2"/>
      <c r="N36" s="2"/>
      <c r="O36" s="2"/>
      <c r="P36" s="3"/>
      <c r="Q36" s="3"/>
      <c r="R36" s="3"/>
      <c r="S36" s="569"/>
      <c r="T36" s="76"/>
      <c r="U36" s="72"/>
      <c r="V36" s="74"/>
      <c r="W36" s="77"/>
      <c r="X36" s="74"/>
      <c r="Y36" s="72"/>
      <c r="Z36" s="3"/>
      <c r="AA36" s="3"/>
      <c r="AB36" s="3"/>
      <c r="AC36" s="3"/>
      <c r="AD36" s="3"/>
      <c r="AE36" s="3"/>
      <c r="AF36" s="3"/>
    </row>
    <row r="37" spans="1:32" s="1" customFormat="1" ht="16">
      <c r="B37" s="537" t="s">
        <v>216</v>
      </c>
      <c r="C37" s="537"/>
      <c r="D37" s="537"/>
      <c r="E37" s="592">
        <v>0.15</v>
      </c>
      <c r="F37" s="3"/>
      <c r="G37" s="1" t="s">
        <v>40</v>
      </c>
      <c r="J37" s="313">
        <v>1744.2</v>
      </c>
      <c r="K37" s="554" t="s">
        <v>228</v>
      </c>
      <c r="L37" s="57" t="s">
        <v>33</v>
      </c>
      <c r="M37" s="3"/>
      <c r="N37" s="3"/>
      <c r="O37" s="398">
        <f>+IF(ISERROR(IF(R6="Y",((E38*E26)-N25*(1+E26)^0.5)/(E38+N25*(1+E26)^0.5),((O35*O34)-O33)/(O35+O33))),"- %",IF(R6="Y",((E38*E26)-N25*(1+E26)^0.5)/(E38+N25*(1+E26)^0.5),((O35*O34)-O33)/(O35+O33)))</f>
        <v>0.18864735906101829</v>
      </c>
      <c r="P37" s="79"/>
      <c r="Q37" s="3"/>
      <c r="R37" s="3"/>
      <c r="S37" s="569"/>
      <c r="T37" s="71"/>
      <c r="U37" s="72"/>
      <c r="V37" s="74"/>
      <c r="W37" s="74"/>
      <c r="X37" s="74"/>
      <c r="Y37" s="72"/>
      <c r="Z37" s="3"/>
      <c r="AA37" s="3"/>
      <c r="AB37" s="3"/>
      <c r="AC37" s="3"/>
      <c r="AD37" s="3"/>
      <c r="AE37" s="3"/>
      <c r="AF37" s="3"/>
    </row>
    <row r="38" spans="1:32" s="1" customFormat="1">
      <c r="B38" s="539" t="s">
        <v>41</v>
      </c>
      <c r="C38" s="539"/>
      <c r="D38" s="539"/>
      <c r="E38" s="503">
        <f>(E36*(1+E37))/(E26-E37)</f>
        <v>9501.705131892264</v>
      </c>
      <c r="F38" s="3"/>
      <c r="J38" s="1" t="s">
        <v>42</v>
      </c>
      <c r="P38" s="3"/>
      <c r="Q38" s="3"/>
      <c r="R38" s="3"/>
      <c r="S38" s="569"/>
      <c r="T38" s="71"/>
      <c r="U38" s="72"/>
      <c r="V38" s="72"/>
      <c r="W38" s="72"/>
      <c r="X38" s="72"/>
      <c r="Y38" s="72"/>
      <c r="Z38" s="3"/>
      <c r="AA38" s="3"/>
      <c r="AB38" s="3"/>
      <c r="AC38" s="3"/>
      <c r="AD38" s="3"/>
      <c r="AE38" s="3"/>
      <c r="AF38" s="3"/>
    </row>
    <row r="39" spans="1:32" s="1" customFormat="1" ht="16">
      <c r="B39" s="537" t="s">
        <v>43</v>
      </c>
      <c r="C39" s="537"/>
      <c r="D39" s="537"/>
      <c r="E39" s="540">
        <f>1/((1+$E$26)^(N6-I6))</f>
        <v>0.63522766528186136</v>
      </c>
      <c r="F39" s="3"/>
      <c r="G39" s="57" t="s">
        <v>44</v>
      </c>
      <c r="J39" s="81">
        <f>+J33+SUM(J34:J37)</f>
        <v>10624.973085884065</v>
      </c>
      <c r="L39" s="381" t="s">
        <v>45</v>
      </c>
      <c r="M39" s="383"/>
      <c r="N39" s="383"/>
      <c r="O39" s="38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s="1" customFormat="1">
      <c r="B40" s="539" t="s">
        <v>46</v>
      </c>
      <c r="C40" s="539"/>
      <c r="D40" s="539"/>
      <c r="E40" s="503">
        <f>+E38*E39</f>
        <v>6035.7459671286033</v>
      </c>
      <c r="F40" s="3"/>
      <c r="L40" s="82" t="str">
        <f>+G33</f>
        <v>Enterprise Value</v>
      </c>
      <c r="O40" s="62">
        <f>E43</f>
        <v>2270.833085884065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s="1" customFormat="1">
      <c r="B41" s="534" t="s">
        <v>47</v>
      </c>
      <c r="C41" s="537"/>
      <c r="D41" s="537"/>
      <c r="E41" s="508">
        <f>+IF(ISERROR(E40/E43),"- %",E40/E43)</f>
        <v>2.6579434678171463</v>
      </c>
      <c r="F41" s="3"/>
      <c r="G41" s="1" t="s">
        <v>235</v>
      </c>
      <c r="J41" s="83">
        <f ca="1">+F131</f>
        <v>382.40550383563868</v>
      </c>
      <c r="L41" s="1" t="s">
        <v>229</v>
      </c>
      <c r="O41" s="307">
        <v>-1033.0999999999999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s="1" customFormat="1" ht="16">
      <c r="B42" s="537"/>
      <c r="C42" s="537"/>
      <c r="D42" s="537"/>
      <c r="E42" s="541"/>
      <c r="F42" s="3"/>
      <c r="J42" s="84"/>
      <c r="P42" s="3"/>
      <c r="Q42" s="85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s="1" customFormat="1" ht="16">
      <c r="B43" s="533" t="s">
        <v>49</v>
      </c>
      <c r="C43" s="533"/>
      <c r="D43" s="533"/>
      <c r="E43" s="397">
        <f>+E40+E33</f>
        <v>2270.833085884065</v>
      </c>
      <c r="F43" s="3"/>
      <c r="G43" s="57" t="s">
        <v>48</v>
      </c>
      <c r="J43" s="87">
        <f ca="1">+IF(ISERROR(J39/J41),"NA",J39/J41)</f>
        <v>27.784571559019124</v>
      </c>
      <c r="L43" s="57" t="s">
        <v>45</v>
      </c>
      <c r="O43" s="399">
        <f>+IF(ISERROR(O40/O41),"- x",O40/O41)</f>
        <v>-2.1980767456045545</v>
      </c>
      <c r="P43" s="3"/>
      <c r="Q43" s="88">
        <f>18.7*J13</f>
        <v>-27470.031187499997</v>
      </c>
      <c r="R43" s="3"/>
      <c r="S43" s="3"/>
      <c r="T43" s="3"/>
      <c r="U43" s="51"/>
      <c r="V43" s="51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s="8" customFormat="1">
      <c r="F44" s="3"/>
      <c r="G44" s="8" t="s">
        <v>221</v>
      </c>
      <c r="J44" s="8">
        <v>19.190000000000001</v>
      </c>
      <c r="P44" s="3"/>
      <c r="Q44" s="89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s="8" customFormat="1">
      <c r="F45" s="3"/>
      <c r="P45" s="3"/>
      <c r="Q45" s="90"/>
      <c r="R45" s="80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s="8" customFormat="1" ht="16" hidden="1">
      <c r="C46" s="385" t="s">
        <v>31</v>
      </c>
      <c r="D46" s="386"/>
      <c r="E46" s="386"/>
      <c r="F46" s="386"/>
      <c r="G46" s="386"/>
      <c r="H46" s="380"/>
      <c r="J46" s="385" t="s">
        <v>33</v>
      </c>
      <c r="K46" s="386"/>
      <c r="L46" s="386"/>
      <c r="M46" s="386"/>
      <c r="N46" s="386"/>
      <c r="O46" s="380"/>
      <c r="P46" s="3"/>
      <c r="Q46" s="69"/>
      <c r="R46" s="368">
        <f>18.2*J13</f>
        <v>-26735.538374999996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s="8" customFormat="1" ht="16" hidden="1">
      <c r="B47" s="91"/>
      <c r="D47" s="92" t="s">
        <v>39</v>
      </c>
      <c r="E47" s="92"/>
      <c r="F47" s="92"/>
      <c r="G47" s="92"/>
      <c r="H47" s="92"/>
      <c r="K47" s="92" t="s">
        <v>39</v>
      </c>
      <c r="L47" s="92"/>
      <c r="M47" s="92"/>
      <c r="N47" s="92"/>
      <c r="O47" s="92"/>
      <c r="P47" s="3"/>
      <c r="Q47" s="88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idden="1">
      <c r="A48" s="68"/>
      <c r="B48" s="68"/>
      <c r="C48" s="391">
        <f>+E43</f>
        <v>2270.833085884065</v>
      </c>
      <c r="D48" s="389">
        <f>+E48-0.5</f>
        <v>10.6</v>
      </c>
      <c r="E48" s="389">
        <f>+F48-0.5</f>
        <v>11.1</v>
      </c>
      <c r="F48" s="390">
        <v>11.6</v>
      </c>
      <c r="G48" s="389">
        <f>+F48+0.5</f>
        <v>12.1</v>
      </c>
      <c r="H48" s="389">
        <f>+G48+0.5</f>
        <v>12.6</v>
      </c>
      <c r="I48" s="94"/>
      <c r="J48" s="93">
        <f>+O37</f>
        <v>0.18864735906101829</v>
      </c>
      <c r="K48" s="389">
        <f>+L48-0.5</f>
        <v>6.6</v>
      </c>
      <c r="L48" s="389">
        <f>+M48-0.5</f>
        <v>7.1</v>
      </c>
      <c r="M48" s="390">
        <v>7.6</v>
      </c>
      <c r="N48" s="389">
        <f>+M48+0.5</f>
        <v>8.1</v>
      </c>
      <c r="O48" s="389">
        <f>+N48+0.5</f>
        <v>8.6</v>
      </c>
      <c r="P48" s="95"/>
      <c r="Q48" s="89"/>
      <c r="R48" s="4"/>
      <c r="S48" s="4"/>
      <c r="T48" s="4"/>
      <c r="U48" s="3"/>
      <c r="V48" s="3"/>
      <c r="W48" s="3"/>
      <c r="X48" s="3"/>
      <c r="Y48" s="3"/>
      <c r="Z48" s="4"/>
      <c r="AA48" s="4"/>
      <c r="AB48" s="4"/>
      <c r="AC48" s="4"/>
      <c r="AD48" s="4"/>
      <c r="AE48" s="4"/>
      <c r="AF48" s="4"/>
    </row>
    <row r="49" spans="2:32" s="8" customFormat="1" hidden="1">
      <c r="B49" s="566" t="s">
        <v>36</v>
      </c>
      <c r="C49" s="387">
        <f>+C50-0.005</f>
        <v>8.8999999999999996E-2</v>
      </c>
      <c r="D49" s="98">
        <f t="dataTable" ref="D49:H53" dt2D="1" dtr="0" r1="E37" r2="E26" ca="1"/>
        <v>-3482.2045888175771</v>
      </c>
      <c r="E49" s="99">
        <v>-3483.6393687097161</v>
      </c>
      <c r="F49" s="99">
        <v>-3484.9495043579022</v>
      </c>
      <c r="G49" s="99">
        <v>-3486.1505620235571</v>
      </c>
      <c r="H49" s="99">
        <v>-3487.2556195560765</v>
      </c>
      <c r="I49" s="566" t="s">
        <v>36</v>
      </c>
      <c r="J49" s="387">
        <f>+J50-0.005</f>
        <v>8.8999999999999996E-2</v>
      </c>
      <c r="K49" s="100">
        <f t="dataTable" ref="K49:O53" dt2D="1" dtr="0" r1="E37" r2="E26" ca="1"/>
        <v>-3.949103243132694</v>
      </c>
      <c r="L49" s="101">
        <v>-3.8403634206791448</v>
      </c>
      <c r="M49" s="101">
        <v>-3.7507316435364442</v>
      </c>
      <c r="N49" s="101">
        <v>-3.67557811805051</v>
      </c>
      <c r="O49" s="101">
        <v>-3.6116569814605839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s="8" customFormat="1" hidden="1">
      <c r="B50" s="566"/>
      <c r="C50" s="387">
        <f>+C51-0.005</f>
        <v>9.4E-2</v>
      </c>
      <c r="D50" s="98">
        <v>-3452.150482542635</v>
      </c>
      <c r="E50" s="403">
        <v>-3453.5285935297761</v>
      </c>
      <c r="F50" s="403">
        <v>-3454.7869312692947</v>
      </c>
      <c r="G50" s="403">
        <v>-3455.9404599350569</v>
      </c>
      <c r="H50" s="99">
        <v>-3457.0017505818078</v>
      </c>
      <c r="I50" s="566"/>
      <c r="J50" s="387">
        <f>+J51-0.005</f>
        <v>9.4E-2</v>
      </c>
      <c r="K50" s="100">
        <v>-3.7138120438372058</v>
      </c>
      <c r="L50" s="404">
        <v>-3.6191855611160126</v>
      </c>
      <c r="M50" s="404">
        <v>-3.5408905603116749</v>
      </c>
      <c r="N50" s="404">
        <v>-3.4750349575867236</v>
      </c>
      <c r="O50" s="101">
        <v>-3.418872391215984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s="8" customFormat="1" hidden="1">
      <c r="B51" s="566"/>
      <c r="C51" s="388">
        <v>9.9000000000000005E-2</v>
      </c>
      <c r="D51" s="98">
        <v>-3422.248159335154</v>
      </c>
      <c r="E51" s="403">
        <v>-3423.5720890907655</v>
      </c>
      <c r="F51" s="105">
        <v>-3424.7809045297427</v>
      </c>
      <c r="G51" s="403">
        <v>-3425.8889937426575</v>
      </c>
      <c r="H51" s="99">
        <v>-3426.9084429097425</v>
      </c>
      <c r="I51" s="566"/>
      <c r="J51" s="388">
        <v>9.9000000000000005E-2</v>
      </c>
      <c r="K51" s="100">
        <v>-3.51112548780115</v>
      </c>
      <c r="L51" s="404">
        <v>-3.4278997103228348</v>
      </c>
      <c r="M51" s="106">
        <v>-3.3588124459428172</v>
      </c>
      <c r="N51" s="404">
        <v>-3.3005429546871214</v>
      </c>
      <c r="O51" s="101">
        <v>-3.2507349225605462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s="8" customFormat="1" hidden="1">
      <c r="B52" s="566"/>
      <c r="C52" s="387">
        <f>+C51+0.005</f>
        <v>0.10400000000000001</v>
      </c>
      <c r="D52" s="98">
        <v>-3392.5134458701873</v>
      </c>
      <c r="E52" s="403">
        <v>-3393.7855620734467</v>
      </c>
      <c r="F52" s="403">
        <v>-3394.9470209869305</v>
      </c>
      <c r="G52" s="403">
        <v>-3396.0116593841185</v>
      </c>
      <c r="H52" s="99">
        <v>-3396.9910994460643</v>
      </c>
      <c r="I52" s="566"/>
      <c r="J52" s="387">
        <f>+J51+0.005</f>
        <v>0.10400000000000001</v>
      </c>
      <c r="K52" s="100">
        <v>-3.3347146969111821</v>
      </c>
      <c r="L52" s="404">
        <v>-3.2608384795709484</v>
      </c>
      <c r="M52" s="404">
        <v>-3.1993380757935759</v>
      </c>
      <c r="N52" s="404">
        <v>-3.1473440213273234</v>
      </c>
      <c r="O52" s="101">
        <v>-3.1028102981450334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s="8" customFormat="1" hidden="1">
      <c r="B53" s="566"/>
      <c r="C53" s="387">
        <f>+C52+0.005</f>
        <v>0.10900000000000001</v>
      </c>
      <c r="D53" s="98">
        <v>-3362.9606800897882</v>
      </c>
      <c r="E53" s="99">
        <v>-3364.1832367273132</v>
      </c>
      <c r="F53" s="99">
        <v>-3365.2994008282858</v>
      </c>
      <c r="G53" s="99">
        <v>-3366.3224814415616</v>
      </c>
      <c r="H53" s="99">
        <v>-3367.2636566338724</v>
      </c>
      <c r="I53" s="566"/>
      <c r="J53" s="387">
        <f>+J52+0.005</f>
        <v>0.10900000000000001</v>
      </c>
      <c r="K53" s="100">
        <v>-3.1797895042178035</v>
      </c>
      <c r="L53" s="101">
        <v>-3.1136822447660824</v>
      </c>
      <c r="M53" s="101">
        <v>-3.0585122190278802</v>
      </c>
      <c r="N53" s="101">
        <v>-3.0117725122267331</v>
      </c>
      <c r="O53" s="101">
        <v>-2.9716679726644584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s="8" customFormat="1">
      <c r="B54" s="51"/>
      <c r="C54" s="86"/>
      <c r="D54" s="86"/>
      <c r="E54" s="107"/>
      <c r="F54" s="38"/>
      <c r="G54" s="38"/>
      <c r="H54" s="38"/>
      <c r="I54" s="51"/>
      <c r="K54" s="108"/>
      <c r="L54" s="108"/>
      <c r="M54" s="108"/>
      <c r="N54" s="108"/>
      <c r="O54" s="108"/>
    </row>
    <row r="55" spans="2:32" s="8" customFormat="1">
      <c r="B55" s="109"/>
      <c r="C55" s="110"/>
      <c r="D55" s="110"/>
      <c r="E55" s="111"/>
      <c r="F55" s="112"/>
      <c r="G55" s="112"/>
      <c r="H55" s="112"/>
      <c r="I55" s="109"/>
      <c r="J55" s="113"/>
      <c r="K55" s="114"/>
      <c r="L55" s="114"/>
      <c r="M55" s="114"/>
      <c r="N55" s="114"/>
      <c r="O55" s="114"/>
    </row>
    <row r="56" spans="2:32" s="8" customFormat="1">
      <c r="B56" s="51"/>
      <c r="C56" s="86"/>
      <c r="D56" s="86"/>
      <c r="E56" s="107"/>
      <c r="F56" s="38"/>
      <c r="G56" s="38"/>
      <c r="H56" s="38"/>
      <c r="I56" s="51"/>
      <c r="K56" s="108"/>
      <c r="L56" s="108"/>
      <c r="M56" s="108"/>
      <c r="N56" s="108"/>
      <c r="O56" s="108"/>
    </row>
    <row r="57" spans="2:32" s="8" customFormat="1">
      <c r="B57" s="51"/>
      <c r="C57" s="86"/>
      <c r="D57" s="86"/>
      <c r="E57" s="107"/>
      <c r="F57" s="115"/>
      <c r="G57" s="115"/>
      <c r="H57" s="115"/>
      <c r="I57" s="116"/>
      <c r="J57" s="108"/>
      <c r="K57" s="108"/>
      <c r="L57" s="108"/>
      <c r="M57" s="108"/>
      <c r="N57" s="108"/>
    </row>
    <row r="58" spans="2:32" s="8" customFormat="1">
      <c r="B58" s="117" t="s">
        <v>50</v>
      </c>
      <c r="C58" s="86"/>
      <c r="D58" s="86"/>
      <c r="E58" s="107"/>
      <c r="I58" s="116"/>
      <c r="K58" s="108"/>
      <c r="L58" s="108"/>
      <c r="M58" s="108"/>
      <c r="N58" s="108"/>
    </row>
    <row r="59" spans="2:32" s="8" customFormat="1" ht="14">
      <c r="B59" s="118" t="s">
        <v>51</v>
      </c>
      <c r="C59" s="119"/>
      <c r="D59" s="119"/>
      <c r="E59" s="120" t="s">
        <v>16</v>
      </c>
      <c r="F59" s="120">
        <f>+IF(ISERROR(F7/E7-1),0,F7/E7-1)</f>
        <v>1.0316441183214859</v>
      </c>
      <c r="G59" s="120">
        <f>+IF(ISERROR(G7/F7-1),0,G7/F7-1)</f>
        <v>1.0562076749435665</v>
      </c>
      <c r="H59" s="120"/>
      <c r="I59" s="120">
        <f>+IF(ISERROR(I7/G7-1),0,I7/G7-1)</f>
        <v>0.59276539686024798</v>
      </c>
      <c r="J59" s="121">
        <v>0.125</v>
      </c>
      <c r="K59" s="120">
        <v>0.125</v>
      </c>
      <c r="L59" s="120">
        <v>0.2</v>
      </c>
      <c r="M59" s="120">
        <v>0.25</v>
      </c>
      <c r="N59" s="122">
        <v>0.3</v>
      </c>
      <c r="O59" s="123"/>
    </row>
    <row r="60" spans="2:32" s="8" customFormat="1">
      <c r="B60" s="124" t="s">
        <v>52</v>
      </c>
      <c r="C60" s="125"/>
      <c r="D60" s="125"/>
      <c r="E60" s="126">
        <f>+IF(ISERROR(E10/E7),0,E10/E7)</f>
        <v>-0.34051822976381563</v>
      </c>
      <c r="F60" s="126">
        <f>+IF(ISERROR(F10/F7),0,F10/F7)</f>
        <v>-0.1935665914221219</v>
      </c>
      <c r="G60" s="126">
        <f>+IF(ISERROR(G10/G7),0,G10/G7)</f>
        <v>-0.35195960039521357</v>
      </c>
      <c r="H60" s="126"/>
      <c r="I60" s="126">
        <f>+IF(ISERROR(I10/I7),0,I10/I7)</f>
        <v>-0.21608022883137473</v>
      </c>
      <c r="J60" s="127">
        <v>1.2</v>
      </c>
      <c r="K60" s="126">
        <v>1.2</v>
      </c>
      <c r="L60" s="126">
        <v>0.95</v>
      </c>
      <c r="M60" s="126">
        <v>0.85</v>
      </c>
      <c r="N60" s="128">
        <v>0.75</v>
      </c>
      <c r="O60" s="593"/>
    </row>
    <row r="61" spans="2:32" s="8" customFormat="1">
      <c r="B61" s="124" t="s">
        <v>53</v>
      </c>
      <c r="C61" s="125"/>
      <c r="D61" s="125"/>
      <c r="E61" s="126">
        <f>+IF(ISERROR(E12/E7),0,E12/E7)</f>
        <v>0.36413666590231597</v>
      </c>
      <c r="F61" s="126">
        <f>+IF(ISERROR(F12/F7),0,F12/F7)</f>
        <v>0.67426636568848752</v>
      </c>
      <c r="G61" s="126">
        <f>+IF(ISERROR(G12/G7),0,G12/G7)</f>
        <v>0.40410582939949502</v>
      </c>
      <c r="H61" s="126"/>
      <c r="I61" s="126">
        <v>0.3</v>
      </c>
      <c r="J61" s="127">
        <v>0.25</v>
      </c>
      <c r="K61" s="126">
        <v>0.25</v>
      </c>
      <c r="L61" s="126">
        <v>0.24</v>
      </c>
      <c r="M61" s="126">
        <v>0.23</v>
      </c>
      <c r="N61" s="128">
        <v>0.22</v>
      </c>
      <c r="O61" s="593"/>
    </row>
    <row r="62" spans="2:32" s="8" customFormat="1">
      <c r="B62" s="129" t="s">
        <v>54</v>
      </c>
      <c r="C62" s="125"/>
      <c r="D62" s="125"/>
      <c r="E62" s="126">
        <f>+IF(ISERROR(E15/E7),0,E15/E7)</f>
        <v>0.2040816326530612</v>
      </c>
      <c r="F62" s="126">
        <f>+IF(ISERROR(F15/F7),0,F15/F7)</f>
        <v>0.18386004514672688</v>
      </c>
      <c r="G62" s="126">
        <f>+IF(ISERROR(G15/G7),0,G15/G7)</f>
        <v>0.17208255571412889</v>
      </c>
      <c r="H62" s="126"/>
      <c r="I62" s="126">
        <f>+IF(ISERROR(I15/I7),0,I15/I7)</f>
        <v>0.15142847296412448</v>
      </c>
      <c r="J62" s="127">
        <v>0.15</v>
      </c>
      <c r="K62" s="126">
        <v>0.15</v>
      </c>
      <c r="L62" s="126">
        <v>0.1</v>
      </c>
      <c r="M62" s="126">
        <v>0.1</v>
      </c>
      <c r="N62" s="128">
        <v>0.1</v>
      </c>
      <c r="O62" s="593"/>
    </row>
    <row r="63" spans="2:32" s="8" customFormat="1">
      <c r="B63" s="124" t="s">
        <v>55</v>
      </c>
      <c r="C63" s="125"/>
      <c r="D63" s="125"/>
      <c r="E63" s="126">
        <f>+IF(ISERROR(-E22/E7),0,-E22/E7)</f>
        <v>-1.784911717495987</v>
      </c>
      <c r="F63" s="126">
        <f>+IF(ISERROR(-F22/F7),0,-F22/F7)</f>
        <v>-1.1651241534988712</v>
      </c>
      <c r="G63" s="126">
        <f>+IF(ISERROR(-G22/G7),0,-G22/G7)</f>
        <v>-1.1328905478098585</v>
      </c>
      <c r="H63" s="126"/>
      <c r="I63" s="126">
        <f>-IF(ISERROR(-I22/I7),0,-I22/I7)</f>
        <v>0.05</v>
      </c>
      <c r="J63" s="127">
        <v>0.05</v>
      </c>
      <c r="K63" s="126">
        <v>0.05</v>
      </c>
      <c r="L63" s="126">
        <v>0.05</v>
      </c>
      <c r="M63" s="126">
        <v>0.1</v>
      </c>
      <c r="N63" s="128">
        <v>0.15</v>
      </c>
      <c r="O63" s="594"/>
    </row>
    <row r="64" spans="2:32" s="8" customFormat="1">
      <c r="B64" s="124" t="s">
        <v>56</v>
      </c>
      <c r="C64" s="125"/>
      <c r="D64" s="125"/>
      <c r="E64" s="305">
        <v>0</v>
      </c>
      <c r="F64" s="305">
        <v>0.1648</v>
      </c>
      <c r="G64" s="311">
        <v>5.0000000000000001E-4</v>
      </c>
      <c r="H64" s="130"/>
      <c r="I64" s="305">
        <v>8.6999999999999994E-2</v>
      </c>
      <c r="J64" s="127">
        <f>I64</f>
        <v>8.6999999999999994E-2</v>
      </c>
      <c r="K64" s="126">
        <f>J64</f>
        <v>8.6999999999999994E-2</v>
      </c>
      <c r="L64" s="126">
        <f>K64</f>
        <v>8.6999999999999994E-2</v>
      </c>
      <c r="M64" s="126">
        <f>L64</f>
        <v>8.6999999999999994E-2</v>
      </c>
      <c r="N64" s="128">
        <f>M64</f>
        <v>8.6999999999999994E-2</v>
      </c>
      <c r="O64" s="594"/>
    </row>
    <row r="65" spans="1:19" s="8" customFormat="1">
      <c r="B65" s="131" t="s">
        <v>57</v>
      </c>
      <c r="C65" s="132"/>
      <c r="D65" s="132"/>
      <c r="E65" s="133"/>
      <c r="F65" s="134"/>
      <c r="G65" s="134"/>
      <c r="H65" s="134"/>
      <c r="I65" s="135"/>
      <c r="J65" s="136">
        <f>NWC!I24</f>
        <v>-0.7739726027397259</v>
      </c>
      <c r="K65" s="137">
        <f>NWC!J24</f>
        <v>-0.83972602739726043</v>
      </c>
      <c r="L65" s="137">
        <f>NWC!K24</f>
        <v>-0.70958904109589049</v>
      </c>
      <c r="M65" s="137">
        <f>NWC!L24</f>
        <v>-0.57123287671232881</v>
      </c>
      <c r="N65" s="138">
        <f>NWC!M24</f>
        <v>-0.45342465753424654</v>
      </c>
      <c r="O65" s="108"/>
    </row>
    <row r="66" spans="1:19" s="8" customFormat="1">
      <c r="B66" s="51"/>
      <c r="C66" s="86"/>
      <c r="D66" s="86"/>
      <c r="E66" s="107"/>
      <c r="F66" s="38"/>
      <c r="G66" s="38"/>
      <c r="H66" s="38"/>
      <c r="I66" s="51"/>
      <c r="K66" s="108"/>
      <c r="L66" s="108"/>
      <c r="M66" s="108"/>
      <c r="N66" s="108"/>
      <c r="O66" s="108"/>
    </row>
    <row r="67" spans="1:19" s="8" customFormat="1">
      <c r="B67" s="109"/>
      <c r="C67" s="110"/>
      <c r="D67" s="110"/>
      <c r="E67" s="111"/>
      <c r="F67" s="112"/>
      <c r="G67" s="112"/>
      <c r="H67" s="112"/>
      <c r="I67" s="109"/>
      <c r="J67" s="113"/>
      <c r="K67" s="114"/>
      <c r="L67" s="114"/>
      <c r="M67" s="114"/>
      <c r="N67" s="114"/>
      <c r="O67" s="114"/>
    </row>
    <row r="68" spans="1:19" s="8" customFormat="1">
      <c r="B68" s="51"/>
      <c r="C68" s="86"/>
      <c r="D68" s="86"/>
      <c r="E68" s="107"/>
      <c r="F68" s="38"/>
      <c r="G68" s="38"/>
      <c r="H68" s="38"/>
      <c r="I68" s="51"/>
      <c r="K68" s="108"/>
      <c r="L68" s="108"/>
      <c r="M68" s="108"/>
      <c r="N68" s="108"/>
      <c r="O68" s="108"/>
    </row>
    <row r="69" spans="1:19" hidden="1">
      <c r="C69" s="116"/>
      <c r="D69" s="1"/>
      <c r="E69" s="1"/>
      <c r="F69" s="1"/>
      <c r="G69" s="139"/>
      <c r="H69" s="1"/>
      <c r="I69" s="1"/>
      <c r="J69" s="116"/>
      <c r="K69" s="108"/>
      <c r="L69" s="108"/>
      <c r="M69" s="108"/>
      <c r="N69" s="140"/>
      <c r="O69" s="108"/>
      <c r="P69" s="3"/>
      <c r="Q69" s="8"/>
      <c r="R69" s="8"/>
      <c r="S69" s="141"/>
    </row>
    <row r="70" spans="1:19" ht="25" hidden="1">
      <c r="A70" s="316" t="str">
        <f>+A1</f>
        <v>ValueCo Corporation</v>
      </c>
      <c r="B70" s="373" t="str">
        <f>B1</f>
        <v>WE WORK</v>
      </c>
      <c r="C70" s="374"/>
      <c r="D70" s="374"/>
      <c r="E70" s="374"/>
      <c r="F70" s="374"/>
      <c r="G70" s="374"/>
      <c r="H70" s="374"/>
      <c r="I70" s="374"/>
      <c r="J70" s="374"/>
      <c r="K70" s="374"/>
      <c r="L70" s="374"/>
      <c r="M70" s="374"/>
      <c r="N70" s="374"/>
      <c r="O70" s="374"/>
      <c r="P70" s="319"/>
      <c r="Q70" s="8"/>
      <c r="R70" s="8"/>
      <c r="S70" s="141"/>
    </row>
    <row r="71" spans="1:19" ht="18" hidden="1">
      <c r="A71" s="318" t="s">
        <v>58</v>
      </c>
      <c r="B71" s="374"/>
      <c r="C71" s="374"/>
      <c r="D71" s="374"/>
      <c r="E71" s="374"/>
      <c r="F71" s="374"/>
      <c r="G71" s="374"/>
      <c r="H71" s="374"/>
      <c r="I71" s="374"/>
      <c r="J71" s="374"/>
      <c r="K71" s="374"/>
      <c r="L71" s="374"/>
      <c r="M71" s="374"/>
      <c r="N71" s="374"/>
      <c r="O71" s="374"/>
      <c r="P71" s="320"/>
      <c r="Q71" s="8"/>
      <c r="R71" s="8"/>
      <c r="S71" s="141"/>
    </row>
    <row r="72" spans="1:19" hidden="1">
      <c r="A72" s="5" t="s">
        <v>59</v>
      </c>
      <c r="B72" s="374"/>
      <c r="C72" s="374"/>
      <c r="D72" s="374"/>
      <c r="E72" s="374"/>
      <c r="F72" s="374"/>
      <c r="G72" s="374"/>
      <c r="H72" s="374"/>
      <c r="I72" s="374"/>
      <c r="J72" s="374"/>
      <c r="K72" s="374"/>
      <c r="L72" s="374"/>
      <c r="M72" s="374"/>
      <c r="N72" s="374"/>
      <c r="O72" s="374"/>
      <c r="P72" s="142"/>
      <c r="Q72" s="8"/>
      <c r="R72" s="8"/>
      <c r="S72" s="141"/>
    </row>
    <row r="73" spans="1:19" hidden="1">
      <c r="P73" s="8"/>
      <c r="Q73" s="8"/>
      <c r="R73" s="8"/>
      <c r="S73" s="141"/>
    </row>
    <row r="74" spans="1:19" hidden="1">
      <c r="P74" s="8"/>
      <c r="Q74" s="8"/>
      <c r="R74" s="8"/>
      <c r="S74" s="141"/>
    </row>
    <row r="75" spans="1:19" ht="16" hidden="1">
      <c r="B75" s="8"/>
      <c r="C75" s="385" t="s">
        <v>31</v>
      </c>
      <c r="D75" s="386"/>
      <c r="E75" s="386"/>
      <c r="F75" s="386"/>
      <c r="G75" s="386"/>
      <c r="H75" s="380"/>
      <c r="I75" s="96"/>
      <c r="J75" s="385" t="s">
        <v>60</v>
      </c>
      <c r="K75" s="386"/>
      <c r="L75" s="386"/>
      <c r="M75" s="386"/>
      <c r="N75" s="386"/>
      <c r="O75" s="380"/>
      <c r="P75" s="8"/>
      <c r="Q75" s="8"/>
      <c r="R75" s="8"/>
    </row>
    <row r="76" spans="1:19" ht="16" hidden="1">
      <c r="B76" s="91"/>
      <c r="C76" s="8"/>
      <c r="D76" s="92" t="s">
        <v>39</v>
      </c>
      <c r="E76" s="92"/>
      <c r="F76" s="92"/>
      <c r="G76" s="92"/>
      <c r="H76" s="92"/>
      <c r="I76" s="91"/>
      <c r="J76" s="8"/>
      <c r="K76" s="92" t="s">
        <v>39</v>
      </c>
      <c r="L76" s="92"/>
      <c r="M76" s="92"/>
      <c r="N76" s="92"/>
      <c r="O76" s="92"/>
      <c r="Q76" s="8"/>
      <c r="R76" s="8"/>
    </row>
    <row r="77" spans="1:19" hidden="1">
      <c r="B77" s="68"/>
      <c r="C77" s="362">
        <f>E43</f>
        <v>2270.833085884065</v>
      </c>
      <c r="D77" s="401">
        <f>+E77-0.5</f>
        <v>6.6</v>
      </c>
      <c r="E77" s="401">
        <f>+F77-0.5</f>
        <v>7.1</v>
      </c>
      <c r="F77" s="402">
        <v>7.6</v>
      </c>
      <c r="G77" s="401">
        <f>+F77+0.5</f>
        <v>8.1</v>
      </c>
      <c r="H77" s="401">
        <f>+G77+0.5</f>
        <v>8.6</v>
      </c>
      <c r="I77" s="75"/>
      <c r="J77" s="362">
        <f>J39</f>
        <v>10624.973085884065</v>
      </c>
      <c r="K77" s="401">
        <f>+L77-0.5</f>
        <v>5.5</v>
      </c>
      <c r="L77" s="401">
        <f>+M77-0.5</f>
        <v>6</v>
      </c>
      <c r="M77" s="402">
        <v>6.5</v>
      </c>
      <c r="N77" s="401">
        <f>+M77+0.5</f>
        <v>7</v>
      </c>
      <c r="O77" s="401">
        <f>+N77+0.5</f>
        <v>7.5</v>
      </c>
      <c r="Q77" s="8"/>
      <c r="R77" s="8"/>
    </row>
    <row r="78" spans="1:19" hidden="1">
      <c r="B78" s="566" t="s">
        <v>36</v>
      </c>
      <c r="C78" s="387">
        <f>+C79-0.005</f>
        <v>8.4999999999999992E-2</v>
      </c>
      <c r="D78" s="143">
        <f t="dataTable" ref="D78:H82" dt2D="1" dtr="0" r1="E37" r2="E26" ca="1"/>
        <v>-3486.3005192874029</v>
      </c>
      <c r="E78" s="144">
        <v>-3490.056274330193</v>
      </c>
      <c r="F78" s="144">
        <v>-3493.3122615695515</v>
      </c>
      <c r="G78" s="144">
        <v>-3496.1620120978237</v>
      </c>
      <c r="H78" s="144">
        <v>-3498.6770884595339</v>
      </c>
      <c r="I78" s="566" t="s">
        <v>36</v>
      </c>
      <c r="J78" s="387">
        <f>+J79-0.005</f>
        <v>8.4999999999999992E-2</v>
      </c>
      <c r="K78" s="143">
        <f t="dataTable" ref="K78:O82" dt2D="1" dtr="0" r1="E37" r2="E26" ca="1"/>
        <v>4878.5435559804419</v>
      </c>
      <c r="L78" s="144">
        <v>4873.1845265199008</v>
      </c>
      <c r="M78" s="144">
        <v>4868.6608874663043</v>
      </c>
      <c r="N78" s="144">
        <v>4864.7914261500318</v>
      </c>
      <c r="O78" s="144">
        <v>4861.4438072230059</v>
      </c>
      <c r="Q78" s="8"/>
      <c r="R78" s="8"/>
    </row>
    <row r="79" spans="1:19" hidden="1">
      <c r="B79" s="566"/>
      <c r="C79" s="387">
        <f>+C80-0.005</f>
        <v>0.09</v>
      </c>
      <c r="D79" s="98">
        <v>-3456.9260508515745</v>
      </c>
      <c r="E79" s="102">
        <v>-3460.534906493057</v>
      </c>
      <c r="F79" s="102">
        <v>-3463.6632221023847</v>
      </c>
      <c r="G79" s="102">
        <v>-3466.4009864496238</v>
      </c>
      <c r="H79" s="99">
        <v>-3468.8170393577047</v>
      </c>
      <c r="I79" s="566"/>
      <c r="J79" s="387">
        <f>+J80-0.005</f>
        <v>0.09</v>
      </c>
      <c r="K79" s="98">
        <v>4907.5015224761401</v>
      </c>
      <c r="L79" s="102">
        <v>4902.350614741682</v>
      </c>
      <c r="M79" s="102">
        <v>4898.0032807567486</v>
      </c>
      <c r="N79" s="102">
        <v>4894.285083383239</v>
      </c>
      <c r="O79" s="99">
        <v>4891.0686670317955</v>
      </c>
      <c r="Q79" s="8"/>
      <c r="R79" s="8"/>
    </row>
    <row r="80" spans="1:19" hidden="1">
      <c r="B80" s="566"/>
      <c r="C80" s="388">
        <v>9.5000000000000001E-2</v>
      </c>
      <c r="D80" s="98">
        <v>-3427.6550108091201</v>
      </c>
      <c r="E80" s="102">
        <v>-3431.1233733333206</v>
      </c>
      <c r="F80" s="105">
        <v>-3434.1295956144563</v>
      </c>
      <c r="G80" s="102">
        <v>-3436.7602748248696</v>
      </c>
      <c r="H80" s="99">
        <v>-3439.0816443103663</v>
      </c>
      <c r="I80" s="566"/>
      <c r="J80" s="388">
        <v>9.5000000000000001E-2</v>
      </c>
      <c r="K80" s="98">
        <v>4936.3741538274116</v>
      </c>
      <c r="L80" s="102">
        <v>4931.4223398053473</v>
      </c>
      <c r="M80" s="105">
        <v>4927.2436427266184</v>
      </c>
      <c r="N80" s="102">
        <v>4923.6701153913691</v>
      </c>
      <c r="O80" s="99">
        <v>4920.579171085863</v>
      </c>
      <c r="Q80" s="8"/>
      <c r="R80" s="8"/>
    </row>
    <row r="81" spans="2:22" hidden="1">
      <c r="B81" s="566"/>
      <c r="C81" s="387">
        <f>+C80+0.005</f>
        <v>0.1</v>
      </c>
      <c r="D81" s="98">
        <v>-3398.5061653320336</v>
      </c>
      <c r="E81" s="102">
        <v>-3401.8401333930778</v>
      </c>
      <c r="F81" s="102">
        <v>-3404.7295723793168</v>
      </c>
      <c r="G81" s="102">
        <v>-3407.2578314922753</v>
      </c>
      <c r="H81" s="99">
        <v>-3409.4886483566506</v>
      </c>
      <c r="I81" s="566"/>
      <c r="J81" s="387">
        <f>+J80+0.005</f>
        <v>0.1</v>
      </c>
      <c r="K81" s="98">
        <v>4965.1418176568704</v>
      </c>
      <c r="L81" s="102">
        <v>4960.3805010599608</v>
      </c>
      <c r="M81" s="102">
        <v>4956.3631401813191</v>
      </c>
      <c r="N81" s="102">
        <v>4952.9280055169729</v>
      </c>
      <c r="O81" s="99">
        <v>4949.9570782397004</v>
      </c>
      <c r="Q81" s="8"/>
      <c r="R81" s="8"/>
    </row>
    <row r="82" spans="2:22" hidden="1">
      <c r="B82" s="566"/>
      <c r="C82" s="387">
        <f>+C81+0.005</f>
        <v>0.10500000000000001</v>
      </c>
      <c r="D82" s="98">
        <v>-3369.4966114061235</v>
      </c>
      <c r="E82" s="99">
        <v>-3372.7019921358392</v>
      </c>
      <c r="F82" s="99">
        <v>-3375.4797036554528</v>
      </c>
      <c r="G82" s="99">
        <v>-3377.909984090687</v>
      </c>
      <c r="H82" s="99">
        <v>-3380.0541808961111</v>
      </c>
      <c r="I82" s="566"/>
      <c r="J82" s="387">
        <f>+J81+0.005</f>
        <v>0.10500000000000001</v>
      </c>
      <c r="K82" s="98">
        <v>4993.7865960173413</v>
      </c>
      <c r="L82" s="99">
        <v>4989.2075897550694</v>
      </c>
      <c r="M82" s="99">
        <v>4985.344612619032</v>
      </c>
      <c r="N82" s="99">
        <v>4982.0418932257126</v>
      </c>
      <c r="O82" s="99">
        <v>4979.1857890309484</v>
      </c>
      <c r="Q82" s="8"/>
      <c r="R82" s="8"/>
    </row>
    <row r="83" spans="2:22" hidden="1">
      <c r="B83" s="96"/>
      <c r="C83" s="71"/>
      <c r="D83" s="72"/>
      <c r="E83" s="72"/>
      <c r="F83" s="72"/>
      <c r="G83" s="72"/>
      <c r="H83" s="72"/>
      <c r="I83" s="321"/>
      <c r="J83" s="321"/>
      <c r="K83" s="321"/>
      <c r="L83" s="321"/>
      <c r="M83" s="321"/>
      <c r="N83" s="321"/>
      <c r="O83" s="321"/>
      <c r="Q83" s="8"/>
      <c r="R83" s="8"/>
    </row>
    <row r="84" spans="2:22" hidden="1">
      <c r="B84" s="96"/>
      <c r="C84" s="71"/>
      <c r="D84" s="72"/>
      <c r="E84" s="72"/>
      <c r="F84" s="72"/>
      <c r="G84" s="72"/>
      <c r="H84" s="72"/>
      <c r="I84" s="321"/>
      <c r="J84" s="321"/>
      <c r="K84" s="321"/>
      <c r="L84" s="321"/>
      <c r="M84" s="321"/>
      <c r="N84" s="321"/>
      <c r="O84" s="321"/>
      <c r="Q84" s="8"/>
      <c r="R84" s="8"/>
    </row>
    <row r="85" spans="2:22" ht="16" hidden="1">
      <c r="B85" s="96"/>
      <c r="C85" s="385" t="s">
        <v>61</v>
      </c>
      <c r="D85" s="386"/>
      <c r="E85" s="386"/>
      <c r="F85" s="386"/>
      <c r="G85" s="386"/>
      <c r="H85" s="380"/>
      <c r="I85" s="64"/>
      <c r="J85" s="385" t="s">
        <v>155</v>
      </c>
      <c r="K85" s="386"/>
      <c r="L85" s="386"/>
      <c r="M85" s="386"/>
      <c r="N85" s="386"/>
      <c r="O85" s="400"/>
      <c r="Q85" s="8"/>
      <c r="R85" s="8"/>
    </row>
    <row r="86" spans="2:22" ht="16" hidden="1">
      <c r="B86" s="91"/>
      <c r="C86" s="8"/>
      <c r="D86" s="92" t="s">
        <v>39</v>
      </c>
      <c r="E86" s="92"/>
      <c r="F86" s="92"/>
      <c r="G86" s="92"/>
      <c r="H86" s="92"/>
      <c r="I86" s="91"/>
      <c r="J86" s="8"/>
      <c r="K86" s="92" t="s">
        <v>39</v>
      </c>
      <c r="L86" s="92"/>
      <c r="M86" s="92"/>
      <c r="N86" s="92"/>
      <c r="O86" s="92"/>
      <c r="Q86" s="8"/>
      <c r="R86" s="8"/>
    </row>
    <row r="87" spans="2:22" ht="12.75" hidden="1" customHeight="1">
      <c r="B87" s="75"/>
      <c r="C87" s="595">
        <f ca="1">+J43</f>
        <v>27.784571559019124</v>
      </c>
      <c r="D87" s="401">
        <f>+E87-0.5</f>
        <v>6.6</v>
      </c>
      <c r="E87" s="401">
        <f>+F87-0.5</f>
        <v>7.1</v>
      </c>
      <c r="F87" s="402">
        <v>7.6</v>
      </c>
      <c r="G87" s="401">
        <f>+F87+0.5</f>
        <v>8.1</v>
      </c>
      <c r="H87" s="401">
        <f>+G87+0.5</f>
        <v>8.6</v>
      </c>
      <c r="I87" s="68"/>
      <c r="J87" s="362">
        <f>E41</f>
        <v>2.6579434678171463</v>
      </c>
      <c r="K87" s="401">
        <f>+L87-0.5</f>
        <v>6.6</v>
      </c>
      <c r="L87" s="401">
        <f>+M87-0.5</f>
        <v>7.1</v>
      </c>
      <c r="M87" s="402">
        <v>7.6</v>
      </c>
      <c r="N87" s="401">
        <f>+M87+0.5</f>
        <v>8.1</v>
      </c>
      <c r="O87" s="401">
        <f>+N87+0.5</f>
        <v>8.6</v>
      </c>
      <c r="Q87" s="8"/>
      <c r="R87" s="8"/>
    </row>
    <row r="88" spans="2:22" ht="12.75" hidden="1" customHeight="1">
      <c r="B88" s="566" t="s">
        <v>36</v>
      </c>
      <c r="C88" s="387">
        <f>+C89-0.005</f>
        <v>8.4999999999999992E-2</v>
      </c>
      <c r="D88" s="145">
        <f t="dataTable" ref="D88:H92" dt2D="1" dtr="0" r1="E37" r2="E26" ca="1"/>
        <v>13.3310680014038</v>
      </c>
      <c r="E88" s="146">
        <v>13.320782488483657</v>
      </c>
      <c r="F88" s="146">
        <v>13.311865639957409</v>
      </c>
      <c r="G88" s="146">
        <v>13.304061311521773</v>
      </c>
      <c r="H88" s="146">
        <v>13.29717352195116</v>
      </c>
      <c r="I88" s="566" t="s">
        <v>36</v>
      </c>
      <c r="J88" s="387">
        <f>+J89-0.005</f>
        <v>8.4999999999999992E-2</v>
      </c>
      <c r="K88" s="147">
        <f t="dataTable" ref="K88:O92" dt2D="1" dtr="0" r1="E37" r2="E26" ca="1"/>
        <v>-0.10587025608269651</v>
      </c>
      <c r="L88" s="148">
        <v>-0.10468019567550396</v>
      </c>
      <c r="M88" s="148">
        <v>-0.10365056409625445</v>
      </c>
      <c r="N88" s="148">
        <v>-0.10275096940722754</v>
      </c>
      <c r="O88" s="148">
        <v>-0.10195824037682981</v>
      </c>
      <c r="Q88" s="8"/>
      <c r="R88" s="8"/>
    </row>
    <row r="89" spans="2:22" ht="12.75" hidden="1" customHeight="1">
      <c r="B89" s="566"/>
      <c r="C89" s="387">
        <f>+C90-0.005</f>
        <v>0.09</v>
      </c>
      <c r="D89" s="149">
        <v>13.411512937555594</v>
      </c>
      <c r="E89" s="150">
        <v>13.401629723420355</v>
      </c>
      <c r="F89" s="150">
        <v>13.393062516493536</v>
      </c>
      <c r="G89" s="150">
        <v>13.385564873477684</v>
      </c>
      <c r="H89" s="151">
        <v>13.378948269594126</v>
      </c>
      <c r="I89" s="566"/>
      <c r="J89" s="387">
        <f>+J90-0.005</f>
        <v>0.09</v>
      </c>
      <c r="K89" s="100">
        <v>-0.10205035708336947</v>
      </c>
      <c r="L89" s="103">
        <v>-0.1009010721445308</v>
      </c>
      <c r="M89" s="103">
        <v>-9.9906758960056477E-2</v>
      </c>
      <c r="N89" s="103">
        <v>-9.9038052332710277E-2</v>
      </c>
      <c r="O89" s="101">
        <v>-9.8272565409559809E-2</v>
      </c>
      <c r="Q89" s="3"/>
      <c r="R89" s="8"/>
    </row>
    <row r="90" spans="2:22" ht="12.75" hidden="1" customHeight="1">
      <c r="B90" s="566"/>
      <c r="C90" s="388">
        <v>9.5000000000000001E-2</v>
      </c>
      <c r="D90" s="149">
        <v>13.491674624649816</v>
      </c>
      <c r="E90" s="150">
        <v>13.482176165046361</v>
      </c>
      <c r="F90" s="152">
        <v>13.473943322978347</v>
      </c>
      <c r="G90" s="150">
        <v>13.466738943379788</v>
      </c>
      <c r="H90" s="151">
        <v>13.460381639571773</v>
      </c>
      <c r="I90" s="566"/>
      <c r="J90" s="388">
        <v>9.5000000000000001E-2</v>
      </c>
      <c r="K90" s="100">
        <v>-9.8393178243398091E-2</v>
      </c>
      <c r="L90" s="103">
        <v>-9.7282863829796576E-2</v>
      </c>
      <c r="M90" s="106">
        <v>-9.6322307129150742E-2</v>
      </c>
      <c r="N90" s="103">
        <v>-9.5483123691654861E-2</v>
      </c>
      <c r="O90" s="101">
        <v>-9.4743675967457405E-2</v>
      </c>
      <c r="Q90" s="319"/>
      <c r="R90" s="8"/>
    </row>
    <row r="91" spans="2:22" ht="12.75" hidden="1" customHeight="1">
      <c r="B91" s="566"/>
      <c r="C91" s="387">
        <f>+C90+0.005</f>
        <v>0.1</v>
      </c>
      <c r="D91" s="149">
        <v>13.571501669637042</v>
      </c>
      <c r="E91" s="150">
        <v>13.562371262787682</v>
      </c>
      <c r="F91" s="150">
        <v>13.554458243518233</v>
      </c>
      <c r="G91" s="150">
        <v>13.547534351657466</v>
      </c>
      <c r="H91" s="151">
        <v>13.541425035309734</v>
      </c>
      <c r="I91" s="566"/>
      <c r="J91" s="387">
        <f>+J90+0.005</f>
        <v>0.1</v>
      </c>
      <c r="K91" s="100">
        <v>-9.4890408378338981E-2</v>
      </c>
      <c r="L91" s="103">
        <v>-9.3817362759279779E-2</v>
      </c>
      <c r="M91" s="103">
        <v>-9.2889089760031657E-2</v>
      </c>
      <c r="N91" s="103">
        <v>-9.2078142383199668E-2</v>
      </c>
      <c r="O91" s="101">
        <v>-9.1363599356808212E-2</v>
      </c>
      <c r="Q91" s="320"/>
      <c r="R91" s="8"/>
    </row>
    <row r="92" spans="2:22" ht="12.75" hidden="1" customHeight="1">
      <c r="B92" s="566"/>
      <c r="C92" s="387">
        <f>+C91+0.005</f>
        <v>0.10500000000000001</v>
      </c>
      <c r="D92" s="149">
        <v>13.650947250702112</v>
      </c>
      <c r="E92" s="151">
        <v>13.64216899319228</v>
      </c>
      <c r="F92" s="151">
        <v>13.634561950827186</v>
      </c>
      <c r="G92" s="151">
        <v>13.627906383429583</v>
      </c>
      <c r="H92" s="151">
        <v>13.622034284825109</v>
      </c>
      <c r="I92" s="566"/>
      <c r="J92" s="387">
        <f>+J91+0.005</f>
        <v>0.10500000000000001</v>
      </c>
      <c r="K92" s="100">
        <v>-9.1534249800558035E-2</v>
      </c>
      <c r="L92" s="101">
        <v>-9.0496867055716204E-2</v>
      </c>
      <c r="M92" s="101">
        <v>-8.9599487727248364E-2</v>
      </c>
      <c r="N92" s="101">
        <v>-8.8815561474110655E-2</v>
      </c>
      <c r="O92" s="101">
        <v>-8.812485217666674E-2</v>
      </c>
      <c r="Q92" s="142"/>
      <c r="R92" s="8"/>
    </row>
    <row r="93" spans="2:22" ht="12.75" hidden="1" customHeight="1">
      <c r="C93" s="321"/>
      <c r="D93" s="321"/>
      <c r="E93" s="321"/>
      <c r="F93" s="321"/>
      <c r="G93" s="321"/>
      <c r="H93" s="321"/>
      <c r="I93" s="321"/>
      <c r="J93" s="321"/>
      <c r="K93" s="321"/>
      <c r="L93" s="321"/>
      <c r="M93" s="321"/>
      <c r="N93" s="321"/>
      <c r="O93" s="321"/>
      <c r="Q93" s="8"/>
      <c r="R93" s="8"/>
    </row>
    <row r="94" spans="2:22" hidden="1">
      <c r="C94" s="321"/>
      <c r="D94" s="321"/>
      <c r="E94" s="321"/>
      <c r="F94" s="321"/>
      <c r="G94" s="321"/>
      <c r="H94" s="321"/>
      <c r="P94" s="321"/>
      <c r="Q94" s="8"/>
      <c r="R94" s="8"/>
      <c r="S94" s="8"/>
      <c r="T94" s="8"/>
      <c r="U94" s="8"/>
    </row>
    <row r="95" spans="2:22" ht="16" hidden="1">
      <c r="B95" s="64"/>
      <c r="C95" s="385" t="s">
        <v>33</v>
      </c>
      <c r="D95" s="386"/>
      <c r="E95" s="386"/>
      <c r="F95" s="386"/>
      <c r="G95" s="386"/>
      <c r="H95" s="400"/>
      <c r="I95" s="68"/>
      <c r="J95" s="571" t="s">
        <v>62</v>
      </c>
      <c r="K95" s="571"/>
      <c r="L95" s="571"/>
      <c r="M95" s="571"/>
      <c r="N95" s="571"/>
      <c r="O95" s="571"/>
      <c r="P95" s="2"/>
      <c r="S95" s="1"/>
      <c r="T95" s="1"/>
      <c r="U95" s="1"/>
      <c r="V95" s="1"/>
    </row>
    <row r="96" spans="2:22" ht="16" hidden="1">
      <c r="B96" s="153"/>
      <c r="C96" s="8"/>
      <c r="D96" s="92" t="s">
        <v>39</v>
      </c>
      <c r="E96" s="92"/>
      <c r="F96" s="92"/>
      <c r="G96" s="92"/>
      <c r="H96" s="92"/>
      <c r="I96" s="91"/>
      <c r="J96" s="8"/>
      <c r="K96" s="92" t="s">
        <v>39</v>
      </c>
      <c r="L96" s="92"/>
      <c r="M96" s="92"/>
      <c r="N96" s="92"/>
      <c r="O96" s="92"/>
      <c r="P96" s="2"/>
      <c r="S96" s="1"/>
      <c r="T96" s="1"/>
      <c r="U96" s="1"/>
      <c r="V96" s="1"/>
    </row>
    <row r="97" spans="2:22" hidden="1">
      <c r="B97" s="75"/>
      <c r="C97" s="362">
        <f>O37</f>
        <v>0.18864735906101829</v>
      </c>
      <c r="D97" s="401">
        <f>+E97-0.5</f>
        <v>5.5</v>
      </c>
      <c r="E97" s="401">
        <f>+F97-0.5</f>
        <v>6</v>
      </c>
      <c r="F97" s="402">
        <v>6.5</v>
      </c>
      <c r="G97" s="401">
        <f>+F97+0.5</f>
        <v>7</v>
      </c>
      <c r="H97" s="401">
        <f>+G97+0.5</f>
        <v>7.5</v>
      </c>
      <c r="I97" s="68"/>
      <c r="J97" s="362">
        <f>O43</f>
        <v>-2.1980767456045545</v>
      </c>
      <c r="K97" s="401">
        <f>+L97-0.5</f>
        <v>5.5</v>
      </c>
      <c r="L97" s="401">
        <f>+M97-0.5</f>
        <v>6</v>
      </c>
      <c r="M97" s="402">
        <v>6.5</v>
      </c>
      <c r="N97" s="401">
        <f>+M97+0.5</f>
        <v>7</v>
      </c>
      <c r="O97" s="401">
        <f>+N97+0.5</f>
        <v>7.5</v>
      </c>
      <c r="P97" s="2"/>
      <c r="S97" s="1"/>
      <c r="T97" s="1"/>
      <c r="U97" s="1"/>
      <c r="V97" s="1"/>
    </row>
    <row r="98" spans="2:22" ht="12.75" hidden="1" customHeight="1">
      <c r="B98" s="566" t="s">
        <v>36</v>
      </c>
      <c r="C98" s="387">
        <f>+C99-0.005</f>
        <v>8.4999999999999992E-2</v>
      </c>
      <c r="D98" s="147">
        <f t="dataTable" ref="D98:H102" dt2D="1" dtr="0" r1="E37" r2="E26" ca="1"/>
        <v>-4.5595458069860264</v>
      </c>
      <c r="E98" s="148">
        <v>-4.35405743604582</v>
      </c>
      <c r="F98" s="148">
        <v>-4.1942441559874171</v>
      </c>
      <c r="G98" s="148">
        <v>-4.0664004666197284</v>
      </c>
      <c r="H98" s="148">
        <v>-3.961805668982445</v>
      </c>
      <c r="I98" s="566" t="s">
        <v>36</v>
      </c>
      <c r="J98" s="387">
        <f>+J99-0.005</f>
        <v>8.4999999999999992E-2</v>
      </c>
      <c r="K98" s="154">
        <f t="dataTable" ref="K98:O102" dt2D="1" dtr="0" r1="E37" r2="E26" ca="1"/>
        <v>3.3642400968149819</v>
      </c>
      <c r="L98" s="155">
        <v>3.3694274256897669</v>
      </c>
      <c r="M98" s="155">
        <v>3.3738061296425279</v>
      </c>
      <c r="N98" s="155">
        <v>3.3775516153808618</v>
      </c>
      <c r="O98" s="155">
        <v>3.3807919782954157</v>
      </c>
      <c r="P98" s="2"/>
      <c r="S98" s="1"/>
      <c r="T98" s="1"/>
      <c r="U98" s="1"/>
      <c r="V98" s="1"/>
    </row>
    <row r="99" spans="2:22" hidden="1">
      <c r="B99" s="566"/>
      <c r="C99" s="387">
        <f>+C100-0.005</f>
        <v>0.09</v>
      </c>
      <c r="D99" s="100">
        <v>-4.2344733721725589</v>
      </c>
      <c r="E99" s="103">
        <v>-4.0597717425753412</v>
      </c>
      <c r="F99" s="103">
        <v>-3.9229464672794929</v>
      </c>
      <c r="G99" s="103">
        <v>-3.8128845041947295</v>
      </c>
      <c r="H99" s="101">
        <v>-3.7224329722207021</v>
      </c>
      <c r="I99" s="566"/>
      <c r="J99" s="387">
        <f>+J100-0.005</f>
        <v>0.09</v>
      </c>
      <c r="K99" s="156">
        <v>3.3362099288779978</v>
      </c>
      <c r="L99" s="157">
        <v>3.3411958041412428</v>
      </c>
      <c r="M99" s="157">
        <v>3.3454038517503157</v>
      </c>
      <c r="N99" s="157">
        <v>3.3490029199658897</v>
      </c>
      <c r="O99" s="158">
        <v>3.3521162839688357</v>
      </c>
      <c r="P99" s="2"/>
      <c r="S99" s="1"/>
      <c r="T99" s="1"/>
      <c r="U99" s="1"/>
      <c r="V99" s="1"/>
    </row>
    <row r="100" spans="2:22" hidden="1">
      <c r="B100" s="566"/>
      <c r="C100" s="388">
        <v>9.5000000000000001E-2</v>
      </c>
      <c r="D100" s="100">
        <v>-3.9609884289739914</v>
      </c>
      <c r="E100" s="103">
        <v>-3.8103507881883463</v>
      </c>
      <c r="F100" s="106">
        <v>-3.6916725438672953</v>
      </c>
      <c r="G100" s="103">
        <v>-3.5957583472998227</v>
      </c>
      <c r="H100" s="101">
        <v>-3.5166317168442904</v>
      </c>
      <c r="I100" s="566"/>
      <c r="J100" s="388">
        <v>9.5000000000000001E-2</v>
      </c>
      <c r="K100" s="156">
        <v>3.3082623619906961</v>
      </c>
      <c r="L100" s="157">
        <v>3.31305552240311</v>
      </c>
      <c r="M100" s="159">
        <v>3.3171003361469187</v>
      </c>
      <c r="N100" s="157">
        <v>3.3205593694788798</v>
      </c>
      <c r="O100" s="158">
        <v>3.3235512814965995</v>
      </c>
      <c r="P100" s="2"/>
      <c r="S100" s="1"/>
      <c r="T100" s="1"/>
      <c r="U100" s="1"/>
      <c r="V100" s="1"/>
    </row>
    <row r="101" spans="2:22" hidden="1">
      <c r="B101" s="566"/>
      <c r="C101" s="387">
        <f>+C100+0.005</f>
        <v>0.1</v>
      </c>
      <c r="D101" s="100">
        <v>-3.7277244104546856</v>
      </c>
      <c r="E101" s="103">
        <v>-3.5962718554634927</v>
      </c>
      <c r="F101" s="103">
        <v>-3.4921838441442685</v>
      </c>
      <c r="G101" s="103">
        <v>-3.4077211770221694</v>
      </c>
      <c r="H101" s="101">
        <v>-3.3378116176105666</v>
      </c>
      <c r="I101" s="566"/>
      <c r="J101" s="387">
        <f>+J100+0.005</f>
        <v>0.1</v>
      </c>
      <c r="K101" s="156">
        <v>3.2804163995190487</v>
      </c>
      <c r="L101" s="157">
        <v>3.2850251659471867</v>
      </c>
      <c r="M101" s="157">
        <v>3.2889138126209279</v>
      </c>
      <c r="N101" s="157">
        <v>3.2922388873129678</v>
      </c>
      <c r="O101" s="158">
        <v>3.2951146275871639</v>
      </c>
      <c r="P101" s="2"/>
      <c r="S101" s="1"/>
      <c r="T101" s="1"/>
      <c r="U101" s="1"/>
      <c r="V101" s="1"/>
    </row>
    <row r="102" spans="2:22" hidden="1">
      <c r="B102" s="566"/>
      <c r="C102" s="387">
        <f>+C101+0.005</f>
        <v>0.10500000000000001</v>
      </c>
      <c r="D102" s="100">
        <v>-3.5264259059302412</v>
      </c>
      <c r="E102" s="101">
        <v>-3.4105294528381656</v>
      </c>
      <c r="F102" s="101">
        <v>-3.3183580531429602</v>
      </c>
      <c r="G102" s="101">
        <v>-3.2433030344881981</v>
      </c>
      <c r="H102" s="101">
        <v>-3.1810016694077743</v>
      </c>
      <c r="I102" s="566"/>
      <c r="J102" s="387">
        <f>+J101+0.005</f>
        <v>0.10500000000000001</v>
      </c>
      <c r="K102" s="156">
        <v>3.2526893853282921</v>
      </c>
      <c r="L102" s="158">
        <v>3.2571216825524449</v>
      </c>
      <c r="M102" s="158">
        <v>3.2608608918603887</v>
      </c>
      <c r="N102" s="158">
        <v>3.2640577937995232</v>
      </c>
      <c r="O102" s="158">
        <v>3.2668223898645352</v>
      </c>
      <c r="P102" s="2"/>
      <c r="S102" s="1"/>
      <c r="T102" s="1"/>
      <c r="U102" s="1"/>
      <c r="V102" s="1"/>
    </row>
    <row r="103" spans="2:22" hidden="1">
      <c r="B103" s="96"/>
      <c r="C103" s="160"/>
      <c r="D103" s="99"/>
      <c r="E103" s="99"/>
      <c r="F103" s="99"/>
      <c r="G103" s="99"/>
      <c r="H103" s="99"/>
      <c r="I103" s="96"/>
      <c r="J103" s="71"/>
      <c r="K103" s="158"/>
      <c r="L103" s="158"/>
      <c r="M103" s="158"/>
      <c r="N103" s="158"/>
      <c r="O103" s="158"/>
      <c r="P103" s="2"/>
      <c r="S103" s="1"/>
      <c r="T103" s="1"/>
      <c r="U103" s="1"/>
      <c r="V103" s="1"/>
    </row>
    <row r="104" spans="2:22" hidden="1">
      <c r="F104" s="321"/>
      <c r="G104" s="321"/>
      <c r="H104" s="321"/>
      <c r="I104" s="321"/>
      <c r="J104" s="321"/>
      <c r="K104" s="321"/>
      <c r="L104" s="321"/>
      <c r="M104" s="321"/>
      <c r="N104" s="321"/>
      <c r="O104" s="321"/>
      <c r="P104" s="321"/>
      <c r="S104" s="1"/>
      <c r="T104" s="1"/>
      <c r="U104" s="1"/>
      <c r="V104" s="1"/>
    </row>
    <row r="105" spans="2:22">
      <c r="B105" s="109"/>
      <c r="C105" s="110"/>
      <c r="D105" s="110"/>
      <c r="E105" s="111"/>
      <c r="F105" s="112"/>
      <c r="G105" s="112"/>
      <c r="H105" s="112"/>
      <c r="I105" s="109"/>
      <c r="J105" s="113"/>
      <c r="K105" s="114"/>
      <c r="L105" s="114"/>
      <c r="M105" s="114"/>
      <c r="N105" s="114"/>
      <c r="O105" s="114"/>
      <c r="P105" s="8"/>
      <c r="Q105" s="2"/>
      <c r="R105" s="2"/>
    </row>
    <row r="106" spans="2:22">
      <c r="B106" s="51"/>
      <c r="C106" s="86"/>
      <c r="D106" s="86"/>
      <c r="E106" s="107"/>
      <c r="F106" s="38"/>
      <c r="G106" s="38"/>
      <c r="H106" s="38"/>
      <c r="I106" s="51"/>
      <c r="J106" s="3"/>
      <c r="K106" s="108"/>
      <c r="L106" s="108"/>
      <c r="M106" s="108"/>
      <c r="N106" s="108"/>
      <c r="O106" s="108"/>
      <c r="P106" s="8"/>
      <c r="Q106" s="2"/>
      <c r="R106" s="2"/>
    </row>
    <row r="107" spans="2:22" ht="12">
      <c r="P107" s="2"/>
      <c r="Q107" s="2"/>
      <c r="R107" s="2"/>
    </row>
    <row r="108" spans="2:22" ht="16">
      <c r="B108" s="565" t="s">
        <v>63</v>
      </c>
      <c r="C108" s="565"/>
      <c r="D108" s="565"/>
      <c r="E108" s="565"/>
      <c r="F108" s="565"/>
      <c r="P108" s="2"/>
      <c r="Q108" s="2"/>
      <c r="R108" s="2"/>
    </row>
    <row r="109" spans="2:22">
      <c r="B109" s="161" t="s">
        <v>31</v>
      </c>
      <c r="C109" s="161"/>
      <c r="D109" s="161"/>
      <c r="E109" s="322"/>
      <c r="F109" s="162">
        <f>+J33</f>
        <v>2270.833085884065</v>
      </c>
      <c r="P109" s="2"/>
      <c r="Q109" s="2"/>
      <c r="R109" s="2"/>
    </row>
    <row r="110" spans="2:22">
      <c r="B110" s="322" t="s">
        <v>35</v>
      </c>
      <c r="C110" s="322"/>
      <c r="D110" s="322"/>
      <c r="E110" s="322"/>
      <c r="F110" s="314">
        <f>+J34</f>
        <v>1751.54</v>
      </c>
      <c r="P110" s="2"/>
      <c r="Q110" s="2"/>
      <c r="R110" s="2"/>
    </row>
    <row r="111" spans="2:22">
      <c r="B111" s="322" t="s">
        <v>38</v>
      </c>
      <c r="C111" s="322"/>
      <c r="D111" s="322"/>
      <c r="E111" s="322"/>
      <c r="F111" s="314">
        <f>+J35</f>
        <v>3498.7</v>
      </c>
      <c r="P111" s="2"/>
      <c r="Q111" s="2"/>
      <c r="R111" s="2"/>
    </row>
    <row r="112" spans="2:22">
      <c r="B112" s="322" t="s">
        <v>153</v>
      </c>
      <c r="C112" s="322"/>
      <c r="D112" s="322"/>
      <c r="E112" s="322"/>
      <c r="F112" s="314">
        <f>+J36</f>
        <v>1359.7</v>
      </c>
      <c r="P112" s="2"/>
      <c r="Q112" s="2"/>
      <c r="R112" s="2"/>
    </row>
    <row r="113" spans="1:18" ht="16">
      <c r="B113" s="322" t="s">
        <v>40</v>
      </c>
      <c r="C113" s="322"/>
      <c r="D113" s="322"/>
      <c r="E113" s="322"/>
      <c r="F113" s="315">
        <f>+J37</f>
        <v>1744.2</v>
      </c>
      <c r="P113" s="2"/>
      <c r="Q113" s="2"/>
      <c r="R113" s="2"/>
    </row>
    <row r="114" spans="1:18">
      <c r="B114" s="163" t="s">
        <v>44</v>
      </c>
      <c r="C114" s="163"/>
      <c r="D114" s="163"/>
      <c r="E114" s="323"/>
      <c r="F114" s="44">
        <f>F109+SUM(F110:F113)</f>
        <v>10624.973085884065</v>
      </c>
      <c r="P114" s="2"/>
      <c r="Q114" s="2"/>
      <c r="R114" s="2"/>
    </row>
    <row r="115" spans="1:18">
      <c r="B115" s="164"/>
      <c r="C115" s="164"/>
      <c r="D115" s="164"/>
      <c r="E115" s="324"/>
      <c r="F115" s="165"/>
      <c r="P115" s="2"/>
      <c r="Q115" s="2"/>
      <c r="R115" s="2"/>
    </row>
    <row r="116" spans="1:18" ht="16">
      <c r="B116" s="564" t="s">
        <v>154</v>
      </c>
      <c r="C116" s="564"/>
      <c r="D116" s="564"/>
      <c r="E116" s="564"/>
      <c r="F116" s="564"/>
      <c r="P116" s="2"/>
      <c r="Q116" s="2"/>
      <c r="R116" s="2"/>
    </row>
    <row r="117" spans="1:18">
      <c r="B117" s="166"/>
      <c r="C117" s="166" t="s">
        <v>64</v>
      </c>
      <c r="D117" s="166" t="s">
        <v>65</v>
      </c>
      <c r="E117" s="166" t="s">
        <v>66</v>
      </c>
      <c r="F117" s="166"/>
      <c r="P117" s="2"/>
      <c r="Q117" s="2"/>
      <c r="R117" s="2"/>
    </row>
    <row r="118" spans="1:18" ht="16">
      <c r="B118" s="167" t="s">
        <v>67</v>
      </c>
      <c r="C118" s="167" t="s">
        <v>68</v>
      </c>
      <c r="D118" s="167" t="s">
        <v>69</v>
      </c>
      <c r="E118" s="167" t="s">
        <v>68</v>
      </c>
      <c r="F118" s="167" t="s">
        <v>70</v>
      </c>
      <c r="P118" s="2"/>
      <c r="Q118" s="2"/>
      <c r="R118" s="2"/>
    </row>
    <row r="119" spans="1:18">
      <c r="B119" s="168" t="s">
        <v>71</v>
      </c>
      <c r="C119" s="563">
        <v>35.74</v>
      </c>
      <c r="D119" s="170">
        <v>14.37</v>
      </c>
      <c r="E119" s="171">
        <f ca="1">+IF(ISERROR(+IF(D119&lt;$F$133,C119,0)),0,IF(D119&lt;$F$133,C119,0))</f>
        <v>35.74</v>
      </c>
      <c r="F119" s="172">
        <f ca="1">E119*D119</f>
        <v>513.5838</v>
      </c>
      <c r="P119" s="2"/>
      <c r="Q119" s="2"/>
      <c r="R119" s="2"/>
    </row>
    <row r="120" spans="1:18">
      <c r="B120" s="168" t="s">
        <v>72</v>
      </c>
      <c r="C120" s="169">
        <v>0</v>
      </c>
      <c r="D120" s="173">
        <v>0</v>
      </c>
      <c r="E120" s="174">
        <f ca="1">+IF(ISERROR(+IF(D120&lt;$F$133,C120,0)),0,IF(D120&lt;$F$133,C120,0))</f>
        <v>0</v>
      </c>
      <c r="F120" s="172">
        <f ca="1">E120*D120</f>
        <v>0</v>
      </c>
      <c r="P120" s="2"/>
      <c r="Q120" s="2"/>
      <c r="R120" s="2"/>
    </row>
    <row r="121" spans="1:18">
      <c r="B121" s="168" t="s">
        <v>73</v>
      </c>
      <c r="C121" s="169">
        <v>0</v>
      </c>
      <c r="D121" s="173">
        <v>0</v>
      </c>
      <c r="E121" s="171">
        <f ca="1">+IF(ISERROR(+IF(D121&lt;$F$133,C121,0)),0,IF(D121&lt;$F$133,C121,0))</f>
        <v>0</v>
      </c>
      <c r="F121" s="172">
        <f ca="1">E121*D121</f>
        <v>0</v>
      </c>
      <c r="P121" s="2"/>
      <c r="Q121" s="2"/>
      <c r="R121" s="2"/>
    </row>
    <row r="122" spans="1:18">
      <c r="B122" s="168" t="s">
        <v>74</v>
      </c>
      <c r="C122" s="169">
        <v>0</v>
      </c>
      <c r="D122" s="173">
        <v>0</v>
      </c>
      <c r="E122" s="171">
        <f ca="1">+IF(ISERROR(+IF(D122&lt;$F$133,C122,0)),0,IF(D122&lt;$F$133,C122,0))</f>
        <v>0</v>
      </c>
      <c r="F122" s="172">
        <f ca="1">E122*D122</f>
        <v>0</v>
      </c>
      <c r="P122" s="2"/>
      <c r="Q122" s="2"/>
      <c r="R122" s="2"/>
    </row>
    <row r="123" spans="1:18" ht="16">
      <c r="B123" s="168" t="s">
        <v>75</v>
      </c>
      <c r="C123" s="175">
        <v>0</v>
      </c>
      <c r="D123" s="176">
        <v>0</v>
      </c>
      <c r="E123" s="177">
        <f ca="1">+IF(ISERROR(+IF(D123&lt;$F$133,C123,0)),0,IF(D123&lt;$F$133,C123,0))</f>
        <v>0</v>
      </c>
      <c r="F123" s="178">
        <f ca="1">E123*D123</f>
        <v>0</v>
      </c>
      <c r="P123" s="2"/>
      <c r="Q123" s="2"/>
      <c r="R123" s="2"/>
    </row>
    <row r="124" spans="1:18">
      <c r="B124" s="179" t="s">
        <v>76</v>
      </c>
      <c r="C124" s="180">
        <f>SUM(C119:C123)</f>
        <v>35.74</v>
      </c>
      <c r="D124" s="181"/>
      <c r="E124" s="182">
        <f ca="1">SUM(E119:E123)</f>
        <v>35.74</v>
      </c>
      <c r="F124" s="162">
        <f ca="1">SUM(F119:F123)</f>
        <v>513.5838</v>
      </c>
      <c r="P124" s="2"/>
      <c r="Q124" s="2"/>
      <c r="R124" s="2"/>
    </row>
    <row r="125" spans="1:18">
      <c r="B125" s="324"/>
      <c r="C125" s="324"/>
      <c r="D125" s="324"/>
      <c r="E125" s="324"/>
      <c r="F125" s="324"/>
      <c r="P125" s="2"/>
      <c r="Q125" s="2"/>
      <c r="R125" s="2"/>
    </row>
    <row r="126" spans="1:18">
      <c r="A126" s="1"/>
      <c r="B126" s="183" t="s">
        <v>77</v>
      </c>
      <c r="C126" s="183"/>
      <c r="D126" s="183"/>
      <c r="E126" s="183"/>
      <c r="F126" s="559">
        <v>365.15</v>
      </c>
      <c r="P126" s="2"/>
      <c r="Q126" s="2"/>
      <c r="R126" s="2"/>
    </row>
    <row r="127" spans="1:18">
      <c r="A127" s="1"/>
      <c r="B127" s="183" t="s">
        <v>78</v>
      </c>
      <c r="C127" s="183"/>
      <c r="D127" s="183"/>
      <c r="E127" s="183"/>
      <c r="F127" s="560">
        <f ca="1">E124</f>
        <v>35.74</v>
      </c>
      <c r="P127" s="2"/>
      <c r="Q127" s="2"/>
      <c r="R127" s="2"/>
    </row>
    <row r="128" spans="1:18" ht="16">
      <c r="A128" s="1"/>
      <c r="B128" s="183" t="s">
        <v>79</v>
      </c>
      <c r="C128" s="183"/>
      <c r="D128" s="183"/>
      <c r="E128" s="183"/>
      <c r="F128" s="561">
        <f ca="1">+IF(ISERROR(-F124/F133),0,-F124/F133)</f>
        <v>-18.484495933617737</v>
      </c>
      <c r="P128" s="2"/>
      <c r="Q128" s="2"/>
      <c r="R128" s="2"/>
    </row>
    <row r="129" spans="1:18" s="355" customFormat="1">
      <c r="A129" s="9"/>
      <c r="B129" s="186" t="s">
        <v>80</v>
      </c>
      <c r="C129" s="186"/>
      <c r="D129" s="186"/>
      <c r="E129" s="186"/>
      <c r="F129" s="562">
        <f ca="1">+IF(ISERROR(F127+F128),0,F127+F128)</f>
        <v>17.255504066382265</v>
      </c>
    </row>
    <row r="130" spans="1:18" ht="16">
      <c r="A130" s="1"/>
      <c r="B130" s="184" t="s">
        <v>81</v>
      </c>
      <c r="C130" s="183"/>
      <c r="D130" s="183"/>
      <c r="E130" s="183"/>
      <c r="F130" s="185">
        <v>0</v>
      </c>
      <c r="P130" s="2"/>
      <c r="Q130" s="2"/>
      <c r="R130" s="2"/>
    </row>
    <row r="131" spans="1:18">
      <c r="A131" s="1"/>
      <c r="B131" s="186" t="s">
        <v>82</v>
      </c>
      <c r="C131" s="183"/>
      <c r="D131" s="183"/>
      <c r="E131" s="183"/>
      <c r="F131" s="558">
        <f ca="1">F126+SUM(F129:F130)</f>
        <v>382.40550406638226</v>
      </c>
      <c r="P131" s="2"/>
      <c r="Q131" s="2"/>
      <c r="R131" s="2"/>
    </row>
    <row r="132" spans="1:18" ht="16">
      <c r="A132" s="1"/>
      <c r="B132" s="324"/>
      <c r="C132" s="324"/>
      <c r="D132" s="324"/>
      <c r="E132" s="324"/>
      <c r="F132" s="187" t="s">
        <v>42</v>
      </c>
      <c r="P132" s="2"/>
      <c r="Q132" s="2"/>
      <c r="R132" s="2"/>
    </row>
    <row r="133" spans="1:18" ht="16">
      <c r="A133" s="1"/>
      <c r="B133" s="163" t="s">
        <v>48</v>
      </c>
      <c r="C133" s="163"/>
      <c r="D133" s="163"/>
      <c r="E133" s="323"/>
      <c r="F133" s="188">
        <f ca="1">+IF(ISERROR(F114/F131),0,F114/F131)</f>
        <v>27.784571542253907</v>
      </c>
      <c r="P133" s="2"/>
      <c r="Q133" s="2"/>
      <c r="R133" s="2"/>
    </row>
    <row r="134" spans="1:18">
      <c r="A134" s="1"/>
      <c r="B134" s="1"/>
      <c r="C134" s="1"/>
      <c r="D134" s="1"/>
      <c r="P134" s="2"/>
      <c r="Q134" s="2"/>
      <c r="R134" s="2"/>
    </row>
    <row r="135" spans="1:18">
      <c r="A135" s="1"/>
      <c r="B135" s="1"/>
      <c r="C135" s="1"/>
      <c r="D135" s="1"/>
      <c r="P135" s="2"/>
      <c r="Q135" s="2"/>
      <c r="R135" s="2"/>
    </row>
    <row r="136" spans="1:18">
      <c r="A136" s="1"/>
      <c r="P136" s="2"/>
      <c r="Q136" s="2"/>
      <c r="R136" s="2"/>
    </row>
    <row r="137" spans="1:18">
      <c r="A137" s="1"/>
      <c r="B137" s="1"/>
      <c r="C137" s="1"/>
      <c r="P137" s="2"/>
      <c r="Q137" s="2"/>
      <c r="R137" s="2"/>
    </row>
    <row r="138" spans="1:18">
      <c r="A138" s="1"/>
      <c r="B138" s="1"/>
      <c r="C138" s="1"/>
      <c r="P138" s="2"/>
      <c r="Q138" s="2"/>
      <c r="R138" s="2"/>
    </row>
    <row r="139" spans="1:18">
      <c r="A139" s="1"/>
      <c r="B139" s="1"/>
      <c r="C139" s="1"/>
      <c r="P139" s="2"/>
      <c r="Q139" s="2"/>
      <c r="R139" s="2"/>
    </row>
    <row r="140" spans="1:18">
      <c r="A140" s="1"/>
      <c r="B140" s="1"/>
      <c r="C140" s="1"/>
      <c r="P140" s="2"/>
      <c r="Q140" s="2"/>
      <c r="R140" s="2"/>
    </row>
    <row r="141" spans="1:18">
      <c r="A141" s="1"/>
      <c r="B141" s="1"/>
      <c r="C141" s="1"/>
      <c r="P141" s="2"/>
      <c r="Q141" s="2"/>
      <c r="R141" s="2"/>
    </row>
    <row r="142" spans="1:18">
      <c r="A142" s="1"/>
      <c r="B142" s="1"/>
      <c r="C142" s="1"/>
      <c r="P142" s="2"/>
      <c r="Q142" s="2"/>
      <c r="R142" s="2"/>
    </row>
    <row r="143" spans="1:18">
      <c r="A143" s="1"/>
      <c r="B143" s="1"/>
      <c r="C143" s="1"/>
      <c r="P143" s="2"/>
      <c r="Q143" s="2"/>
      <c r="R143" s="2"/>
    </row>
    <row r="144" spans="1:18">
      <c r="A144" s="1"/>
      <c r="B144" s="1"/>
      <c r="C144" s="1"/>
      <c r="P144" s="2"/>
      <c r="Q144" s="2"/>
      <c r="R144" s="2"/>
    </row>
    <row r="145" spans="2:5">
      <c r="B145" s="1"/>
      <c r="C145" s="1"/>
    </row>
    <row r="146" spans="2:5">
      <c r="B146" s="1"/>
      <c r="C146" s="1"/>
    </row>
    <row r="147" spans="2:5">
      <c r="B147" s="1"/>
      <c r="C147" s="1"/>
    </row>
    <row r="148" spans="2:5">
      <c r="B148" s="1"/>
      <c r="C148" s="1"/>
    </row>
    <row r="149" spans="2:5">
      <c r="B149" s="1"/>
      <c r="C149" s="1"/>
    </row>
    <row r="150" spans="2:5">
      <c r="B150" s="1"/>
      <c r="C150" s="1"/>
      <c r="D150" s="1"/>
      <c r="E150" s="1"/>
    </row>
    <row r="151" spans="2:5">
      <c r="B151" s="1"/>
      <c r="C151" s="1"/>
      <c r="D151" s="1"/>
      <c r="E151" s="1"/>
    </row>
    <row r="152" spans="2:5">
      <c r="B152" s="1"/>
      <c r="C152" s="1"/>
      <c r="D152" s="1"/>
      <c r="E152" s="1"/>
    </row>
    <row r="153" spans="2:5">
      <c r="B153" s="1"/>
      <c r="C153" s="1"/>
      <c r="D153" s="1"/>
      <c r="E153" s="1"/>
    </row>
    <row r="154" spans="2:5">
      <c r="B154" s="1"/>
      <c r="C154" s="1"/>
      <c r="D154" s="1"/>
      <c r="E154" s="1"/>
    </row>
  </sheetData>
  <mergeCells count="15">
    <mergeCell ref="S34:S38"/>
    <mergeCell ref="B35:E35"/>
    <mergeCell ref="J95:O95"/>
    <mergeCell ref="B98:B102"/>
    <mergeCell ref="I98:I102"/>
    <mergeCell ref="B49:B53"/>
    <mergeCell ref="I49:I53"/>
    <mergeCell ref="B78:B82"/>
    <mergeCell ref="I78:I82"/>
    <mergeCell ref="B116:F116"/>
    <mergeCell ref="B108:F108"/>
    <mergeCell ref="B88:B92"/>
    <mergeCell ref="I88:I92"/>
    <mergeCell ref="J5:N5"/>
    <mergeCell ref="G32:J32"/>
  </mergeCells>
  <phoneticPr fontId="37" type="noConversion"/>
  <pageMargins left="0.75" right="0.75" top="1" bottom="1" header="0.5" footer="0.5"/>
  <pageSetup scale="64" orientation="landscape"/>
  <ignoredErrors>
    <ignoredError sqref="H16 H13 H10" formula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E64F-0B25-E747-885E-A6435CD0CD03}">
  <dimension ref="A1:J3"/>
  <sheetViews>
    <sheetView workbookViewId="0">
      <selection activeCell="J4" sqref="J4"/>
    </sheetView>
  </sheetViews>
  <sheetFormatPr baseColWidth="10" defaultRowHeight="13"/>
  <cols>
    <col min="1" max="1" width="2.1640625" bestFit="1" customWidth="1"/>
  </cols>
  <sheetData>
    <row r="1" spans="1:10">
      <c r="A1">
        <v>1</v>
      </c>
      <c r="B1" s="586" t="s">
        <v>236</v>
      </c>
    </row>
    <row r="2" spans="1:10">
      <c r="A2">
        <v>2</v>
      </c>
      <c r="B2" s="586" t="s">
        <v>237</v>
      </c>
    </row>
    <row r="3" spans="1:10">
      <c r="J3" s="586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36"/>
  <sheetViews>
    <sheetView showGridLines="0" zoomScale="85" workbookViewId="0">
      <selection activeCell="D26" sqref="D26:G26"/>
    </sheetView>
  </sheetViews>
  <sheetFormatPr baseColWidth="10" defaultColWidth="9.1640625" defaultRowHeight="13"/>
  <cols>
    <col min="1" max="1" width="0.83203125" style="192" customWidth="1"/>
    <col min="2" max="2" width="30.6640625" style="192" customWidth="1"/>
    <col min="3" max="5" width="12.6640625" style="192" customWidth="1"/>
    <col min="6" max="6" width="0.83203125" style="192" customWidth="1"/>
    <col min="7" max="7" width="11.33203125" style="192" bestFit="1" customWidth="1"/>
    <col min="8" max="8" width="0.83203125" style="192" customWidth="1"/>
    <col min="9" max="13" width="12.6640625" style="192" customWidth="1"/>
    <col min="14" max="14" width="0.83203125" style="192" customWidth="1"/>
    <col min="15" max="15" width="9.1640625" style="192"/>
    <col min="16" max="16" width="11.5" style="192" bestFit="1" customWidth="1"/>
    <col min="17" max="17" width="12.33203125" style="192" bestFit="1" customWidth="1"/>
    <col min="18" max="18" width="4.1640625" style="192" customWidth="1"/>
    <col min="19" max="16384" width="9.1640625" style="192"/>
  </cols>
  <sheetData>
    <row r="1" spans="1:17" ht="20">
      <c r="A1" s="339" t="str">
        <f>+DCF!A1</f>
        <v>ValueCo Corporation</v>
      </c>
      <c r="B1" s="340" t="s">
        <v>217</v>
      </c>
      <c r="C1" s="340"/>
      <c r="D1" s="340"/>
      <c r="E1" s="340"/>
      <c r="F1" s="340"/>
      <c r="G1" s="340"/>
      <c r="H1" s="189"/>
      <c r="I1" s="190"/>
      <c r="J1" s="190"/>
      <c r="K1" s="190"/>
      <c r="L1" s="190"/>
      <c r="M1" s="189"/>
      <c r="N1" s="191"/>
      <c r="O1" s="191"/>
      <c r="P1" s="191"/>
      <c r="Q1" s="191"/>
    </row>
    <row r="2" spans="1:17" ht="18">
      <c r="A2" s="340" t="s">
        <v>83</v>
      </c>
      <c r="B2" s="341"/>
      <c r="C2" s="341"/>
      <c r="D2" s="341"/>
      <c r="E2" s="341"/>
      <c r="F2" s="341"/>
      <c r="G2" s="341"/>
      <c r="H2" s="190"/>
      <c r="I2" s="190"/>
      <c r="J2" s="190"/>
      <c r="K2" s="190"/>
      <c r="L2" s="190"/>
      <c r="M2" s="189"/>
      <c r="N2" s="191"/>
      <c r="O2" s="191"/>
      <c r="P2" s="191"/>
      <c r="Q2" s="191"/>
    </row>
    <row r="3" spans="1:17">
      <c r="A3" s="193" t="s">
        <v>59</v>
      </c>
      <c r="B3" s="193"/>
      <c r="C3" s="193"/>
      <c r="D3" s="193"/>
      <c r="E3" s="193"/>
      <c r="F3" s="193"/>
      <c r="G3" s="193"/>
      <c r="H3" s="189"/>
      <c r="I3" s="190"/>
      <c r="J3" s="190"/>
      <c r="K3" s="190"/>
      <c r="L3" s="190"/>
      <c r="M3" s="189"/>
      <c r="N3" s="191"/>
      <c r="O3" s="191"/>
      <c r="P3" s="191"/>
      <c r="Q3" s="191"/>
    </row>
    <row r="4" spans="1:17">
      <c r="A4" s="194"/>
      <c r="B4" s="194"/>
      <c r="C4" s="194"/>
      <c r="D4" s="194"/>
      <c r="E4" s="194"/>
      <c r="F4" s="194"/>
      <c r="G4" s="194"/>
      <c r="H4" s="195"/>
      <c r="I4" s="195"/>
      <c r="J4" s="196"/>
      <c r="K4" s="196"/>
      <c r="L4" s="196"/>
      <c r="M4" s="197"/>
      <c r="N4" s="198"/>
      <c r="O4" s="198"/>
      <c r="P4" s="198"/>
      <c r="Q4" s="198"/>
    </row>
    <row r="5" spans="1:17" ht="16">
      <c r="A5" s="194"/>
      <c r="B5" s="194"/>
      <c r="C5" s="10" t="s">
        <v>6</v>
      </c>
      <c r="D5" s="11"/>
      <c r="E5" s="11"/>
      <c r="F5" s="223"/>
      <c r="H5" s="199"/>
      <c r="I5" s="572" t="s">
        <v>8</v>
      </c>
      <c r="J5" s="572"/>
      <c r="K5" s="572"/>
      <c r="L5" s="572"/>
      <c r="M5" s="573"/>
      <c r="O5" s="556" t="s">
        <v>234</v>
      </c>
    </row>
    <row r="6" spans="1:17" ht="16">
      <c r="A6" s="61"/>
      <c r="B6" s="61"/>
      <c r="C6" s="14">
        <f>+DCF!E6</f>
        <v>2016</v>
      </c>
      <c r="D6" s="14">
        <f>+DCF!F6</f>
        <v>2017</v>
      </c>
      <c r="E6" s="14">
        <f>+DCF!G6</f>
        <v>2018</v>
      </c>
      <c r="F6" s="223"/>
      <c r="G6" s="14">
        <f>+DCF!I6</f>
        <v>2019</v>
      </c>
      <c r="H6" s="200"/>
      <c r="I6" s="342">
        <f>+DCF!J6</f>
        <v>2020</v>
      </c>
      <c r="J6" s="14">
        <f>+DCF!K6</f>
        <v>2021</v>
      </c>
      <c r="K6" s="14">
        <f>+DCF!L6</f>
        <v>2022</v>
      </c>
      <c r="L6" s="14">
        <f>+DCF!M6</f>
        <v>2023</v>
      </c>
      <c r="M6" s="14">
        <f>+DCF!N6</f>
        <v>2024</v>
      </c>
    </row>
    <row r="7" spans="1:17" ht="3.75" customHeight="1">
      <c r="B7" s="201"/>
      <c r="C7" s="202"/>
      <c r="D7" s="202"/>
      <c r="E7" s="202"/>
      <c r="F7" s="223"/>
      <c r="G7" s="202"/>
      <c r="H7" s="201"/>
      <c r="I7" s="343"/>
      <c r="J7" s="203"/>
      <c r="K7" s="203"/>
      <c r="L7" s="203"/>
      <c r="M7" s="203"/>
    </row>
    <row r="8" spans="1:17">
      <c r="B8" s="194" t="s">
        <v>14</v>
      </c>
      <c r="C8" s="62">
        <f>+DCF!E7</f>
        <v>436.1</v>
      </c>
      <c r="D8" s="62">
        <f>+DCF!F7</f>
        <v>886</v>
      </c>
      <c r="E8" s="62">
        <f>+DCF!G7</f>
        <v>1821.8</v>
      </c>
      <c r="F8" s="62"/>
      <c r="G8" s="62">
        <f>+DCF!I7</f>
        <v>2901.7</v>
      </c>
      <c r="H8" s="62"/>
      <c r="I8" s="344">
        <f>+DCF!J7</f>
        <v>3264.4124999999999</v>
      </c>
      <c r="J8" s="62">
        <f>+DCF!K7</f>
        <v>3672.4640624999997</v>
      </c>
      <c r="K8" s="62">
        <f>+DCF!L7</f>
        <v>4406.9568749999999</v>
      </c>
      <c r="L8" s="62">
        <f>+DCF!M7</f>
        <v>5508.6960937499998</v>
      </c>
      <c r="M8" s="62">
        <f>+DCF!N7</f>
        <v>7161.3049218750002</v>
      </c>
    </row>
    <row r="9" spans="1:17">
      <c r="B9" s="194" t="s">
        <v>84</v>
      </c>
      <c r="C9" s="204">
        <f>+DCF!E9</f>
        <v>584.6</v>
      </c>
      <c r="D9" s="204">
        <f>+DCF!F9</f>
        <v>1057.5</v>
      </c>
      <c r="E9" s="204">
        <f>+DCF!G9</f>
        <v>2463</v>
      </c>
      <c r="F9" s="204"/>
      <c r="G9" s="204">
        <f>+DCF!I9</f>
        <v>3528.7</v>
      </c>
      <c r="H9" s="204"/>
      <c r="I9" s="345">
        <f>+DCF!J9</f>
        <v>3917.2949999999996</v>
      </c>
      <c r="J9" s="204">
        <f>+DCF!K9</f>
        <v>4406.9568749999999</v>
      </c>
      <c r="K9" s="204">
        <f>+DCF!L9</f>
        <v>4186.60903125</v>
      </c>
      <c r="L9" s="204">
        <f>+DCF!M9</f>
        <v>4682.3916796875001</v>
      </c>
      <c r="M9" s="204">
        <f>+DCF!N9</f>
        <v>5370.9786914062497</v>
      </c>
      <c r="P9" s="406"/>
      <c r="Q9" s="405"/>
    </row>
    <row r="10" spans="1:17">
      <c r="B10" s="194"/>
      <c r="C10" s="205"/>
      <c r="D10" s="205"/>
      <c r="E10" s="205"/>
      <c r="F10" s="223"/>
      <c r="G10" s="356"/>
      <c r="H10" s="206"/>
      <c r="I10" s="346"/>
      <c r="J10" s="206"/>
      <c r="K10" s="206"/>
      <c r="L10" s="206"/>
      <c r="M10" s="206"/>
    </row>
    <row r="11" spans="1:17" ht="16">
      <c r="B11" s="207" t="s">
        <v>85</v>
      </c>
      <c r="C11" s="208"/>
      <c r="D11" s="208"/>
      <c r="E11" s="208"/>
      <c r="F11" s="223"/>
      <c r="G11" s="359"/>
      <c r="H11" s="209"/>
      <c r="I11" s="346"/>
      <c r="J11" s="209"/>
      <c r="K11" s="209"/>
      <c r="L11" s="209"/>
      <c r="M11" s="209"/>
      <c r="Q11" s="371"/>
    </row>
    <row r="12" spans="1:17">
      <c r="B12" s="555" t="s">
        <v>86</v>
      </c>
      <c r="C12" s="307">
        <v>18</v>
      </c>
      <c r="D12" s="307">
        <v>35.6</v>
      </c>
      <c r="E12" s="307">
        <v>99.5</v>
      </c>
      <c r="F12" s="357"/>
      <c r="G12" s="204">
        <f>+G8/365*G29</f>
        <v>158.48015698759468</v>
      </c>
      <c r="H12" s="204"/>
      <c r="I12" s="345">
        <f>+I8/365*I29</f>
        <v>178.87191780821919</v>
      </c>
      <c r="J12" s="204">
        <f t="shared" ref="I12:M13" si="0">+J8/365*J29</f>
        <v>201.23090753424657</v>
      </c>
      <c r="K12" s="204">
        <f t="shared" si="0"/>
        <v>241.47708904109589</v>
      </c>
      <c r="L12" s="204">
        <f t="shared" si="0"/>
        <v>301.84636130136988</v>
      </c>
      <c r="M12" s="204">
        <f t="shared" si="0"/>
        <v>392.40026969178081</v>
      </c>
      <c r="P12" s="371"/>
    </row>
    <row r="13" spans="1:17">
      <c r="B13" s="555" t="s">
        <v>87</v>
      </c>
      <c r="C13" s="307">
        <v>0</v>
      </c>
      <c r="D13" s="307">
        <v>0</v>
      </c>
      <c r="E13" s="307">
        <v>0</v>
      </c>
      <c r="F13" s="357"/>
      <c r="G13" s="204">
        <f>+G9/365*G30</f>
        <v>0</v>
      </c>
      <c r="H13" s="204"/>
      <c r="I13" s="345">
        <f t="shared" si="0"/>
        <v>0</v>
      </c>
      <c r="J13" s="204">
        <f t="shared" si="0"/>
        <v>0</v>
      </c>
      <c r="K13" s="204">
        <f t="shared" si="0"/>
        <v>0</v>
      </c>
      <c r="L13" s="204">
        <f t="shared" si="0"/>
        <v>0</v>
      </c>
      <c r="M13" s="204">
        <f t="shared" si="0"/>
        <v>0</v>
      </c>
    </row>
    <row r="14" spans="1:17" ht="16">
      <c r="B14" s="555" t="s">
        <v>88</v>
      </c>
      <c r="C14" s="308">
        <v>0</v>
      </c>
      <c r="D14" s="308">
        <v>0</v>
      </c>
      <c r="E14" s="308">
        <v>0</v>
      </c>
      <c r="F14" s="358"/>
      <c r="G14" s="211">
        <f>+G8*G31</f>
        <v>0</v>
      </c>
      <c r="H14" s="211"/>
      <c r="I14" s="347">
        <f>+I8*I31</f>
        <v>0</v>
      </c>
      <c r="J14" s="211">
        <f>+J8*J31</f>
        <v>0</v>
      </c>
      <c r="K14" s="211">
        <f>+K8*K31</f>
        <v>0</v>
      </c>
      <c r="L14" s="211">
        <f>+L8*L31</f>
        <v>0</v>
      </c>
      <c r="M14" s="211">
        <f>+M8*M31</f>
        <v>0</v>
      </c>
    </row>
    <row r="15" spans="1:17" s="201" customFormat="1">
      <c r="B15" s="61" t="s">
        <v>89</v>
      </c>
      <c r="C15" s="17">
        <f>SUM(C12:C14)</f>
        <v>18</v>
      </c>
      <c r="D15" s="17">
        <f>SUM(D12:D14)</f>
        <v>35.6</v>
      </c>
      <c r="E15" s="17">
        <f>SUM(E12:E14)</f>
        <v>99.5</v>
      </c>
      <c r="F15" s="17"/>
      <c r="G15" s="17">
        <f>SUM(G12:G14)</f>
        <v>158.48015698759468</v>
      </c>
      <c r="H15" s="17"/>
      <c r="I15" s="348">
        <f>SUM(I12:I14)</f>
        <v>178.87191780821919</v>
      </c>
      <c r="J15" s="17">
        <f>SUM(J12:J14)</f>
        <v>201.23090753424657</v>
      </c>
      <c r="K15" s="17">
        <f>SUM(K12:K14)</f>
        <v>241.47708904109589</v>
      </c>
      <c r="L15" s="17">
        <f>SUM(L12:L14)</f>
        <v>301.84636130136988</v>
      </c>
      <c r="M15" s="17">
        <f>SUM(M12:M14)</f>
        <v>392.40026969178081</v>
      </c>
    </row>
    <row r="16" spans="1:17">
      <c r="B16" s="61"/>
      <c r="C16" s="212"/>
      <c r="D16" s="212"/>
      <c r="E16" s="212"/>
      <c r="F16" s="223"/>
      <c r="G16" s="360"/>
      <c r="H16" s="212"/>
      <c r="I16" s="349"/>
      <c r="J16" s="212"/>
      <c r="K16" s="212"/>
      <c r="L16" s="212"/>
      <c r="M16" s="212"/>
    </row>
    <row r="17" spans="2:18" ht="16">
      <c r="B17" s="207" t="s">
        <v>90</v>
      </c>
      <c r="C17" s="209"/>
      <c r="D17" s="209"/>
      <c r="E17" s="209"/>
      <c r="F17" s="223"/>
      <c r="G17" s="359"/>
      <c r="H17" s="209"/>
      <c r="I17" s="346"/>
      <c r="J17" s="209"/>
      <c r="K17" s="209"/>
      <c r="L17" s="209"/>
      <c r="M17" s="209"/>
    </row>
    <row r="18" spans="2:18">
      <c r="B18" s="555" t="s">
        <v>91</v>
      </c>
      <c r="C18" s="307">
        <v>190.3</v>
      </c>
      <c r="D18" s="307">
        <v>314.3</v>
      </c>
      <c r="E18" s="307">
        <v>826.4</v>
      </c>
      <c r="F18" s="357"/>
      <c r="G18" s="204">
        <f>+G9/365*G33</f>
        <v>1183.9698254161592</v>
      </c>
      <c r="H18" s="204"/>
      <c r="I18" s="345">
        <f>+I9/365*I33</f>
        <v>1073.2315068493149</v>
      </c>
      <c r="J18" s="204">
        <f>+J9/365*J33</f>
        <v>1448.8625342465753</v>
      </c>
      <c r="K18" s="204">
        <f>+K9/365*K33</f>
        <v>1605.8226421232878</v>
      </c>
      <c r="L18" s="204">
        <f>+L9/365*L33</f>
        <v>1795.9858497431508</v>
      </c>
      <c r="M18" s="204">
        <f>+M9/365*M33</f>
        <v>2207.2515170162669</v>
      </c>
    </row>
    <row r="19" spans="2:18">
      <c r="B19" s="555" t="s">
        <v>92</v>
      </c>
      <c r="C19" s="307"/>
      <c r="D19" s="307"/>
      <c r="E19" s="307"/>
      <c r="F19" s="357"/>
      <c r="G19" s="204">
        <f>+G8*G34</f>
        <v>0</v>
      </c>
      <c r="H19" s="204"/>
      <c r="I19" s="345">
        <f>+I8*I34</f>
        <v>0</v>
      </c>
      <c r="J19" s="204">
        <f>+J8*J34</f>
        <v>0</v>
      </c>
      <c r="K19" s="204">
        <f>+K8*K34</f>
        <v>0</v>
      </c>
      <c r="L19" s="204">
        <f>+L8*L34</f>
        <v>0</v>
      </c>
      <c r="M19" s="204">
        <f>+M8*M34</f>
        <v>0</v>
      </c>
    </row>
    <row r="20" spans="2:18" ht="16">
      <c r="B20" s="555" t="s">
        <v>93</v>
      </c>
      <c r="C20" s="308">
        <v>103.7</v>
      </c>
      <c r="D20" s="308">
        <v>270.39999999999998</v>
      </c>
      <c r="E20" s="308">
        <v>780.7</v>
      </c>
      <c r="F20" s="358"/>
      <c r="G20" s="211">
        <f>+G8*G35</f>
        <v>1243.4719453287958</v>
      </c>
      <c r="H20" s="211"/>
      <c r="I20" s="347">
        <f>+I8*I35</f>
        <v>1632.20625</v>
      </c>
      <c r="J20" s="211">
        <f>+J8*J35</f>
        <v>1836.2320312499999</v>
      </c>
      <c r="K20" s="211">
        <f>+K8*K35</f>
        <v>1762.7827500000001</v>
      </c>
      <c r="L20" s="211">
        <f>+L8*L35</f>
        <v>1652.6088281249999</v>
      </c>
      <c r="M20" s="211">
        <f>+M8*M35</f>
        <v>1432.2609843750001</v>
      </c>
    </row>
    <row r="21" spans="2:18" s="201" customFormat="1">
      <c r="B21" s="61" t="s">
        <v>94</v>
      </c>
      <c r="C21" s="17">
        <f>SUM(C18:C20)</f>
        <v>294</v>
      </c>
      <c r="D21" s="17">
        <f>SUM(D18:D20)</f>
        <v>584.70000000000005</v>
      </c>
      <c r="E21" s="17">
        <f>SUM(E18:E20)</f>
        <v>1607.1</v>
      </c>
      <c r="F21" s="17"/>
      <c r="G21" s="17">
        <f>SUM(G18:G20)</f>
        <v>2427.4417707449547</v>
      </c>
      <c r="H21" s="17"/>
      <c r="I21" s="348">
        <f>SUM(I18:I20)</f>
        <v>2705.4377568493146</v>
      </c>
      <c r="J21" s="17">
        <f>SUM(J18:J20)</f>
        <v>3285.0945654965753</v>
      </c>
      <c r="K21" s="17">
        <f>SUM(K18:K20)</f>
        <v>3368.6053921232879</v>
      </c>
      <c r="L21" s="17">
        <f>SUM(L18:L20)</f>
        <v>3448.5946778681509</v>
      </c>
      <c r="M21" s="17">
        <f>SUM(M18:M20)</f>
        <v>3639.5125013912671</v>
      </c>
    </row>
    <row r="22" spans="2:18">
      <c r="B22" s="194"/>
      <c r="C22" s="17"/>
      <c r="D22" s="17"/>
      <c r="E22" s="17"/>
      <c r="F22" s="17"/>
      <c r="G22" s="17"/>
      <c r="H22" s="17"/>
      <c r="I22" s="348"/>
      <c r="J22" s="17"/>
      <c r="K22" s="17"/>
      <c r="L22" s="17"/>
      <c r="M22" s="17"/>
    </row>
    <row r="23" spans="2:18" s="201" customFormat="1">
      <c r="B23" s="61" t="s">
        <v>95</v>
      </c>
      <c r="C23" s="17">
        <f>+C15-C21</f>
        <v>-276</v>
      </c>
      <c r="D23" s="17">
        <f>+D15-D21</f>
        <v>-549.1</v>
      </c>
      <c r="E23" s="17">
        <f>+E15-E21</f>
        <v>-1507.6</v>
      </c>
      <c r="F23" s="17"/>
      <c r="G23" s="17">
        <f>+G15-G21</f>
        <v>-2268.9616137573603</v>
      </c>
      <c r="H23" s="17"/>
      <c r="I23" s="348">
        <f>+I15-I21</f>
        <v>-2526.5658390410954</v>
      </c>
      <c r="J23" s="17">
        <f>+J15-J21</f>
        <v>-3083.8636579623289</v>
      </c>
      <c r="K23" s="17">
        <f>+K15-K21</f>
        <v>-3127.1283030821919</v>
      </c>
      <c r="L23" s="17">
        <f>+L15-L21</f>
        <v>-3146.7483165667809</v>
      </c>
      <c r="M23" s="17">
        <f>+M15-M21</f>
        <v>-3247.1122316994861</v>
      </c>
    </row>
    <row r="24" spans="2:18">
      <c r="B24" s="213" t="s">
        <v>96</v>
      </c>
      <c r="C24" s="19">
        <f>+IF(ISERROR(C23/C8),0,C23/C8)</f>
        <v>-0.63288236642971796</v>
      </c>
      <c r="D24" s="19">
        <f t="shared" ref="D24:M24" si="1">+IF(ISERROR(D23/D8),0,D23/D8)</f>
        <v>-0.61975169300225741</v>
      </c>
      <c r="E24" s="19">
        <f t="shared" si="1"/>
        <v>-0.82753320891426063</v>
      </c>
      <c r="F24" s="19"/>
      <c r="G24" s="19">
        <f t="shared" si="1"/>
        <v>-0.78194217657144449</v>
      </c>
      <c r="H24" s="19"/>
      <c r="I24" s="350">
        <f t="shared" si="1"/>
        <v>-0.7739726027397259</v>
      </c>
      <c r="J24" s="19">
        <f t="shared" si="1"/>
        <v>-0.83972602739726043</v>
      </c>
      <c r="K24" s="19">
        <f t="shared" si="1"/>
        <v>-0.70958904109589049</v>
      </c>
      <c r="L24" s="19">
        <f t="shared" si="1"/>
        <v>-0.57123287671232881</v>
      </c>
      <c r="M24" s="19">
        <f t="shared" si="1"/>
        <v>-0.45342465753424654</v>
      </c>
      <c r="N24" s="214"/>
      <c r="O24" s="214"/>
      <c r="P24" s="214"/>
      <c r="Q24" s="214"/>
      <c r="R24" s="214"/>
    </row>
    <row r="25" spans="2:18">
      <c r="B25" s="194"/>
      <c r="C25" s="206"/>
      <c r="D25" s="206"/>
      <c r="E25" s="206"/>
      <c r="G25" s="206"/>
      <c r="H25" s="206"/>
      <c r="I25" s="351"/>
      <c r="J25" s="215"/>
      <c r="K25" s="215"/>
      <c r="L25" s="215"/>
      <c r="M25" s="215"/>
    </row>
    <row r="26" spans="2:18" s="216" customFormat="1">
      <c r="B26" s="217" t="s">
        <v>164</v>
      </c>
      <c r="C26" s="218"/>
      <c r="D26" s="218">
        <f>+C23-D23</f>
        <v>273.10000000000002</v>
      </c>
      <c r="E26" s="218">
        <f>+D23-E23</f>
        <v>958.49999999999989</v>
      </c>
      <c r="F26" s="218"/>
      <c r="G26" s="218">
        <f>+E23-G23</f>
        <v>761.36161375736037</v>
      </c>
      <c r="H26" s="218"/>
      <c r="I26" s="352">
        <f>+G23-I23</f>
        <v>257.6042252837351</v>
      </c>
      <c r="J26" s="218">
        <f>+I23-J23</f>
        <v>557.29781892123356</v>
      </c>
      <c r="K26" s="218">
        <f>+J23-K23</f>
        <v>43.264645119862962</v>
      </c>
      <c r="L26" s="218">
        <f>+K23-L23</f>
        <v>19.620013484588981</v>
      </c>
      <c r="M26" s="218">
        <f>+L23-M23</f>
        <v>100.36391513270519</v>
      </c>
    </row>
    <row r="27" spans="2:18" s="216" customFormat="1">
      <c r="B27" s="219"/>
      <c r="C27" s="220"/>
      <c r="D27" s="220"/>
      <c r="E27" s="220"/>
      <c r="G27" s="220"/>
      <c r="H27" s="220"/>
      <c r="I27" s="353"/>
      <c r="J27" s="221"/>
      <c r="K27" s="221"/>
      <c r="L27" s="221"/>
      <c r="M27" s="221"/>
      <c r="N27" s="221"/>
    </row>
    <row r="28" spans="2:18">
      <c r="B28" s="222" t="s">
        <v>50</v>
      </c>
      <c r="I28" s="354"/>
      <c r="J28" s="223"/>
      <c r="K28" s="223"/>
      <c r="L28" s="223"/>
      <c r="M28" s="223"/>
      <c r="N28" s="223"/>
    </row>
    <row r="29" spans="2:18">
      <c r="B29" s="224" t="s">
        <v>97</v>
      </c>
      <c r="C29" s="225">
        <f>+IF(ISERROR(C12/C8*365),0,C12/C8*365)</f>
        <v>15.065351983490025</v>
      </c>
      <c r="D29" s="225">
        <f>+IF(ISERROR(D12/D8*365),0,D12/D8*365)</f>
        <v>14.665914221218962</v>
      </c>
      <c r="E29" s="225">
        <f t="shared" ref="C29:E30" si="2">+IF(ISERROR(E12/E8*365),0,E12/E8*365)</f>
        <v>19.934954440663081</v>
      </c>
      <c r="F29" s="225"/>
      <c r="G29" s="225">
        <f>E29</f>
        <v>19.934954440663081</v>
      </c>
      <c r="H29" s="225"/>
      <c r="I29" s="226">
        <v>20</v>
      </c>
      <c r="J29" s="225">
        <v>20</v>
      </c>
      <c r="K29" s="225">
        <v>20</v>
      </c>
      <c r="L29" s="225">
        <v>20</v>
      </c>
      <c r="M29" s="227">
        <v>20</v>
      </c>
      <c r="O29" s="192" t="s">
        <v>233</v>
      </c>
    </row>
    <row r="30" spans="2:18">
      <c r="B30" s="228" t="s">
        <v>98</v>
      </c>
      <c r="C30" s="229">
        <f t="shared" si="2"/>
        <v>0</v>
      </c>
      <c r="D30" s="229">
        <f t="shared" si="2"/>
        <v>0</v>
      </c>
      <c r="E30" s="229">
        <f t="shared" si="2"/>
        <v>0</v>
      </c>
      <c r="F30" s="229"/>
      <c r="G30" s="229">
        <f t="shared" ref="G30:G35" si="3">E30</f>
        <v>0</v>
      </c>
      <c r="H30" s="229"/>
      <c r="I30" s="230">
        <v>0</v>
      </c>
      <c r="J30" s="229">
        <v>0</v>
      </c>
      <c r="K30" s="229">
        <v>0</v>
      </c>
      <c r="L30" s="229">
        <v>0</v>
      </c>
      <c r="M30" s="231">
        <v>0</v>
      </c>
    </row>
    <row r="31" spans="2:18">
      <c r="B31" s="228" t="s">
        <v>99</v>
      </c>
      <c r="C31" s="126">
        <f>+IF(ISERROR(C14/C8),0,C14/C8)</f>
        <v>0</v>
      </c>
      <c r="D31" s="126">
        <f>+IF(ISERROR(D14/D8),0,D14/D8)</f>
        <v>0</v>
      </c>
      <c r="E31" s="126">
        <f>+IF(ISERROR(E14/E8),0,E14/E8)</f>
        <v>0</v>
      </c>
      <c r="F31" s="232"/>
      <c r="G31" s="126">
        <f t="shared" si="3"/>
        <v>0</v>
      </c>
      <c r="H31" s="126"/>
      <c r="I31" s="127">
        <f>'A2'!F23</f>
        <v>0</v>
      </c>
      <c r="J31" s="126">
        <f>'A2'!G23</f>
        <v>0</v>
      </c>
      <c r="K31" s="126">
        <f>'A2'!H23</f>
        <v>0</v>
      </c>
      <c r="L31" s="126">
        <f>'A2'!I23</f>
        <v>0</v>
      </c>
      <c r="M31" s="128">
        <f>'A2'!J23</f>
        <v>0</v>
      </c>
    </row>
    <row r="32" spans="2:18">
      <c r="B32" s="233"/>
      <c r="C32" s="234"/>
      <c r="D32" s="234"/>
      <c r="E32" s="234"/>
      <c r="F32" s="235"/>
      <c r="G32" s="234"/>
      <c r="H32" s="235"/>
      <c r="I32" s="236"/>
      <c r="J32" s="235"/>
      <c r="K32" s="235"/>
      <c r="L32" s="235"/>
      <c r="M32" s="237"/>
    </row>
    <row r="33" spans="2:15">
      <c r="B33" s="228" t="s">
        <v>100</v>
      </c>
      <c r="C33" s="229">
        <f>+IF(ISERROR(C18/C9*365),0,C18/C9*365)</f>
        <v>118.81542935340404</v>
      </c>
      <c r="D33" s="229">
        <f>+IF(ISERROR(D18/D9*365),0,D18/D9*365)</f>
        <v>108.48179669030733</v>
      </c>
      <c r="E33" s="229">
        <f>+IF(ISERROR(E18/E9*365),0,E18/E9*365)</f>
        <v>122.46691027202598</v>
      </c>
      <c r="F33" s="229"/>
      <c r="G33" s="229">
        <f>E33</f>
        <v>122.46691027202598</v>
      </c>
      <c r="H33" s="229"/>
      <c r="I33" s="230">
        <v>100</v>
      </c>
      <c r="J33" s="229">
        <v>120</v>
      </c>
      <c r="K33" s="229">
        <v>140</v>
      </c>
      <c r="L33" s="229">
        <v>140</v>
      </c>
      <c r="M33" s="231">
        <v>150</v>
      </c>
      <c r="O33" s="192" t="s">
        <v>232</v>
      </c>
    </row>
    <row r="34" spans="2:15">
      <c r="B34" s="228" t="s">
        <v>101</v>
      </c>
      <c r="C34" s="126">
        <f>+IF(ISERROR(C19/C8),0,C19/C8)</f>
        <v>0</v>
      </c>
      <c r="D34" s="126">
        <f>+IF(ISERROR(D19/D8),0,D19/D8)</f>
        <v>0</v>
      </c>
      <c r="E34" s="126">
        <f>+IF(ISERROR(E19/E8),0,E19/E8)</f>
        <v>0</v>
      </c>
      <c r="F34" s="232"/>
      <c r="G34" s="126">
        <f t="shared" si="3"/>
        <v>0</v>
      </c>
      <c r="H34" s="126"/>
      <c r="I34" s="127">
        <v>0</v>
      </c>
      <c r="J34" s="126">
        <v>0</v>
      </c>
      <c r="K34" s="126">
        <v>0</v>
      </c>
      <c r="L34" s="126">
        <v>0</v>
      </c>
      <c r="M34" s="128">
        <v>0</v>
      </c>
    </row>
    <row r="35" spans="2:15">
      <c r="B35" s="238" t="s">
        <v>102</v>
      </c>
      <c r="C35" s="137">
        <f>+IF(ISERROR(C20/C8),0,C20/C8)</f>
        <v>0.23778949782160055</v>
      </c>
      <c r="D35" s="137">
        <f>+IF(ISERROR(D20/D8),0,D20/D8)</f>
        <v>0.30519187358916477</v>
      </c>
      <c r="E35" s="137">
        <f>+IF(ISERROR(E20/E8),0,E20/E8)</f>
        <v>0.42853222088044796</v>
      </c>
      <c r="F35" s="239"/>
      <c r="G35" s="137">
        <f t="shared" si="3"/>
        <v>0.42853222088044796</v>
      </c>
      <c r="H35" s="137"/>
      <c r="I35" s="136">
        <v>0.5</v>
      </c>
      <c r="J35" s="137">
        <v>0.5</v>
      </c>
      <c r="K35" s="137">
        <v>0.4</v>
      </c>
      <c r="L35" s="137">
        <v>0.3</v>
      </c>
      <c r="M35" s="138">
        <v>0.2</v>
      </c>
      <c r="O35" s="192" t="s">
        <v>231</v>
      </c>
    </row>
    <row r="36" spans="2:15">
      <c r="B36" s="210"/>
      <c r="C36" s="240"/>
      <c r="D36" s="240"/>
      <c r="E36" s="240"/>
      <c r="F36" s="240"/>
      <c r="G36" s="240"/>
      <c r="H36" s="240"/>
      <c r="I36" s="240"/>
      <c r="J36" s="240"/>
      <c r="K36" s="240"/>
      <c r="L36" s="240"/>
      <c r="M36" s="240"/>
    </row>
  </sheetData>
  <mergeCells count="1">
    <mergeCell ref="I5:M5"/>
  </mergeCells>
  <phoneticPr fontId="37" type="noConversion"/>
  <pageMargins left="0.75" right="0.75" top="1" bottom="1" header="0.5" footer="0.5"/>
  <pageSetup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6"/>
  <sheetViews>
    <sheetView showGridLines="0" zoomScale="85" workbookViewId="0">
      <selection activeCell="D26" sqref="D26"/>
    </sheetView>
  </sheetViews>
  <sheetFormatPr baseColWidth="10" defaultColWidth="9.1640625" defaultRowHeight="13"/>
  <cols>
    <col min="1" max="1" width="0.83203125" style="197" customWidth="1"/>
    <col min="2" max="4" width="15.6640625" style="197" customWidth="1"/>
    <col min="5" max="5" width="10.6640625" style="197" customWidth="1"/>
    <col min="6" max="6" width="22.6640625" style="197" customWidth="1"/>
    <col min="7" max="12" width="15.33203125" style="197" customWidth="1"/>
    <col min="13" max="13" width="0.83203125" style="197" customWidth="1"/>
    <col min="14" max="14" width="8.33203125" style="197" customWidth="1"/>
    <col min="15" max="16384" width="9.1640625" style="197"/>
  </cols>
  <sheetData>
    <row r="1" spans="1:14" s="243" customFormat="1" ht="20">
      <c r="A1" s="331" t="str">
        <f>+DCF!A1</f>
        <v>ValueCo Corporation</v>
      </c>
      <c r="B1" s="241" t="s">
        <v>217</v>
      </c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2"/>
      <c r="N1" s="242"/>
    </row>
    <row r="2" spans="1:14" s="243" customFormat="1" ht="18">
      <c r="A2" s="332" t="s">
        <v>103</v>
      </c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4"/>
      <c r="N2" s="244"/>
    </row>
    <row r="3" spans="1:14" s="1" customFormat="1">
      <c r="A3" s="5" t="s">
        <v>59</v>
      </c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6"/>
      <c r="N3" s="246"/>
    </row>
    <row r="4" spans="1:14" s="1" customFormat="1">
      <c r="A4" s="197"/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246"/>
    </row>
    <row r="6" spans="1:14" ht="16">
      <c r="B6" s="575" t="s">
        <v>104</v>
      </c>
      <c r="C6" s="575"/>
      <c r="D6" s="575"/>
      <c r="F6" s="576" t="s">
        <v>105</v>
      </c>
      <c r="G6" s="576"/>
      <c r="H6" s="576"/>
      <c r="I6" s="576"/>
      <c r="J6" s="576"/>
      <c r="K6" s="576"/>
      <c r="L6" s="576"/>
      <c r="N6" s="557" t="s">
        <v>234</v>
      </c>
    </row>
    <row r="7" spans="1:14">
      <c r="B7" s="247" t="s">
        <v>157</v>
      </c>
      <c r="F7" s="248"/>
      <c r="G7" s="203" t="s">
        <v>106</v>
      </c>
      <c r="H7" s="203" t="s">
        <v>107</v>
      </c>
      <c r="I7" s="203" t="s">
        <v>107</v>
      </c>
      <c r="J7" s="203" t="s">
        <v>108</v>
      </c>
      <c r="K7" s="203" t="s">
        <v>109</v>
      </c>
      <c r="L7" s="203" t="s">
        <v>110</v>
      </c>
    </row>
    <row r="8" spans="1:14" ht="18">
      <c r="B8" s="248" t="s">
        <v>111</v>
      </c>
      <c r="C8" s="248"/>
      <c r="D8" s="305">
        <f>1751.54/8644.9</f>
        <v>0.2026096311119851</v>
      </c>
      <c r="F8" s="249" t="s">
        <v>112</v>
      </c>
      <c r="G8" s="250" t="s">
        <v>113</v>
      </c>
      <c r="H8" s="250" t="s">
        <v>114</v>
      </c>
      <c r="I8" s="250" t="s">
        <v>115</v>
      </c>
      <c r="J8" s="250" t="s">
        <v>116</v>
      </c>
      <c r="K8" s="250" t="s">
        <v>56</v>
      </c>
      <c r="L8" s="250" t="s">
        <v>117</v>
      </c>
    </row>
    <row r="9" spans="1:14">
      <c r="B9" s="251" t="s">
        <v>118</v>
      </c>
      <c r="D9" s="252">
        <f>1-D8</f>
        <v>0.79739036888801484</v>
      </c>
      <c r="F9" s="312" t="s">
        <v>223</v>
      </c>
      <c r="G9" s="309">
        <v>1.35</v>
      </c>
      <c r="H9" s="310">
        <v>28.32</v>
      </c>
      <c r="I9" s="310">
        <f>100-H9</f>
        <v>71.680000000000007</v>
      </c>
      <c r="J9" s="252">
        <f>+IF(ISERROR(H9/I9),0,H9/I9)</f>
        <v>0.3950892857142857</v>
      </c>
      <c r="K9" s="305">
        <v>0.27</v>
      </c>
      <c r="L9" s="254">
        <f>+G9/(1+(J9)*(1-K9))</f>
        <v>1.0477988946830443</v>
      </c>
    </row>
    <row r="10" spans="1:14">
      <c r="B10" s="251"/>
      <c r="D10" s="333"/>
      <c r="F10" s="312" t="s">
        <v>224</v>
      </c>
      <c r="G10" s="309">
        <v>1.3029999999999999</v>
      </c>
      <c r="H10" s="307">
        <v>3099.2</v>
      </c>
      <c r="I10" s="307">
        <v>5009.8999999999996</v>
      </c>
      <c r="J10" s="252">
        <f>+IF(ISERROR(H10/I10),0,H10/I10)</f>
        <v>0.61861514201880274</v>
      </c>
      <c r="K10" s="305">
        <v>0.27</v>
      </c>
      <c r="L10" s="254">
        <f>+G10/(1+(J10)*(1-K10))</f>
        <v>0.89763697012066035</v>
      </c>
    </row>
    <row r="11" spans="1:14">
      <c r="F11" s="312" t="s">
        <v>225</v>
      </c>
      <c r="G11" s="309">
        <v>1.268</v>
      </c>
      <c r="H11" s="307">
        <v>1034.4000000000001</v>
      </c>
      <c r="I11" s="307">
        <v>3734.5</v>
      </c>
      <c r="J11" s="252">
        <f>+IF(ISERROR(H11/I11),0,H11/I11)</f>
        <v>0.27698487079930384</v>
      </c>
      <c r="K11" s="305">
        <v>0.27</v>
      </c>
      <c r="L11" s="254">
        <f>+G11/(1+(J11)*(1-K11))</f>
        <v>1.0547339057361749</v>
      </c>
    </row>
    <row r="12" spans="1:14">
      <c r="B12" s="247" t="s">
        <v>119</v>
      </c>
      <c r="C12" s="248"/>
      <c r="D12" s="248"/>
      <c r="F12" s="312" t="s">
        <v>227</v>
      </c>
      <c r="G12" s="309">
        <v>0.53</v>
      </c>
      <c r="H12" s="307">
        <v>154.80000000000001</v>
      </c>
      <c r="I12" s="307">
        <v>191.2</v>
      </c>
      <c r="J12" s="252">
        <f>+IF(ISERROR(H12/I12),0,H12/I12)</f>
        <v>0.80962343096234324</v>
      </c>
      <c r="K12" s="305">
        <v>0.214</v>
      </c>
      <c r="L12" s="254">
        <f>+G12/(1+(J12)*(1-K12))</f>
        <v>0.32388881360092658</v>
      </c>
    </row>
    <row r="13" spans="1:14">
      <c r="B13" s="248" t="s">
        <v>119</v>
      </c>
      <c r="C13" s="248"/>
      <c r="D13" s="305">
        <v>0.12214700000000001</v>
      </c>
      <c r="E13" s="305">
        <f>183.7/1751.54</f>
        <v>0.1048791349326878</v>
      </c>
      <c r="F13" s="312" t="s">
        <v>226</v>
      </c>
      <c r="G13" s="309">
        <v>1.472</v>
      </c>
      <c r="H13" s="307">
        <v>529.79999999999995</v>
      </c>
      <c r="I13" s="307">
        <v>751.2</v>
      </c>
      <c r="J13" s="252">
        <f>+IF(ISERROR(H13/I13),0,H13/I13)</f>
        <v>0.70527156549520753</v>
      </c>
      <c r="K13" s="305">
        <v>0.2</v>
      </c>
      <c r="L13" s="254">
        <f>+G13/(1+(J13)*(1-K13))</f>
        <v>0.94104575163398707</v>
      </c>
    </row>
    <row r="14" spans="1:14">
      <c r="B14" s="248" t="s">
        <v>56</v>
      </c>
      <c r="C14" s="248"/>
      <c r="D14" s="305">
        <v>8.6999999999999994E-2</v>
      </c>
      <c r="F14" s="253"/>
      <c r="G14" s="334"/>
      <c r="H14" s="335"/>
      <c r="I14" s="335"/>
      <c r="J14" s="252"/>
      <c r="K14" s="336"/>
      <c r="L14" s="255"/>
    </row>
    <row r="15" spans="1:14">
      <c r="B15" s="256" t="s">
        <v>120</v>
      </c>
      <c r="C15" s="256"/>
      <c r="D15" s="78">
        <f>+D13*(1-D14)</f>
        <v>0.11152021100000001</v>
      </c>
      <c r="F15" s="257" t="s">
        <v>121</v>
      </c>
      <c r="G15" s="258">
        <f>AVERAGE(G9:G14)</f>
        <v>1.1846000000000001</v>
      </c>
      <c r="H15" s="259"/>
      <c r="I15" s="259"/>
      <c r="J15" s="260">
        <f>AVERAGE(J9:J14)</f>
        <v>0.56111685899798869</v>
      </c>
      <c r="K15" s="259"/>
      <c r="L15" s="258">
        <f>AVERAGE(L9:L14)</f>
        <v>0.85302086715495862</v>
      </c>
    </row>
    <row r="16" spans="1:14">
      <c r="B16" s="256"/>
      <c r="C16" s="256"/>
      <c r="E16" s="274"/>
      <c r="F16" s="257" t="s">
        <v>122</v>
      </c>
      <c r="G16" s="258">
        <f>MEDIAN(G9:G14)</f>
        <v>1.3029999999999999</v>
      </c>
      <c r="H16" s="259"/>
      <c r="I16" s="259"/>
      <c r="J16" s="260">
        <f>MEDIAN(J9:J14)</f>
        <v>0.61861514201880274</v>
      </c>
      <c r="K16" s="259"/>
      <c r="L16" s="258">
        <f>MEDIAN(L9:L14)</f>
        <v>0.94104575163398707</v>
      </c>
    </row>
    <row r="17" spans="2:12">
      <c r="E17" s="274"/>
    </row>
    <row r="18" spans="2:12" ht="16">
      <c r="B18" s="247" t="s">
        <v>123</v>
      </c>
      <c r="C18" s="248"/>
      <c r="D18" s="248"/>
      <c r="E18" s="22"/>
      <c r="F18" s="576" t="s">
        <v>124</v>
      </c>
      <c r="G18" s="576"/>
      <c r="H18" s="576"/>
      <c r="I18" s="576"/>
      <c r="J18" s="576"/>
      <c r="K18" s="576"/>
      <c r="L18" s="576"/>
    </row>
    <row r="19" spans="2:12" ht="15">
      <c r="B19" s="248" t="s">
        <v>158</v>
      </c>
      <c r="C19" s="248"/>
      <c r="D19" s="305">
        <v>1.7651E-2</v>
      </c>
      <c r="E19" s="274"/>
      <c r="F19" s="192"/>
      <c r="G19" s="192"/>
      <c r="H19" s="192"/>
      <c r="I19" s="261" t="s">
        <v>167</v>
      </c>
      <c r="J19" s="203" t="s">
        <v>125</v>
      </c>
      <c r="K19" s="203" t="s">
        <v>125</v>
      </c>
      <c r="L19" s="192"/>
    </row>
    <row r="20" spans="2:12" ht="15">
      <c r="B20" s="248" t="s">
        <v>159</v>
      </c>
      <c r="C20" s="248"/>
      <c r="D20" s="305">
        <v>6.9959999999999994E-2</v>
      </c>
      <c r="E20" s="274"/>
      <c r="F20" s="192"/>
      <c r="G20" s="192"/>
      <c r="H20" s="192"/>
      <c r="I20" s="203" t="s">
        <v>110</v>
      </c>
      <c r="J20" s="203" t="s">
        <v>108</v>
      </c>
      <c r="K20" s="203" t="s">
        <v>109</v>
      </c>
      <c r="L20" s="203" t="s">
        <v>126</v>
      </c>
    </row>
    <row r="21" spans="2:12" ht="16">
      <c r="B21" s="248" t="s">
        <v>127</v>
      </c>
      <c r="C21" s="248"/>
      <c r="D21" s="254">
        <f>L22</f>
        <v>1.0509089006968704</v>
      </c>
      <c r="E21" s="274"/>
      <c r="F21" s="248"/>
      <c r="G21" s="248"/>
      <c r="H21" s="248"/>
      <c r="I21" s="250" t="s">
        <v>117</v>
      </c>
      <c r="J21" s="250" t="s">
        <v>116</v>
      </c>
      <c r="K21" s="250" t="s">
        <v>56</v>
      </c>
      <c r="L21" s="250" t="s">
        <v>117</v>
      </c>
    </row>
    <row r="22" spans="2:12" ht="15">
      <c r="B22" s="197" t="s">
        <v>160</v>
      </c>
      <c r="D22" s="311">
        <v>0</v>
      </c>
      <c r="E22" s="274"/>
      <c r="F22" s="262" t="s">
        <v>128</v>
      </c>
      <c r="G22" s="22"/>
      <c r="H22" s="22"/>
      <c r="I22" s="254">
        <f>L15</f>
        <v>0.85302086715495862</v>
      </c>
      <c r="J22" s="252">
        <f>D8/D9</f>
        <v>0.25409089326540324</v>
      </c>
      <c r="K22" s="252">
        <f>D14</f>
        <v>8.6999999999999994E-2</v>
      </c>
      <c r="L22" s="263">
        <f>+I22*(1+(J22)*(1-K22))</f>
        <v>1.0509089006968704</v>
      </c>
    </row>
    <row r="23" spans="2:12">
      <c r="B23" s="256" t="s">
        <v>129</v>
      </c>
      <c r="C23" s="248"/>
      <c r="D23" s="78">
        <f>+D19+(D21*D20)+D22</f>
        <v>9.1172586692753049E-2</v>
      </c>
      <c r="E23" s="274"/>
      <c r="F23" s="262"/>
      <c r="G23" s="22"/>
      <c r="H23" s="22"/>
      <c r="I23" s="264"/>
      <c r="J23" s="265"/>
      <c r="K23" s="265"/>
      <c r="L23" s="266"/>
    </row>
    <row r="24" spans="2:12" ht="16">
      <c r="B24" s="256"/>
      <c r="C24" s="248"/>
      <c r="E24" s="274"/>
      <c r="F24" s="576" t="s">
        <v>130</v>
      </c>
      <c r="G24" s="576"/>
      <c r="H24" s="576"/>
      <c r="I24" s="576"/>
      <c r="J24" s="576"/>
      <c r="K24" s="576"/>
      <c r="L24" s="576"/>
    </row>
    <row r="25" spans="2:12" ht="16">
      <c r="B25" s="247"/>
      <c r="C25" s="22"/>
      <c r="D25" s="22"/>
      <c r="E25" s="274"/>
      <c r="F25" s="91"/>
      <c r="H25" s="574" t="s">
        <v>131</v>
      </c>
      <c r="I25" s="574"/>
      <c r="J25" s="574"/>
      <c r="K25" s="574"/>
      <c r="L25" s="574"/>
    </row>
    <row r="26" spans="2:12">
      <c r="B26" s="256" t="s">
        <v>27</v>
      </c>
      <c r="C26" s="248"/>
      <c r="D26" s="78">
        <f>(D8*D15)+(D9*D23)</f>
        <v>9.5295211347649608E-2</v>
      </c>
      <c r="E26" s="274"/>
      <c r="F26" s="566" t="s">
        <v>111</v>
      </c>
      <c r="G26" s="585">
        <f>D26</f>
        <v>9.5295211347649608E-2</v>
      </c>
      <c r="H26" s="267">
        <f>I26-0.005</f>
        <v>-0.01</v>
      </c>
      <c r="I26" s="267">
        <f>J26-0.005</f>
        <v>-5.0000000000000001E-3</v>
      </c>
      <c r="J26" s="268">
        <v>0</v>
      </c>
      <c r="K26" s="267">
        <f>J26+0.005</f>
        <v>5.0000000000000001E-3</v>
      </c>
      <c r="L26" s="267">
        <f>K26+0.005</f>
        <v>0.01</v>
      </c>
    </row>
    <row r="27" spans="2:12">
      <c r="B27" s="337"/>
      <c r="C27" s="337"/>
      <c r="D27" s="337"/>
      <c r="E27" s="274"/>
      <c r="F27" s="566"/>
      <c r="G27" s="97">
        <f>G28-0.1</f>
        <v>-0.2</v>
      </c>
      <c r="H27" s="147">
        <f t="dataTable" ref="H27:L31" dt2D="1" dtr="0" r1="E13" r2="D8"/>
        <v>5.9592883379832096E-2</v>
      </c>
      <c r="I27" s="101">
        <v>5.9592883379832096E-2</v>
      </c>
      <c r="J27" s="101">
        <v>5.9592883379832096E-2</v>
      </c>
      <c r="K27" s="101">
        <v>5.9592883379832096E-2</v>
      </c>
      <c r="L27" s="101">
        <v>5.9592883379832096E-2</v>
      </c>
    </row>
    <row r="28" spans="2:12">
      <c r="E28" s="274"/>
      <c r="F28" s="566"/>
      <c r="G28" s="97">
        <f>G29-0.1</f>
        <v>-0.1</v>
      </c>
      <c r="H28" s="100">
        <v>6.846061162299652E-2</v>
      </c>
      <c r="I28" s="103">
        <v>6.846061162299652E-2</v>
      </c>
      <c r="J28" s="103">
        <v>6.846061162299652E-2</v>
      </c>
      <c r="K28" s="103">
        <v>6.846061162299652E-2</v>
      </c>
      <c r="L28" s="101">
        <v>6.846061162299652E-2</v>
      </c>
    </row>
    <row r="29" spans="2:12">
      <c r="E29" s="274"/>
      <c r="F29" s="566"/>
      <c r="G29" s="104">
        <v>0</v>
      </c>
      <c r="H29" s="100">
        <v>7.7328339866160903E-2</v>
      </c>
      <c r="I29" s="103">
        <v>7.7328339866160903E-2</v>
      </c>
      <c r="J29" s="106">
        <v>7.7328339866160903E-2</v>
      </c>
      <c r="K29" s="103">
        <v>7.7328339866160903E-2</v>
      </c>
      <c r="L29" s="101">
        <v>7.7328339866160903E-2</v>
      </c>
    </row>
    <row r="30" spans="2:12">
      <c r="E30" s="274"/>
      <c r="F30" s="566"/>
      <c r="G30" s="97">
        <f>G29+0.1</f>
        <v>0.1</v>
      </c>
      <c r="H30" s="100">
        <v>8.6196068109325313E-2</v>
      </c>
      <c r="I30" s="103">
        <v>8.6196068109325313E-2</v>
      </c>
      <c r="J30" s="103">
        <v>8.6196068109325313E-2</v>
      </c>
      <c r="K30" s="103">
        <v>8.6196068109325313E-2</v>
      </c>
      <c r="L30" s="101">
        <v>8.6196068109325313E-2</v>
      </c>
    </row>
    <row r="31" spans="2:12">
      <c r="E31" s="274"/>
      <c r="F31" s="566"/>
      <c r="G31" s="97">
        <f>G30+0.1</f>
        <v>0.2</v>
      </c>
      <c r="H31" s="100">
        <v>9.506379635248971E-2</v>
      </c>
      <c r="I31" s="101">
        <v>9.506379635248971E-2</v>
      </c>
      <c r="J31" s="101">
        <v>9.506379635248971E-2</v>
      </c>
      <c r="K31" s="101">
        <v>9.506379635248971E-2</v>
      </c>
      <c r="L31" s="101">
        <v>9.506379635248971E-2</v>
      </c>
    </row>
    <row r="32" spans="2:12">
      <c r="B32" s="337"/>
      <c r="C32" s="337"/>
      <c r="D32" s="337"/>
      <c r="E32" s="274"/>
    </row>
    <row r="33" spans="2:10">
      <c r="B33" s="553" t="s">
        <v>222</v>
      </c>
      <c r="C33" s="338"/>
      <c r="D33" s="338"/>
    </row>
    <row r="34" spans="2:10">
      <c r="B34" s="338" t="s">
        <v>161</v>
      </c>
    </row>
    <row r="35" spans="2:10">
      <c r="B35" s="197" t="s">
        <v>162</v>
      </c>
    </row>
    <row r="36" spans="2:10">
      <c r="B36" s="197" t="s">
        <v>163</v>
      </c>
    </row>
    <row r="46" spans="2:10">
      <c r="I46" s="553"/>
      <c r="J46" s="553"/>
    </row>
  </sheetData>
  <mergeCells count="6">
    <mergeCell ref="H25:L25"/>
    <mergeCell ref="F26:F31"/>
    <mergeCell ref="B6:D6"/>
    <mergeCell ref="F6:L6"/>
    <mergeCell ref="F18:L18"/>
    <mergeCell ref="F24:L24"/>
  </mergeCells>
  <phoneticPr fontId="37" type="noConversion"/>
  <pageMargins left="0.75" right="0.75" top="1" bottom="1" header="0.5" footer="0.5"/>
  <pageSetup scale="71"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43"/>
  <sheetViews>
    <sheetView showGridLines="0" zoomScale="85" workbookViewId="0">
      <selection activeCell="N38" sqref="N38"/>
    </sheetView>
  </sheetViews>
  <sheetFormatPr baseColWidth="10" defaultColWidth="9.1640625" defaultRowHeight="13"/>
  <cols>
    <col min="1" max="1" width="0.83203125" style="197" customWidth="1"/>
    <col min="2" max="5" width="9.6640625" style="197" customWidth="1"/>
    <col min="6" max="15" width="12.6640625" style="197" customWidth="1"/>
    <col min="16" max="16384" width="9.1640625" style="197"/>
  </cols>
  <sheetData>
    <row r="1" spans="1:15" ht="3.75" customHeight="1">
      <c r="A1" s="197" t="s">
        <v>152</v>
      </c>
    </row>
    <row r="2" spans="1:15" ht="19">
      <c r="B2" s="577" t="s">
        <v>132</v>
      </c>
      <c r="C2" s="577"/>
      <c r="D2" s="577"/>
      <c r="E2" s="577"/>
      <c r="F2" s="577"/>
      <c r="G2" s="577"/>
      <c r="H2" s="577"/>
      <c r="I2" s="577"/>
      <c r="J2" s="577"/>
      <c r="K2" s="577"/>
      <c r="L2" s="577"/>
      <c r="M2" s="577"/>
      <c r="N2" s="577"/>
      <c r="O2" s="577"/>
    </row>
    <row r="3" spans="1:15">
      <c r="B3" s="274"/>
      <c r="C3" s="274"/>
      <c r="D3" s="274"/>
      <c r="E3" s="274"/>
      <c r="F3" s="329"/>
      <c r="G3" s="329"/>
      <c r="H3" s="329"/>
      <c r="I3" s="329"/>
      <c r="J3" s="329"/>
      <c r="K3" s="329"/>
      <c r="L3" s="329"/>
      <c r="M3" s="329"/>
      <c r="N3" s="329"/>
      <c r="O3" s="329"/>
    </row>
    <row r="4" spans="1:15" ht="16">
      <c r="B4" s="274"/>
      <c r="C4" s="274"/>
      <c r="D4" s="274"/>
      <c r="E4" s="274"/>
      <c r="F4" s="92" t="s">
        <v>8</v>
      </c>
      <c r="G4" s="269"/>
      <c r="H4" s="269"/>
      <c r="I4" s="269"/>
      <c r="J4" s="269"/>
      <c r="K4" s="269"/>
      <c r="L4" s="269"/>
      <c r="M4" s="269"/>
      <c r="N4" s="269"/>
      <c r="O4" s="92"/>
    </row>
    <row r="5" spans="1:15">
      <c r="B5" s="270"/>
      <c r="C5" s="274"/>
      <c r="D5" s="274"/>
      <c r="E5" s="274"/>
      <c r="F5" s="271">
        <v>1</v>
      </c>
      <c r="G5" s="271">
        <v>2</v>
      </c>
      <c r="H5" s="271">
        <v>3</v>
      </c>
      <c r="I5" s="271">
        <v>4</v>
      </c>
      <c r="J5" s="271">
        <v>5</v>
      </c>
      <c r="K5" s="271">
        <v>6</v>
      </c>
      <c r="L5" s="271">
        <v>7</v>
      </c>
      <c r="M5" s="271">
        <v>8</v>
      </c>
      <c r="N5" s="271">
        <v>9</v>
      </c>
      <c r="O5" s="271">
        <v>10</v>
      </c>
    </row>
    <row r="6" spans="1:15" ht="16">
      <c r="B6" s="270"/>
      <c r="C6" s="274"/>
      <c r="D6" s="274"/>
      <c r="E6" s="274"/>
      <c r="F6" s="361" t="s">
        <v>9</v>
      </c>
      <c r="G6" s="361" t="s">
        <v>10</v>
      </c>
      <c r="H6" s="361" t="s">
        <v>11</v>
      </c>
      <c r="I6" s="361" t="s">
        <v>12</v>
      </c>
      <c r="J6" s="361" t="s">
        <v>13</v>
      </c>
      <c r="K6" s="361" t="s">
        <v>133</v>
      </c>
      <c r="L6" s="361" t="s">
        <v>134</v>
      </c>
      <c r="M6" s="361" t="s">
        <v>135</v>
      </c>
      <c r="N6" s="361" t="s">
        <v>136</v>
      </c>
      <c r="O6" s="361" t="s">
        <v>137</v>
      </c>
    </row>
    <row r="7" spans="1:15">
      <c r="B7" s="270"/>
      <c r="C7" s="274"/>
      <c r="D7" s="274"/>
      <c r="E7" s="274"/>
      <c r="F7" s="272"/>
      <c r="G7" s="272"/>
      <c r="H7" s="272"/>
      <c r="I7" s="272"/>
      <c r="J7" s="272"/>
      <c r="K7" s="272"/>
      <c r="L7" s="272"/>
      <c r="M7" s="272"/>
      <c r="N7" s="272"/>
      <c r="O7" s="272"/>
    </row>
    <row r="8" spans="1:15">
      <c r="B8" s="273" t="s">
        <v>138</v>
      </c>
      <c r="C8" s="274"/>
      <c r="D8" s="274"/>
      <c r="E8" s="274"/>
      <c r="F8" s="274"/>
      <c r="G8" s="272"/>
      <c r="H8" s="272"/>
      <c r="I8" s="272"/>
      <c r="J8" s="272"/>
      <c r="K8" s="274"/>
      <c r="L8" s="274"/>
      <c r="M8" s="274"/>
      <c r="N8" s="274"/>
      <c r="O8" s="274"/>
    </row>
    <row r="9" spans="1:15">
      <c r="B9" s="270" t="s">
        <v>51</v>
      </c>
      <c r="C9" s="274"/>
      <c r="D9" s="274"/>
      <c r="E9" s="274"/>
      <c r="F9" s="275">
        <f>CHOOSE(DCF!$R$5,F10,F11,F12,F13,F14)</f>
        <v>0</v>
      </c>
      <c r="G9" s="275">
        <f>CHOOSE(DCF!$R$5,G10,G11,G12,G13,G14)</f>
        <v>0</v>
      </c>
      <c r="H9" s="275">
        <f>CHOOSE(DCF!$R$5,H10,H11,H12,H13,H14)</f>
        <v>0</v>
      </c>
      <c r="I9" s="275">
        <f>CHOOSE(DCF!$R$5,I10,I11,I12,I13,I14)</f>
        <v>0</v>
      </c>
      <c r="J9" s="275">
        <f>CHOOSE(DCF!$R$5,J10,J11,J12,J13,J14)</f>
        <v>0</v>
      </c>
      <c r="K9" s="276">
        <f>CHOOSE(DCF!$R$5,K10,K11,K12,K13,K14)</f>
        <v>0</v>
      </c>
      <c r="L9" s="276">
        <f>CHOOSE(DCF!$R$5,L10,L11,L12,L13,L14)</f>
        <v>0</v>
      </c>
      <c r="M9" s="276">
        <f>CHOOSE(DCF!$R$5,M10,M11,M12,M13,M14)</f>
        <v>0</v>
      </c>
      <c r="N9" s="276">
        <f>CHOOSE(DCF!$R$5,N10,N11,N12,N13,N14)</f>
        <v>0</v>
      </c>
      <c r="O9" s="276">
        <f>CHOOSE(DCF!$R$5,O10,O11,O12,O13,O14)</f>
        <v>0</v>
      </c>
    </row>
    <row r="10" spans="1:15">
      <c r="B10" s="270" t="s">
        <v>139</v>
      </c>
      <c r="C10" s="274"/>
      <c r="D10" s="274"/>
      <c r="E10" s="274">
        <v>1</v>
      </c>
      <c r="F10" s="277">
        <v>0</v>
      </c>
      <c r="G10" s="130">
        <v>0</v>
      </c>
      <c r="H10" s="130">
        <v>0</v>
      </c>
      <c r="I10" s="130">
        <v>0</v>
      </c>
      <c r="J10" s="130">
        <v>0</v>
      </c>
      <c r="K10" s="278">
        <f t="shared" ref="K10:O14" si="0">+J10</f>
        <v>0</v>
      </c>
      <c r="L10" s="278">
        <f t="shared" si="0"/>
        <v>0</v>
      </c>
      <c r="M10" s="278">
        <f t="shared" si="0"/>
        <v>0</v>
      </c>
      <c r="N10" s="278">
        <f t="shared" si="0"/>
        <v>0</v>
      </c>
      <c r="O10" s="279">
        <f t="shared" si="0"/>
        <v>0</v>
      </c>
    </row>
    <row r="11" spans="1:15">
      <c r="B11" s="270" t="s">
        <v>141</v>
      </c>
      <c r="C11" s="274"/>
      <c r="D11" s="274"/>
      <c r="E11" s="274">
        <v>2</v>
      </c>
      <c r="F11" s="277">
        <v>0</v>
      </c>
      <c r="G11" s="130">
        <v>0</v>
      </c>
      <c r="H11" s="130">
        <v>0</v>
      </c>
      <c r="I11" s="130">
        <v>0</v>
      </c>
      <c r="J11" s="130">
        <v>0</v>
      </c>
      <c r="K11" s="278">
        <f t="shared" si="0"/>
        <v>0</v>
      </c>
      <c r="L11" s="278">
        <f t="shared" si="0"/>
        <v>0</v>
      </c>
      <c r="M11" s="278">
        <f t="shared" si="0"/>
        <v>0</v>
      </c>
      <c r="N11" s="278">
        <f t="shared" si="0"/>
        <v>0</v>
      </c>
      <c r="O11" s="279">
        <f t="shared" si="0"/>
        <v>0</v>
      </c>
    </row>
    <row r="12" spans="1:15">
      <c r="B12" s="270" t="s">
        <v>140</v>
      </c>
      <c r="C12" s="274"/>
      <c r="D12" s="274"/>
      <c r="E12" s="274">
        <v>3</v>
      </c>
      <c r="F12" s="277">
        <v>0</v>
      </c>
      <c r="G12" s="130">
        <v>0</v>
      </c>
      <c r="H12" s="130">
        <v>0</v>
      </c>
      <c r="I12" s="130">
        <v>0</v>
      </c>
      <c r="J12" s="130">
        <v>0</v>
      </c>
      <c r="K12" s="278">
        <f t="shared" si="0"/>
        <v>0</v>
      </c>
      <c r="L12" s="278">
        <f t="shared" si="0"/>
        <v>0</v>
      </c>
      <c r="M12" s="278">
        <f t="shared" si="0"/>
        <v>0</v>
      </c>
      <c r="N12" s="278">
        <f t="shared" si="0"/>
        <v>0</v>
      </c>
      <c r="O12" s="279">
        <f t="shared" si="0"/>
        <v>0</v>
      </c>
    </row>
    <row r="13" spans="1:15">
      <c r="B13" s="270" t="s">
        <v>142</v>
      </c>
      <c r="C13" s="274"/>
      <c r="D13" s="274"/>
      <c r="E13" s="274">
        <v>4</v>
      </c>
      <c r="F13" s="277">
        <v>0</v>
      </c>
      <c r="G13" s="130">
        <v>0</v>
      </c>
      <c r="H13" s="130">
        <v>0</v>
      </c>
      <c r="I13" s="130">
        <v>0</v>
      </c>
      <c r="J13" s="130">
        <v>0</v>
      </c>
      <c r="K13" s="278">
        <f t="shared" si="0"/>
        <v>0</v>
      </c>
      <c r="L13" s="278">
        <f t="shared" si="0"/>
        <v>0</v>
      </c>
      <c r="M13" s="278">
        <f t="shared" si="0"/>
        <v>0</v>
      </c>
      <c r="N13" s="278">
        <f t="shared" si="0"/>
        <v>0</v>
      </c>
      <c r="O13" s="279">
        <f t="shared" si="0"/>
        <v>0</v>
      </c>
    </row>
    <row r="14" spans="1:15">
      <c r="B14" s="270" t="s">
        <v>143</v>
      </c>
      <c r="C14" s="274"/>
      <c r="D14" s="274"/>
      <c r="E14" s="274">
        <v>5</v>
      </c>
      <c r="F14" s="280">
        <v>0</v>
      </c>
      <c r="G14" s="130">
        <v>0</v>
      </c>
      <c r="H14" s="130">
        <v>0</v>
      </c>
      <c r="I14" s="130">
        <v>0</v>
      </c>
      <c r="J14" s="130">
        <v>0</v>
      </c>
      <c r="K14" s="281">
        <f t="shared" si="0"/>
        <v>0</v>
      </c>
      <c r="L14" s="281">
        <f t="shared" si="0"/>
        <v>0</v>
      </c>
      <c r="M14" s="281">
        <f t="shared" si="0"/>
        <v>0</v>
      </c>
      <c r="N14" s="281">
        <f t="shared" si="0"/>
        <v>0</v>
      </c>
      <c r="O14" s="282">
        <f t="shared" si="0"/>
        <v>0</v>
      </c>
    </row>
    <row r="15" spans="1:15">
      <c r="B15" s="270"/>
      <c r="C15" s="274"/>
      <c r="D15" s="274"/>
      <c r="E15" s="274"/>
      <c r="F15" s="283"/>
      <c r="G15" s="283"/>
      <c r="H15" s="283"/>
      <c r="I15" s="283"/>
      <c r="J15" s="283"/>
      <c r="K15" s="283"/>
      <c r="L15" s="283"/>
      <c r="M15" s="283"/>
      <c r="N15" s="283"/>
      <c r="O15" s="283"/>
    </row>
    <row r="16" spans="1:15">
      <c r="B16" s="270" t="s">
        <v>144</v>
      </c>
      <c r="C16" s="274"/>
      <c r="D16" s="274"/>
      <c r="E16" s="274"/>
      <c r="F16" s="275">
        <f>CHOOSE(DCF!$R$5,F17,F18,F19,F20,F21)</f>
        <v>0</v>
      </c>
      <c r="G16" s="275">
        <f>CHOOSE(DCF!$R$5,G17,G18,G19,G20,G21)</f>
        <v>0</v>
      </c>
      <c r="H16" s="275">
        <f>CHOOSE(DCF!$R$5,H17,H18,H19,H20,H21)</f>
        <v>0</v>
      </c>
      <c r="I16" s="275">
        <f>CHOOSE(DCF!$R$5,I17,I18,I19,I20,I21)</f>
        <v>0</v>
      </c>
      <c r="J16" s="275">
        <f>CHOOSE(DCF!$R$5,J17,J18,J19,J20,J21)</f>
        <v>0</v>
      </c>
      <c r="K16" s="276">
        <f>CHOOSE(DCF!$R$5,K17,K18,K19,K20,K21)</f>
        <v>0</v>
      </c>
      <c r="L16" s="276">
        <f>CHOOSE(DCF!$R$5,L17,L18,L19,L20,L21)</f>
        <v>0</v>
      </c>
      <c r="M16" s="276">
        <f>CHOOSE(DCF!$R$5,M17,M18,M19,M20,M21)</f>
        <v>0</v>
      </c>
      <c r="N16" s="276">
        <f>CHOOSE(DCF!$R$5,N17,N18,N19,N20,N21)</f>
        <v>0</v>
      </c>
      <c r="O16" s="276">
        <f>CHOOSE(DCF!$R$5,O17,O18,O19,O20,O21)</f>
        <v>0</v>
      </c>
    </row>
    <row r="17" spans="2:15">
      <c r="B17" s="270" t="s">
        <v>139</v>
      </c>
      <c r="C17" s="274"/>
      <c r="D17" s="274"/>
      <c r="E17" s="274">
        <v>1</v>
      </c>
      <c r="F17" s="277">
        <v>0</v>
      </c>
      <c r="G17" s="130">
        <v>0</v>
      </c>
      <c r="H17" s="130">
        <v>0</v>
      </c>
      <c r="I17" s="130">
        <v>0</v>
      </c>
      <c r="J17" s="130">
        <v>0</v>
      </c>
      <c r="K17" s="278">
        <f t="shared" ref="K17:O21" si="1">+J17</f>
        <v>0</v>
      </c>
      <c r="L17" s="278">
        <f t="shared" si="1"/>
        <v>0</v>
      </c>
      <c r="M17" s="278">
        <f t="shared" si="1"/>
        <v>0</v>
      </c>
      <c r="N17" s="278">
        <f t="shared" si="1"/>
        <v>0</v>
      </c>
      <c r="O17" s="279">
        <f t="shared" si="1"/>
        <v>0</v>
      </c>
    </row>
    <row r="18" spans="2:15">
      <c r="B18" s="270" t="s">
        <v>141</v>
      </c>
      <c r="C18" s="274"/>
      <c r="D18" s="274"/>
      <c r="E18" s="274">
        <v>2</v>
      </c>
      <c r="F18" s="277">
        <v>0</v>
      </c>
      <c r="G18" s="130">
        <v>0</v>
      </c>
      <c r="H18" s="130">
        <v>0</v>
      </c>
      <c r="I18" s="130">
        <v>0</v>
      </c>
      <c r="J18" s="130">
        <v>0</v>
      </c>
      <c r="K18" s="278">
        <f t="shared" si="1"/>
        <v>0</v>
      </c>
      <c r="L18" s="278">
        <f t="shared" si="1"/>
        <v>0</v>
      </c>
      <c r="M18" s="278">
        <f t="shared" si="1"/>
        <v>0</v>
      </c>
      <c r="N18" s="278">
        <f t="shared" si="1"/>
        <v>0</v>
      </c>
      <c r="O18" s="279">
        <f t="shared" si="1"/>
        <v>0</v>
      </c>
    </row>
    <row r="19" spans="2:15">
      <c r="B19" s="270" t="s">
        <v>140</v>
      </c>
      <c r="C19" s="274"/>
      <c r="D19" s="274"/>
      <c r="E19" s="274">
        <v>3</v>
      </c>
      <c r="F19" s="277">
        <v>0</v>
      </c>
      <c r="G19" s="130">
        <v>0</v>
      </c>
      <c r="H19" s="130">
        <v>0</v>
      </c>
      <c r="I19" s="130">
        <v>0</v>
      </c>
      <c r="J19" s="130">
        <v>0</v>
      </c>
      <c r="K19" s="278">
        <f t="shared" si="1"/>
        <v>0</v>
      </c>
      <c r="L19" s="278">
        <f t="shared" si="1"/>
        <v>0</v>
      </c>
      <c r="M19" s="278">
        <f t="shared" si="1"/>
        <v>0</v>
      </c>
      <c r="N19" s="278">
        <f t="shared" si="1"/>
        <v>0</v>
      </c>
      <c r="O19" s="279">
        <f t="shared" si="1"/>
        <v>0</v>
      </c>
    </row>
    <row r="20" spans="2:15">
      <c r="B20" s="270" t="s">
        <v>142</v>
      </c>
      <c r="C20" s="274"/>
      <c r="D20" s="274"/>
      <c r="E20" s="274">
        <v>4</v>
      </c>
      <c r="F20" s="277">
        <v>0</v>
      </c>
      <c r="G20" s="130">
        <v>0</v>
      </c>
      <c r="H20" s="130">
        <v>0</v>
      </c>
      <c r="I20" s="130">
        <v>0</v>
      </c>
      <c r="J20" s="130">
        <v>0</v>
      </c>
      <c r="K20" s="278">
        <f t="shared" si="1"/>
        <v>0</v>
      </c>
      <c r="L20" s="278">
        <f t="shared" si="1"/>
        <v>0</v>
      </c>
      <c r="M20" s="278">
        <f t="shared" si="1"/>
        <v>0</v>
      </c>
      <c r="N20" s="278">
        <f t="shared" si="1"/>
        <v>0</v>
      </c>
      <c r="O20" s="279">
        <f t="shared" si="1"/>
        <v>0</v>
      </c>
    </row>
    <row r="21" spans="2:15">
      <c r="B21" s="270" t="s">
        <v>143</v>
      </c>
      <c r="C21" s="274"/>
      <c r="D21" s="274"/>
      <c r="E21" s="274">
        <v>5</v>
      </c>
      <c r="F21" s="280">
        <v>0</v>
      </c>
      <c r="G21" s="130">
        <v>0</v>
      </c>
      <c r="H21" s="130">
        <v>0</v>
      </c>
      <c r="I21" s="130">
        <v>0</v>
      </c>
      <c r="J21" s="130">
        <v>0</v>
      </c>
      <c r="K21" s="281">
        <f t="shared" si="1"/>
        <v>0</v>
      </c>
      <c r="L21" s="281">
        <f t="shared" si="1"/>
        <v>0</v>
      </c>
      <c r="M21" s="281">
        <f t="shared" si="1"/>
        <v>0</v>
      </c>
      <c r="N21" s="281">
        <f t="shared" si="1"/>
        <v>0</v>
      </c>
      <c r="O21" s="282">
        <f t="shared" si="1"/>
        <v>0</v>
      </c>
    </row>
    <row r="22" spans="2:15">
      <c r="B22" s="270"/>
      <c r="C22" s="274"/>
      <c r="D22" s="274"/>
      <c r="E22" s="274"/>
      <c r="F22" s="283"/>
      <c r="G22" s="283"/>
      <c r="H22" s="283"/>
      <c r="I22" s="283"/>
      <c r="J22" s="283"/>
      <c r="K22" s="283"/>
      <c r="L22" s="283"/>
      <c r="M22" s="283"/>
      <c r="N22" s="283"/>
      <c r="O22" s="283"/>
    </row>
    <row r="23" spans="2:15">
      <c r="B23" s="270" t="s">
        <v>53</v>
      </c>
      <c r="C23" s="274"/>
      <c r="D23" s="274"/>
      <c r="E23" s="274"/>
      <c r="F23" s="275">
        <f>CHOOSE(DCF!$R$5,F24,F25,F26,F27,F28)</f>
        <v>0</v>
      </c>
      <c r="G23" s="275">
        <f>CHOOSE(DCF!$R$5,G24,G25,G26,G27,G28)</f>
        <v>0</v>
      </c>
      <c r="H23" s="275">
        <f>CHOOSE(DCF!$R$5,H24,H25,H26,H27,H28)</f>
        <v>0</v>
      </c>
      <c r="I23" s="275">
        <f>CHOOSE(DCF!$R$5,I24,I25,I26,I27,I28)</f>
        <v>0</v>
      </c>
      <c r="J23" s="275">
        <f>CHOOSE(DCF!$R$5,J24,J25,J26,J27,J28)</f>
        <v>0</v>
      </c>
      <c r="K23" s="276">
        <f>CHOOSE(DCF!$R$5,K24,K25,K26,K27,K28)</f>
        <v>0</v>
      </c>
      <c r="L23" s="276">
        <f>CHOOSE(DCF!$R$5,L24,L25,L26,L27,L28)</f>
        <v>0</v>
      </c>
      <c r="M23" s="276">
        <f>CHOOSE(DCF!$R$5,M24,M25,M26,M27,M28)</f>
        <v>0</v>
      </c>
      <c r="N23" s="276">
        <f>CHOOSE(DCF!$R$5,N24,N25,N26,N27,N28)</f>
        <v>0</v>
      </c>
      <c r="O23" s="276">
        <f>CHOOSE(DCF!$R$5,O24,O25,O26,O27,O28)</f>
        <v>0</v>
      </c>
    </row>
    <row r="24" spans="2:15">
      <c r="B24" s="270" t="s">
        <v>139</v>
      </c>
      <c r="C24" s="274"/>
      <c r="D24" s="274"/>
      <c r="E24" s="274">
        <v>1</v>
      </c>
      <c r="F24" s="277">
        <v>0</v>
      </c>
      <c r="G24" s="130">
        <v>0</v>
      </c>
      <c r="H24" s="130">
        <v>0</v>
      </c>
      <c r="I24" s="130">
        <v>0</v>
      </c>
      <c r="J24" s="130">
        <v>0</v>
      </c>
      <c r="K24" s="278">
        <f t="shared" ref="K24:O28" si="2">+J24</f>
        <v>0</v>
      </c>
      <c r="L24" s="278">
        <f t="shared" si="2"/>
        <v>0</v>
      </c>
      <c r="M24" s="278">
        <f t="shared" si="2"/>
        <v>0</v>
      </c>
      <c r="N24" s="278">
        <f t="shared" si="2"/>
        <v>0</v>
      </c>
      <c r="O24" s="279">
        <f t="shared" si="2"/>
        <v>0</v>
      </c>
    </row>
    <row r="25" spans="2:15">
      <c r="B25" s="270" t="s">
        <v>141</v>
      </c>
      <c r="C25" s="274"/>
      <c r="D25" s="274"/>
      <c r="E25" s="274">
        <v>2</v>
      </c>
      <c r="F25" s="277">
        <v>0</v>
      </c>
      <c r="G25" s="130">
        <v>0</v>
      </c>
      <c r="H25" s="130">
        <v>0</v>
      </c>
      <c r="I25" s="130">
        <v>0</v>
      </c>
      <c r="J25" s="130">
        <v>0</v>
      </c>
      <c r="K25" s="278">
        <f t="shared" si="2"/>
        <v>0</v>
      </c>
      <c r="L25" s="278">
        <f t="shared" si="2"/>
        <v>0</v>
      </c>
      <c r="M25" s="278">
        <f t="shared" si="2"/>
        <v>0</v>
      </c>
      <c r="N25" s="278">
        <f t="shared" si="2"/>
        <v>0</v>
      </c>
      <c r="O25" s="279">
        <f t="shared" si="2"/>
        <v>0</v>
      </c>
    </row>
    <row r="26" spans="2:15">
      <c r="B26" s="270" t="s">
        <v>140</v>
      </c>
      <c r="C26" s="274"/>
      <c r="D26" s="274"/>
      <c r="E26" s="274">
        <v>3</v>
      </c>
      <c r="F26" s="277">
        <v>0</v>
      </c>
      <c r="G26" s="130">
        <v>0</v>
      </c>
      <c r="H26" s="130">
        <v>0</v>
      </c>
      <c r="I26" s="130">
        <v>0</v>
      </c>
      <c r="J26" s="130">
        <v>0</v>
      </c>
      <c r="K26" s="278">
        <f t="shared" si="2"/>
        <v>0</v>
      </c>
      <c r="L26" s="278">
        <f t="shared" si="2"/>
        <v>0</v>
      </c>
      <c r="M26" s="278">
        <f t="shared" si="2"/>
        <v>0</v>
      </c>
      <c r="N26" s="278">
        <f t="shared" si="2"/>
        <v>0</v>
      </c>
      <c r="O26" s="279">
        <f t="shared" si="2"/>
        <v>0</v>
      </c>
    </row>
    <row r="27" spans="2:15">
      <c r="B27" s="270" t="s">
        <v>142</v>
      </c>
      <c r="C27" s="274"/>
      <c r="D27" s="274"/>
      <c r="E27" s="274">
        <v>4</v>
      </c>
      <c r="F27" s="277">
        <v>0</v>
      </c>
      <c r="G27" s="130">
        <v>0</v>
      </c>
      <c r="H27" s="130">
        <v>0</v>
      </c>
      <c r="I27" s="130">
        <v>0</v>
      </c>
      <c r="J27" s="130">
        <v>0</v>
      </c>
      <c r="K27" s="278">
        <f t="shared" si="2"/>
        <v>0</v>
      </c>
      <c r="L27" s="278">
        <f t="shared" si="2"/>
        <v>0</v>
      </c>
      <c r="M27" s="278">
        <f t="shared" si="2"/>
        <v>0</v>
      </c>
      <c r="N27" s="278">
        <f t="shared" si="2"/>
        <v>0</v>
      </c>
      <c r="O27" s="279">
        <f t="shared" si="2"/>
        <v>0</v>
      </c>
    </row>
    <row r="28" spans="2:15">
      <c r="B28" s="270" t="s">
        <v>143</v>
      </c>
      <c r="C28" s="274"/>
      <c r="D28" s="274"/>
      <c r="E28" s="274">
        <v>5</v>
      </c>
      <c r="F28" s="280">
        <v>0</v>
      </c>
      <c r="G28" s="130">
        <v>0</v>
      </c>
      <c r="H28" s="130">
        <v>0</v>
      </c>
      <c r="I28" s="130">
        <v>0</v>
      </c>
      <c r="J28" s="130">
        <v>0</v>
      </c>
      <c r="K28" s="281">
        <f t="shared" si="2"/>
        <v>0</v>
      </c>
      <c r="L28" s="281">
        <f t="shared" si="2"/>
        <v>0</v>
      </c>
      <c r="M28" s="281">
        <f t="shared" si="2"/>
        <v>0</v>
      </c>
      <c r="N28" s="281">
        <f t="shared" si="2"/>
        <v>0</v>
      </c>
      <c r="O28" s="282">
        <f t="shared" si="2"/>
        <v>0</v>
      </c>
    </row>
    <row r="29" spans="2:15">
      <c r="B29" s="270"/>
      <c r="C29" s="274"/>
      <c r="D29" s="274"/>
      <c r="E29" s="274"/>
      <c r="F29" s="283"/>
      <c r="G29" s="283"/>
      <c r="H29" s="283"/>
      <c r="I29" s="283"/>
      <c r="J29" s="283"/>
      <c r="K29" s="283"/>
      <c r="L29" s="283"/>
      <c r="M29" s="283"/>
      <c r="N29" s="283"/>
      <c r="O29" s="283"/>
    </row>
    <row r="30" spans="2:15">
      <c r="B30" s="270" t="s">
        <v>54</v>
      </c>
      <c r="C30" s="274"/>
      <c r="D30" s="274"/>
      <c r="E30" s="274"/>
      <c r="F30" s="275">
        <f>CHOOSE(DCF!$R$5,F31,F32,F33,F34,F35)</f>
        <v>0</v>
      </c>
      <c r="G30" s="275">
        <f>CHOOSE(DCF!$R$5,G31,G32,G33,G34,G35)</f>
        <v>0</v>
      </c>
      <c r="H30" s="275">
        <f>CHOOSE(DCF!$R$5,H31,H32,H33,H34,H35)</f>
        <v>0</v>
      </c>
      <c r="I30" s="275">
        <f>CHOOSE(DCF!$R$5,I31,I32,I33,I34,I35)</f>
        <v>0</v>
      </c>
      <c r="J30" s="275">
        <f>CHOOSE(DCF!$R$5,J31,J32,J33,J34,J35)</f>
        <v>0</v>
      </c>
      <c r="K30" s="276">
        <f>CHOOSE(DCF!$R$5,K31,K32,K33,K34,K35)</f>
        <v>0</v>
      </c>
      <c r="L30" s="276">
        <f>CHOOSE(DCF!$R$5,L31,L32,L33,L34,L35)</f>
        <v>0</v>
      </c>
      <c r="M30" s="276">
        <f>CHOOSE(DCF!$R$5,M31,M32,M33,M34,M35)</f>
        <v>0</v>
      </c>
      <c r="N30" s="276">
        <f>CHOOSE(DCF!$R$5,N31,N32,N33,N34,N35)</f>
        <v>0</v>
      </c>
      <c r="O30" s="276">
        <f>CHOOSE(DCF!$R$5,O31,O32,O33,O34,O35)</f>
        <v>0</v>
      </c>
    </row>
    <row r="31" spans="2:15">
      <c r="B31" s="270" t="s">
        <v>139</v>
      </c>
      <c r="C31" s="274"/>
      <c r="D31" s="274"/>
      <c r="E31" s="274">
        <v>1</v>
      </c>
      <c r="F31" s="277">
        <v>0</v>
      </c>
      <c r="G31" s="130">
        <v>0</v>
      </c>
      <c r="H31" s="130">
        <v>0</v>
      </c>
      <c r="I31" s="130">
        <v>0</v>
      </c>
      <c r="J31" s="130">
        <v>0</v>
      </c>
      <c r="K31" s="278">
        <f t="shared" ref="K31:O35" si="3">+J31</f>
        <v>0</v>
      </c>
      <c r="L31" s="278">
        <f t="shared" si="3"/>
        <v>0</v>
      </c>
      <c r="M31" s="278">
        <f t="shared" si="3"/>
        <v>0</v>
      </c>
      <c r="N31" s="278">
        <f t="shared" si="3"/>
        <v>0</v>
      </c>
      <c r="O31" s="279">
        <f t="shared" si="3"/>
        <v>0</v>
      </c>
    </row>
    <row r="32" spans="2:15">
      <c r="B32" s="270" t="s">
        <v>141</v>
      </c>
      <c r="C32" s="274"/>
      <c r="D32" s="274"/>
      <c r="E32" s="274">
        <v>2</v>
      </c>
      <c r="F32" s="277">
        <v>0</v>
      </c>
      <c r="G32" s="130">
        <v>0</v>
      </c>
      <c r="H32" s="130">
        <v>0</v>
      </c>
      <c r="I32" s="130">
        <v>0</v>
      </c>
      <c r="J32" s="130">
        <v>0</v>
      </c>
      <c r="K32" s="278">
        <f t="shared" si="3"/>
        <v>0</v>
      </c>
      <c r="L32" s="278">
        <f t="shared" si="3"/>
        <v>0</v>
      </c>
      <c r="M32" s="278">
        <f t="shared" si="3"/>
        <v>0</v>
      </c>
      <c r="N32" s="278">
        <f t="shared" si="3"/>
        <v>0</v>
      </c>
      <c r="O32" s="279">
        <f t="shared" si="3"/>
        <v>0</v>
      </c>
    </row>
    <row r="33" spans="2:15">
      <c r="B33" s="270" t="s">
        <v>140</v>
      </c>
      <c r="C33" s="274"/>
      <c r="D33" s="274"/>
      <c r="E33" s="274">
        <v>3</v>
      </c>
      <c r="F33" s="277">
        <v>0</v>
      </c>
      <c r="G33" s="130">
        <v>0</v>
      </c>
      <c r="H33" s="130">
        <v>0</v>
      </c>
      <c r="I33" s="130">
        <v>0</v>
      </c>
      <c r="J33" s="130">
        <v>0</v>
      </c>
      <c r="K33" s="278">
        <f t="shared" si="3"/>
        <v>0</v>
      </c>
      <c r="L33" s="278">
        <f t="shared" si="3"/>
        <v>0</v>
      </c>
      <c r="M33" s="278">
        <f t="shared" si="3"/>
        <v>0</v>
      </c>
      <c r="N33" s="278">
        <f t="shared" si="3"/>
        <v>0</v>
      </c>
      <c r="O33" s="279">
        <f t="shared" si="3"/>
        <v>0</v>
      </c>
    </row>
    <row r="34" spans="2:15">
      <c r="B34" s="270" t="s">
        <v>142</v>
      </c>
      <c r="C34" s="274"/>
      <c r="D34" s="274"/>
      <c r="E34" s="274">
        <v>4</v>
      </c>
      <c r="F34" s="277">
        <v>0</v>
      </c>
      <c r="G34" s="130">
        <v>0</v>
      </c>
      <c r="H34" s="130">
        <v>0</v>
      </c>
      <c r="I34" s="130">
        <v>0</v>
      </c>
      <c r="J34" s="130">
        <v>0</v>
      </c>
      <c r="K34" s="278">
        <f t="shared" si="3"/>
        <v>0</v>
      </c>
      <c r="L34" s="278">
        <f t="shared" si="3"/>
        <v>0</v>
      </c>
      <c r="M34" s="278">
        <f t="shared" si="3"/>
        <v>0</v>
      </c>
      <c r="N34" s="278">
        <f t="shared" si="3"/>
        <v>0</v>
      </c>
      <c r="O34" s="279">
        <f t="shared" si="3"/>
        <v>0</v>
      </c>
    </row>
    <row r="35" spans="2:15">
      <c r="B35" s="270" t="s">
        <v>143</v>
      </c>
      <c r="C35" s="274"/>
      <c r="D35" s="274"/>
      <c r="E35" s="274">
        <v>5</v>
      </c>
      <c r="F35" s="280">
        <v>0</v>
      </c>
      <c r="G35" s="284">
        <v>0</v>
      </c>
      <c r="H35" s="284">
        <v>0</v>
      </c>
      <c r="I35" s="284">
        <v>0</v>
      </c>
      <c r="J35" s="284">
        <v>0</v>
      </c>
      <c r="K35" s="281">
        <f t="shared" si="3"/>
        <v>0</v>
      </c>
      <c r="L35" s="281">
        <f t="shared" si="3"/>
        <v>0</v>
      </c>
      <c r="M35" s="281">
        <f t="shared" si="3"/>
        <v>0</v>
      </c>
      <c r="N35" s="281">
        <f t="shared" si="3"/>
        <v>0</v>
      </c>
      <c r="O35" s="282">
        <f t="shared" si="3"/>
        <v>0</v>
      </c>
    </row>
    <row r="36" spans="2:15">
      <c r="B36" s="270"/>
      <c r="C36" s="274"/>
      <c r="D36" s="274"/>
      <c r="E36" s="274"/>
      <c r="F36" s="285"/>
      <c r="G36" s="285"/>
      <c r="H36" s="285"/>
      <c r="I36" s="285"/>
      <c r="J36" s="285"/>
      <c r="K36" s="285"/>
      <c r="L36" s="285"/>
      <c r="M36" s="285"/>
      <c r="N36" s="285"/>
      <c r="O36" s="285"/>
    </row>
    <row r="37" spans="2:15">
      <c r="B37" s="273" t="s">
        <v>145</v>
      </c>
      <c r="C37" s="274"/>
      <c r="D37" s="274"/>
      <c r="E37" s="274"/>
      <c r="F37" s="272"/>
      <c r="G37" s="272"/>
      <c r="H37" s="272"/>
      <c r="I37" s="272"/>
      <c r="J37" s="272"/>
      <c r="K37" s="272"/>
      <c r="L37" s="272"/>
      <c r="M37" s="272"/>
      <c r="N37" s="272"/>
      <c r="O37" s="272"/>
    </row>
    <row r="38" spans="2:15">
      <c r="B38" s="286" t="s">
        <v>146</v>
      </c>
      <c r="C38" s="274"/>
      <c r="D38" s="274"/>
      <c r="E38" s="274"/>
      <c r="F38" s="275">
        <f>CHOOSE(DCF!$R$5,F39,F40,F41,F42,F43)</f>
        <v>0</v>
      </c>
      <c r="G38" s="275">
        <f>CHOOSE(DCF!$R$5,G39,G40,G41,G42,G43)</f>
        <v>0</v>
      </c>
      <c r="H38" s="275">
        <f>CHOOSE(DCF!$R$5,H39,H40,H41,H42,H43)</f>
        <v>0</v>
      </c>
      <c r="I38" s="275">
        <f>CHOOSE(DCF!$R$5,I39,I40,I41,I42,I43)</f>
        <v>0</v>
      </c>
      <c r="J38" s="275">
        <f>CHOOSE(DCF!$R$5,J39,J40,J41,J42,J43)</f>
        <v>0</v>
      </c>
      <c r="K38" s="276">
        <f>CHOOSE(DCF!$R$5,K39,K40,K41,K42,K43)</f>
        <v>0</v>
      </c>
      <c r="L38" s="276">
        <f>CHOOSE(DCF!$R$5,L39,L40,L41,L42,L43)</f>
        <v>0</v>
      </c>
      <c r="M38" s="276">
        <f>CHOOSE(DCF!$R$5,M39,M40,M41,M42,M43)</f>
        <v>0</v>
      </c>
      <c r="N38" s="276">
        <f>CHOOSE(DCF!$R$5,N39,N40,N41,N42,N43)</f>
        <v>0</v>
      </c>
      <c r="O38" s="276">
        <f>CHOOSE(DCF!$R$5,O39,O40,O41,O42,O43)</f>
        <v>0</v>
      </c>
    </row>
    <row r="39" spans="2:15">
      <c r="B39" s="270" t="s">
        <v>139</v>
      </c>
      <c r="C39" s="274"/>
      <c r="D39" s="274"/>
      <c r="E39" s="274">
        <v>1</v>
      </c>
      <c r="F39" s="277">
        <v>0</v>
      </c>
      <c r="G39" s="130">
        <v>0</v>
      </c>
      <c r="H39" s="130">
        <v>0</v>
      </c>
      <c r="I39" s="130">
        <v>0</v>
      </c>
      <c r="J39" s="130">
        <v>0</v>
      </c>
      <c r="K39" s="278">
        <f t="shared" ref="K39:O43" si="4">+J39</f>
        <v>0</v>
      </c>
      <c r="L39" s="278">
        <f t="shared" si="4"/>
        <v>0</v>
      </c>
      <c r="M39" s="278">
        <f t="shared" si="4"/>
        <v>0</v>
      </c>
      <c r="N39" s="278">
        <f t="shared" si="4"/>
        <v>0</v>
      </c>
      <c r="O39" s="279">
        <f t="shared" si="4"/>
        <v>0</v>
      </c>
    </row>
    <row r="40" spans="2:15">
      <c r="B40" s="270" t="s">
        <v>141</v>
      </c>
      <c r="C40" s="274"/>
      <c r="D40" s="274"/>
      <c r="E40" s="274">
        <v>2</v>
      </c>
      <c r="F40" s="277">
        <v>0</v>
      </c>
      <c r="G40" s="130">
        <v>0</v>
      </c>
      <c r="H40" s="130">
        <v>0</v>
      </c>
      <c r="I40" s="130">
        <v>0</v>
      </c>
      <c r="J40" s="130">
        <v>0</v>
      </c>
      <c r="K40" s="278">
        <f t="shared" si="4"/>
        <v>0</v>
      </c>
      <c r="L40" s="278">
        <f t="shared" si="4"/>
        <v>0</v>
      </c>
      <c r="M40" s="278">
        <f t="shared" si="4"/>
        <v>0</v>
      </c>
      <c r="N40" s="278">
        <f t="shared" si="4"/>
        <v>0</v>
      </c>
      <c r="O40" s="279">
        <f t="shared" si="4"/>
        <v>0</v>
      </c>
    </row>
    <row r="41" spans="2:15">
      <c r="B41" s="270" t="s">
        <v>140</v>
      </c>
      <c r="C41" s="274"/>
      <c r="D41" s="274"/>
      <c r="E41" s="274">
        <v>3</v>
      </c>
      <c r="F41" s="277">
        <v>0</v>
      </c>
      <c r="G41" s="130">
        <v>0</v>
      </c>
      <c r="H41" s="130">
        <v>0</v>
      </c>
      <c r="I41" s="130">
        <v>0</v>
      </c>
      <c r="J41" s="130">
        <v>0</v>
      </c>
      <c r="K41" s="278">
        <f t="shared" si="4"/>
        <v>0</v>
      </c>
      <c r="L41" s="278">
        <f t="shared" si="4"/>
        <v>0</v>
      </c>
      <c r="M41" s="278">
        <f t="shared" si="4"/>
        <v>0</v>
      </c>
      <c r="N41" s="278">
        <f t="shared" si="4"/>
        <v>0</v>
      </c>
      <c r="O41" s="279">
        <f t="shared" si="4"/>
        <v>0</v>
      </c>
    </row>
    <row r="42" spans="2:15">
      <c r="B42" s="270" t="s">
        <v>142</v>
      </c>
      <c r="C42" s="274"/>
      <c r="D42" s="274"/>
      <c r="E42" s="274">
        <v>4</v>
      </c>
      <c r="F42" s="277">
        <v>0</v>
      </c>
      <c r="G42" s="130">
        <v>0</v>
      </c>
      <c r="H42" s="130">
        <v>0</v>
      </c>
      <c r="I42" s="130">
        <v>0</v>
      </c>
      <c r="J42" s="130">
        <v>0</v>
      </c>
      <c r="K42" s="278">
        <f t="shared" si="4"/>
        <v>0</v>
      </c>
      <c r="L42" s="278">
        <f t="shared" si="4"/>
        <v>0</v>
      </c>
      <c r="M42" s="278">
        <f t="shared" si="4"/>
        <v>0</v>
      </c>
      <c r="N42" s="278">
        <f t="shared" si="4"/>
        <v>0</v>
      </c>
      <c r="O42" s="279">
        <f t="shared" si="4"/>
        <v>0</v>
      </c>
    </row>
    <row r="43" spans="2:15">
      <c r="B43" s="270" t="s">
        <v>143</v>
      </c>
      <c r="C43" s="274"/>
      <c r="D43" s="274"/>
      <c r="E43" s="330">
        <v>5</v>
      </c>
      <c r="F43" s="280">
        <v>0</v>
      </c>
      <c r="G43" s="284">
        <v>0</v>
      </c>
      <c r="H43" s="284">
        <v>0</v>
      </c>
      <c r="I43" s="284">
        <v>0</v>
      </c>
      <c r="J43" s="284">
        <v>0</v>
      </c>
      <c r="K43" s="281">
        <f t="shared" si="4"/>
        <v>0</v>
      </c>
      <c r="L43" s="281">
        <f t="shared" si="4"/>
        <v>0</v>
      </c>
      <c r="M43" s="281">
        <f t="shared" si="4"/>
        <v>0</v>
      </c>
      <c r="N43" s="281">
        <f t="shared" si="4"/>
        <v>0</v>
      </c>
      <c r="O43" s="282">
        <f t="shared" si="4"/>
        <v>0</v>
      </c>
    </row>
  </sheetData>
  <mergeCells count="1">
    <mergeCell ref="B2:O2"/>
  </mergeCells>
  <phoneticPr fontId="37" type="noConversion"/>
  <pageMargins left="0.75" right="0.75" top="1" bottom="1" header="0.5" footer="0.5"/>
  <pageSetup scale="74" orientation="landscape"/>
  <ignoredErrors>
    <ignoredError sqref="F6:O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51"/>
  <sheetViews>
    <sheetView showGridLines="0" zoomScale="85" workbookViewId="0">
      <selection activeCell="F45" sqref="F45"/>
    </sheetView>
  </sheetViews>
  <sheetFormatPr baseColWidth="10" defaultColWidth="9.1640625" defaultRowHeight="13"/>
  <cols>
    <col min="1" max="1" width="0.83203125" style="197" customWidth="1"/>
    <col min="2" max="5" width="9.6640625" style="197" customWidth="1"/>
    <col min="6" max="15" width="12.6640625" style="197" customWidth="1"/>
    <col min="16" max="16384" width="9.1640625" style="197"/>
  </cols>
  <sheetData>
    <row r="1" spans="1:15" ht="3.75" customHeight="1">
      <c r="A1" s="325"/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</row>
    <row r="2" spans="1:15" ht="19">
      <c r="A2" s="325"/>
      <c r="B2" s="578" t="s">
        <v>147</v>
      </c>
      <c r="C2" s="578"/>
      <c r="D2" s="578"/>
      <c r="E2" s="578"/>
      <c r="F2" s="578"/>
      <c r="G2" s="578"/>
      <c r="H2" s="578"/>
      <c r="I2" s="578"/>
      <c r="J2" s="578"/>
      <c r="K2" s="578"/>
      <c r="L2" s="578"/>
      <c r="M2" s="578"/>
      <c r="N2" s="578"/>
      <c r="O2" s="578"/>
    </row>
    <row r="3" spans="1:15">
      <c r="A3" s="326"/>
      <c r="B3" s="270"/>
      <c r="C3" s="326"/>
      <c r="D3" s="326"/>
      <c r="E3" s="326"/>
      <c r="F3" s="287"/>
      <c r="G3" s="287"/>
      <c r="H3" s="287"/>
      <c r="I3" s="287"/>
      <c r="J3" s="287"/>
      <c r="K3" s="287"/>
      <c r="L3" s="287"/>
      <c r="M3" s="287"/>
      <c r="N3" s="287"/>
      <c r="O3" s="287"/>
    </row>
    <row r="4" spans="1:15" ht="16">
      <c r="A4" s="325"/>
      <c r="B4" s="326"/>
      <c r="C4" s="326"/>
      <c r="D4" s="326"/>
      <c r="E4" s="326"/>
      <c r="F4" s="288" t="s">
        <v>8</v>
      </c>
      <c r="G4" s="289"/>
      <c r="H4" s="289"/>
      <c r="I4" s="289"/>
      <c r="J4" s="289"/>
      <c r="K4" s="289"/>
      <c r="L4" s="289"/>
      <c r="M4" s="289"/>
      <c r="N4" s="289"/>
      <c r="O4" s="288"/>
    </row>
    <row r="5" spans="1:15">
      <c r="A5" s="326"/>
      <c r="B5" s="270"/>
      <c r="C5" s="326"/>
      <c r="D5" s="326"/>
      <c r="E5" s="326"/>
      <c r="F5" s="290">
        <v>1</v>
      </c>
      <c r="G5" s="290">
        <v>2</v>
      </c>
      <c r="H5" s="290">
        <v>3</v>
      </c>
      <c r="I5" s="290">
        <v>4</v>
      </c>
      <c r="J5" s="290">
        <v>5</v>
      </c>
      <c r="K5" s="290">
        <v>6</v>
      </c>
      <c r="L5" s="290">
        <v>7</v>
      </c>
      <c r="M5" s="290">
        <v>8</v>
      </c>
      <c r="N5" s="290">
        <v>9</v>
      </c>
      <c r="O5" s="290">
        <v>10</v>
      </c>
    </row>
    <row r="6" spans="1:15" ht="16">
      <c r="A6" s="326"/>
      <c r="B6" s="270"/>
      <c r="C6" s="326"/>
      <c r="D6" s="326"/>
      <c r="E6" s="326"/>
      <c r="F6" s="291" t="str">
        <f>'A1'!F6</f>
        <v>2009</v>
      </c>
      <c r="G6" s="291" t="str">
        <f>'A1'!G6</f>
        <v>2010</v>
      </c>
      <c r="H6" s="291" t="str">
        <f>'A1'!H6</f>
        <v>2011</v>
      </c>
      <c r="I6" s="291" t="str">
        <f>'A1'!I6</f>
        <v>2012</v>
      </c>
      <c r="J6" s="291" t="str">
        <f>'A1'!J6</f>
        <v>2013</v>
      </c>
      <c r="K6" s="291" t="str">
        <f>'A1'!K6</f>
        <v>2014</v>
      </c>
      <c r="L6" s="291" t="str">
        <f>'A1'!L6</f>
        <v>2015</v>
      </c>
      <c r="M6" s="291" t="str">
        <f>'A1'!M6</f>
        <v>2016</v>
      </c>
      <c r="N6" s="291" t="str">
        <f>'A1'!N6</f>
        <v>2017</v>
      </c>
      <c r="O6" s="291" t="str">
        <f>'A1'!O6</f>
        <v>2018</v>
      </c>
    </row>
    <row r="7" spans="1:15">
      <c r="A7" s="326"/>
      <c r="B7" s="270"/>
      <c r="C7" s="326"/>
      <c r="D7" s="326"/>
      <c r="E7" s="326"/>
      <c r="F7" s="287"/>
      <c r="G7" s="287"/>
      <c r="H7" s="287"/>
      <c r="I7" s="287"/>
      <c r="J7" s="287"/>
      <c r="K7" s="287"/>
      <c r="L7" s="287"/>
      <c r="M7" s="287"/>
      <c r="N7" s="287"/>
      <c r="O7" s="287"/>
    </row>
    <row r="8" spans="1:15">
      <c r="A8" s="325"/>
      <c r="B8" s="292" t="s">
        <v>85</v>
      </c>
      <c r="C8" s="326"/>
      <c r="D8" s="326"/>
      <c r="E8" s="326"/>
      <c r="F8" s="327"/>
      <c r="G8" s="327"/>
      <c r="H8" s="327"/>
      <c r="I8" s="327"/>
      <c r="J8" s="327"/>
      <c r="K8" s="327"/>
      <c r="L8" s="327"/>
      <c r="M8" s="327"/>
      <c r="N8" s="327"/>
      <c r="O8" s="327"/>
    </row>
    <row r="9" spans="1:15">
      <c r="A9" s="325"/>
      <c r="B9" s="293" t="s">
        <v>148</v>
      </c>
      <c r="C9" s="326"/>
      <c r="D9" s="326"/>
      <c r="E9" s="326"/>
      <c r="F9" s="204">
        <f>CHOOSE(DCF!$R$5,F10,F11,F12,F13,F14)</f>
        <v>0</v>
      </c>
      <c r="G9" s="204">
        <f>CHOOSE(DCF!$R$5,G10,G11,G12,G13,G14)</f>
        <v>0</v>
      </c>
      <c r="H9" s="204">
        <f>CHOOSE(DCF!$R$5,H10,H11,H12,H13,H14)</f>
        <v>0</v>
      </c>
      <c r="I9" s="204">
        <f>CHOOSE(DCF!$R$5,I10,I11,I12,I13,I14)</f>
        <v>0</v>
      </c>
      <c r="J9" s="204">
        <f>CHOOSE(DCF!$R$5,J10,J11,J12,J13,J14)</f>
        <v>0</v>
      </c>
      <c r="K9" s="204">
        <f>CHOOSE(DCF!$R$5,K10,K11,K12,K13,K14)</f>
        <v>0</v>
      </c>
      <c r="L9" s="204">
        <f>CHOOSE(DCF!$R$5,L10,L11,L12,L13,L14)</f>
        <v>0</v>
      </c>
      <c r="M9" s="204">
        <f>CHOOSE(DCF!$R$5,M10,M11,M12,M13,M14)</f>
        <v>0</v>
      </c>
      <c r="N9" s="204">
        <f>CHOOSE(DCF!$R$5,N10,N11,N12,N13,N14)</f>
        <v>0</v>
      </c>
      <c r="O9" s="204">
        <f>CHOOSE(DCF!$R$5,O10,O11,O12,O13,O14)</f>
        <v>0</v>
      </c>
    </row>
    <row r="10" spans="1:15">
      <c r="A10" s="325"/>
      <c r="B10" s="270" t="s">
        <v>139</v>
      </c>
      <c r="C10" s="326"/>
      <c r="D10" s="326"/>
      <c r="E10" s="293">
        <v>1</v>
      </c>
      <c r="F10" s="294">
        <v>0</v>
      </c>
      <c r="G10" s="295">
        <v>0</v>
      </c>
      <c r="H10" s="295">
        <v>0</v>
      </c>
      <c r="I10" s="295">
        <v>0</v>
      </c>
      <c r="J10" s="295">
        <v>0</v>
      </c>
      <c r="K10" s="225">
        <f t="shared" ref="K10:O14" si="0">+J10</f>
        <v>0</v>
      </c>
      <c r="L10" s="225">
        <f t="shared" si="0"/>
        <v>0</v>
      </c>
      <c r="M10" s="225">
        <f t="shared" si="0"/>
        <v>0</v>
      </c>
      <c r="N10" s="225">
        <f t="shared" si="0"/>
        <v>0</v>
      </c>
      <c r="O10" s="227">
        <f t="shared" si="0"/>
        <v>0</v>
      </c>
    </row>
    <row r="11" spans="1:15">
      <c r="A11" s="325"/>
      <c r="B11" s="270" t="s">
        <v>141</v>
      </c>
      <c r="C11" s="326"/>
      <c r="D11" s="326"/>
      <c r="E11" s="293">
        <v>2</v>
      </c>
      <c r="F11" s="296">
        <v>0</v>
      </c>
      <c r="G11" s="297">
        <v>0</v>
      </c>
      <c r="H11" s="297">
        <v>0</v>
      </c>
      <c r="I11" s="297">
        <v>0</v>
      </c>
      <c r="J11" s="297">
        <v>0</v>
      </c>
      <c r="K11" s="229">
        <f t="shared" si="0"/>
        <v>0</v>
      </c>
      <c r="L11" s="229">
        <f t="shared" si="0"/>
        <v>0</v>
      </c>
      <c r="M11" s="229">
        <f t="shared" si="0"/>
        <v>0</v>
      </c>
      <c r="N11" s="229">
        <f t="shared" si="0"/>
        <v>0</v>
      </c>
      <c r="O11" s="231">
        <f t="shared" si="0"/>
        <v>0</v>
      </c>
    </row>
    <row r="12" spans="1:15">
      <c r="A12" s="325"/>
      <c r="B12" s="270" t="s">
        <v>140</v>
      </c>
      <c r="C12" s="326"/>
      <c r="D12" s="326"/>
      <c r="E12" s="293">
        <v>3</v>
      </c>
      <c r="F12" s="296">
        <v>0</v>
      </c>
      <c r="G12" s="297">
        <v>0</v>
      </c>
      <c r="H12" s="297">
        <v>0</v>
      </c>
      <c r="I12" s="297">
        <v>0</v>
      </c>
      <c r="J12" s="297">
        <v>0</v>
      </c>
      <c r="K12" s="229">
        <f t="shared" si="0"/>
        <v>0</v>
      </c>
      <c r="L12" s="229">
        <f t="shared" si="0"/>
        <v>0</v>
      </c>
      <c r="M12" s="229">
        <f t="shared" si="0"/>
        <v>0</v>
      </c>
      <c r="N12" s="229">
        <f t="shared" si="0"/>
        <v>0</v>
      </c>
      <c r="O12" s="231">
        <f t="shared" si="0"/>
        <v>0</v>
      </c>
    </row>
    <row r="13" spans="1:15">
      <c r="A13" s="325"/>
      <c r="B13" s="270" t="s">
        <v>142</v>
      </c>
      <c r="C13" s="326"/>
      <c r="D13" s="326"/>
      <c r="E13" s="293">
        <v>4</v>
      </c>
      <c r="F13" s="296">
        <v>0</v>
      </c>
      <c r="G13" s="297">
        <v>0</v>
      </c>
      <c r="H13" s="297">
        <v>0</v>
      </c>
      <c r="I13" s="297">
        <v>0</v>
      </c>
      <c r="J13" s="297">
        <v>0</v>
      </c>
      <c r="K13" s="229">
        <f t="shared" si="0"/>
        <v>0</v>
      </c>
      <c r="L13" s="229">
        <f t="shared" si="0"/>
        <v>0</v>
      </c>
      <c r="M13" s="229">
        <f t="shared" si="0"/>
        <v>0</v>
      </c>
      <c r="N13" s="229">
        <f t="shared" si="0"/>
        <v>0</v>
      </c>
      <c r="O13" s="231">
        <f t="shared" si="0"/>
        <v>0</v>
      </c>
    </row>
    <row r="14" spans="1:15">
      <c r="A14" s="325"/>
      <c r="B14" s="270" t="s">
        <v>143</v>
      </c>
      <c r="C14" s="326"/>
      <c r="D14" s="326"/>
      <c r="E14" s="293">
        <v>5</v>
      </c>
      <c r="F14" s="298">
        <v>0</v>
      </c>
      <c r="G14" s="299">
        <v>0</v>
      </c>
      <c r="H14" s="299">
        <v>0</v>
      </c>
      <c r="I14" s="299">
        <v>0</v>
      </c>
      <c r="J14" s="299">
        <v>0</v>
      </c>
      <c r="K14" s="300">
        <f t="shared" si="0"/>
        <v>0</v>
      </c>
      <c r="L14" s="300">
        <f t="shared" si="0"/>
        <v>0</v>
      </c>
      <c r="M14" s="300">
        <f t="shared" si="0"/>
        <v>0</v>
      </c>
      <c r="N14" s="300">
        <f t="shared" si="0"/>
        <v>0</v>
      </c>
      <c r="O14" s="301">
        <f t="shared" si="0"/>
        <v>0</v>
      </c>
    </row>
    <row r="15" spans="1:15">
      <c r="A15" s="325"/>
      <c r="B15" s="270"/>
      <c r="C15" s="326"/>
      <c r="D15" s="326"/>
      <c r="E15" s="293"/>
      <c r="F15" s="302"/>
      <c r="G15" s="302"/>
      <c r="H15" s="302"/>
      <c r="I15" s="302"/>
      <c r="J15" s="302"/>
      <c r="K15" s="302"/>
      <c r="L15" s="302"/>
      <c r="M15" s="302"/>
      <c r="N15" s="302"/>
      <c r="O15" s="302"/>
    </row>
    <row r="16" spans="1:15">
      <c r="A16" s="325"/>
      <c r="B16" s="293" t="s">
        <v>149</v>
      </c>
      <c r="C16" s="326"/>
      <c r="D16" s="326"/>
      <c r="E16" s="293"/>
      <c r="F16" s="303">
        <f>CHOOSE(DCF!$R$5,F17,F18,F19,F20,F21)</f>
        <v>0</v>
      </c>
      <c r="G16" s="303">
        <f>CHOOSE(DCF!$R$5,G17,G18,G19,G20,G21)</f>
        <v>0</v>
      </c>
      <c r="H16" s="303">
        <f>CHOOSE(DCF!$R$5,H17,H18,H19,H20,H21)</f>
        <v>0</v>
      </c>
      <c r="I16" s="303">
        <f>CHOOSE(DCF!$R$5,I17,I18,I19,I20,I21)</f>
        <v>0</v>
      </c>
      <c r="J16" s="303">
        <f>CHOOSE(DCF!$R$5,J17,J18,J19,J20,J21)</f>
        <v>0</v>
      </c>
      <c r="K16" s="303">
        <f>CHOOSE(DCF!$R$5,K17,K18,K19,K20,K21)</f>
        <v>0</v>
      </c>
      <c r="L16" s="303">
        <f>CHOOSE(DCF!$R$5,L17,L18,L19,L20,L21)</f>
        <v>0</v>
      </c>
      <c r="M16" s="303">
        <f>CHOOSE(DCF!$R$5,M17,M18,M19,M20,M21)</f>
        <v>0</v>
      </c>
      <c r="N16" s="303">
        <f>CHOOSE(DCF!$R$5,N17,N18,N19,N20,N21)</f>
        <v>0</v>
      </c>
      <c r="O16" s="303">
        <f>CHOOSE(DCF!$R$5,O17,O18,O19,O20,O21)</f>
        <v>0</v>
      </c>
    </row>
    <row r="17" spans="1:15">
      <c r="A17" s="325"/>
      <c r="B17" s="270" t="s">
        <v>139</v>
      </c>
      <c r="C17" s="326"/>
      <c r="D17" s="326"/>
      <c r="E17" s="293">
        <v>1</v>
      </c>
      <c r="F17" s="294">
        <v>0</v>
      </c>
      <c r="G17" s="295">
        <v>0</v>
      </c>
      <c r="H17" s="295">
        <v>0</v>
      </c>
      <c r="I17" s="295">
        <v>0</v>
      </c>
      <c r="J17" s="295">
        <v>0</v>
      </c>
      <c r="K17" s="225">
        <f t="shared" ref="K17:O21" si="1">+J17</f>
        <v>0</v>
      </c>
      <c r="L17" s="225">
        <f t="shared" si="1"/>
        <v>0</v>
      </c>
      <c r="M17" s="225">
        <f t="shared" si="1"/>
        <v>0</v>
      </c>
      <c r="N17" s="225">
        <f t="shared" si="1"/>
        <v>0</v>
      </c>
      <c r="O17" s="227">
        <f t="shared" si="1"/>
        <v>0</v>
      </c>
    </row>
    <row r="18" spans="1:15">
      <c r="A18" s="325"/>
      <c r="B18" s="270" t="s">
        <v>141</v>
      </c>
      <c r="C18" s="326"/>
      <c r="D18" s="326"/>
      <c r="E18" s="293">
        <v>2</v>
      </c>
      <c r="F18" s="296">
        <v>0</v>
      </c>
      <c r="G18" s="297">
        <v>0</v>
      </c>
      <c r="H18" s="297">
        <v>0</v>
      </c>
      <c r="I18" s="297">
        <v>0</v>
      </c>
      <c r="J18" s="297">
        <v>0</v>
      </c>
      <c r="K18" s="229">
        <f t="shared" si="1"/>
        <v>0</v>
      </c>
      <c r="L18" s="229">
        <f t="shared" si="1"/>
        <v>0</v>
      </c>
      <c r="M18" s="229">
        <f t="shared" si="1"/>
        <v>0</v>
      </c>
      <c r="N18" s="229">
        <f t="shared" si="1"/>
        <v>0</v>
      </c>
      <c r="O18" s="231">
        <f t="shared" si="1"/>
        <v>0</v>
      </c>
    </row>
    <row r="19" spans="1:15">
      <c r="A19" s="325"/>
      <c r="B19" s="270" t="s">
        <v>140</v>
      </c>
      <c r="C19" s="326"/>
      <c r="D19" s="326"/>
      <c r="E19" s="293">
        <v>3</v>
      </c>
      <c r="F19" s="296">
        <v>0</v>
      </c>
      <c r="G19" s="297">
        <v>0</v>
      </c>
      <c r="H19" s="297">
        <v>0</v>
      </c>
      <c r="I19" s="297">
        <v>0</v>
      </c>
      <c r="J19" s="297">
        <v>0</v>
      </c>
      <c r="K19" s="229">
        <f t="shared" si="1"/>
        <v>0</v>
      </c>
      <c r="L19" s="229">
        <f t="shared" si="1"/>
        <v>0</v>
      </c>
      <c r="M19" s="229">
        <f t="shared" si="1"/>
        <v>0</v>
      </c>
      <c r="N19" s="229">
        <f t="shared" si="1"/>
        <v>0</v>
      </c>
      <c r="O19" s="231">
        <f t="shared" si="1"/>
        <v>0</v>
      </c>
    </row>
    <row r="20" spans="1:15">
      <c r="A20" s="325"/>
      <c r="B20" s="270" t="s">
        <v>142</v>
      </c>
      <c r="C20" s="326"/>
      <c r="D20" s="326"/>
      <c r="E20" s="293">
        <v>4</v>
      </c>
      <c r="F20" s="296">
        <v>0</v>
      </c>
      <c r="G20" s="297">
        <v>0</v>
      </c>
      <c r="H20" s="297">
        <v>0</v>
      </c>
      <c r="I20" s="297">
        <v>0</v>
      </c>
      <c r="J20" s="297">
        <v>0</v>
      </c>
      <c r="K20" s="229">
        <f t="shared" si="1"/>
        <v>0</v>
      </c>
      <c r="L20" s="229">
        <f t="shared" si="1"/>
        <v>0</v>
      </c>
      <c r="M20" s="229">
        <f t="shared" si="1"/>
        <v>0</v>
      </c>
      <c r="N20" s="229">
        <f t="shared" si="1"/>
        <v>0</v>
      </c>
      <c r="O20" s="231">
        <f t="shared" si="1"/>
        <v>0</v>
      </c>
    </row>
    <row r="21" spans="1:15">
      <c r="A21" s="325"/>
      <c r="B21" s="270" t="s">
        <v>143</v>
      </c>
      <c r="C21" s="326"/>
      <c r="D21" s="326"/>
      <c r="E21" s="293">
        <v>5</v>
      </c>
      <c r="F21" s="298">
        <v>0</v>
      </c>
      <c r="G21" s="299">
        <v>0</v>
      </c>
      <c r="H21" s="299">
        <v>0</v>
      </c>
      <c r="I21" s="299">
        <v>0</v>
      </c>
      <c r="J21" s="299">
        <v>0</v>
      </c>
      <c r="K21" s="300">
        <f t="shared" si="1"/>
        <v>0</v>
      </c>
      <c r="L21" s="300">
        <f t="shared" si="1"/>
        <v>0</v>
      </c>
      <c r="M21" s="300">
        <f t="shared" si="1"/>
        <v>0</v>
      </c>
      <c r="N21" s="300">
        <f t="shared" si="1"/>
        <v>0</v>
      </c>
      <c r="O21" s="301">
        <f t="shared" si="1"/>
        <v>0</v>
      </c>
    </row>
    <row r="22" spans="1:15">
      <c r="A22" s="325"/>
      <c r="B22" s="270"/>
      <c r="C22" s="326"/>
      <c r="D22" s="326"/>
      <c r="E22" s="293"/>
      <c r="F22" s="287"/>
      <c r="G22" s="287"/>
      <c r="H22" s="287"/>
      <c r="I22" s="287"/>
      <c r="J22" s="287"/>
      <c r="K22" s="287"/>
      <c r="L22" s="287"/>
      <c r="M22" s="287"/>
      <c r="N22" s="287"/>
      <c r="O22" s="287"/>
    </row>
    <row r="23" spans="1:15">
      <c r="A23" s="325"/>
      <c r="B23" s="293" t="s">
        <v>150</v>
      </c>
      <c r="C23" s="326"/>
      <c r="D23" s="326"/>
      <c r="E23" s="293"/>
      <c r="F23" s="275">
        <f>CHOOSE(DCF!$R$5,F24,F25,F26,F27,F28)</f>
        <v>0</v>
      </c>
      <c r="G23" s="275">
        <f>CHOOSE(DCF!$R$5,G24,G25,G26,G27,G28)</f>
        <v>0</v>
      </c>
      <c r="H23" s="275">
        <f>CHOOSE(DCF!$R$5,H24,H25,H26,H27,H28)</f>
        <v>0</v>
      </c>
      <c r="I23" s="275">
        <f>CHOOSE(DCF!$R$5,I24,I25,I26,I27,I28)</f>
        <v>0</v>
      </c>
      <c r="J23" s="275">
        <f>CHOOSE(DCF!$R$5,J24,J25,J26,J27,J28)</f>
        <v>0</v>
      </c>
      <c r="K23" s="276">
        <f>CHOOSE(DCF!$R$5,K24,K25,K26,K27,K28)</f>
        <v>0</v>
      </c>
      <c r="L23" s="276">
        <f>CHOOSE(DCF!$R$5,L24,L25,L26,L27,L28)</f>
        <v>0</v>
      </c>
      <c r="M23" s="276">
        <f>CHOOSE(DCF!$R$5,M24,M25,M26,M27,M28)</f>
        <v>0</v>
      </c>
      <c r="N23" s="276">
        <f>CHOOSE(DCF!$R$5,N24,N25,N26,N27,N28)</f>
        <v>0</v>
      </c>
      <c r="O23" s="276">
        <f>CHOOSE(DCF!$R$5,O24,O25,O26,O27,O28)</f>
        <v>0</v>
      </c>
    </row>
    <row r="24" spans="1:15">
      <c r="A24" s="325"/>
      <c r="B24" s="270" t="s">
        <v>139</v>
      </c>
      <c r="C24" s="326"/>
      <c r="D24" s="326"/>
      <c r="E24" s="293">
        <v>1</v>
      </c>
      <c r="F24" s="277">
        <v>0</v>
      </c>
      <c r="G24" s="130">
        <v>0</v>
      </c>
      <c r="H24" s="130">
        <v>0</v>
      </c>
      <c r="I24" s="130">
        <v>0</v>
      </c>
      <c r="J24" s="130">
        <v>0</v>
      </c>
      <c r="K24" s="278">
        <f t="shared" ref="K24:O28" si="2">+J24</f>
        <v>0</v>
      </c>
      <c r="L24" s="278">
        <f t="shared" si="2"/>
        <v>0</v>
      </c>
      <c r="M24" s="278">
        <f t="shared" si="2"/>
        <v>0</v>
      </c>
      <c r="N24" s="278">
        <f t="shared" si="2"/>
        <v>0</v>
      </c>
      <c r="O24" s="279">
        <f t="shared" si="2"/>
        <v>0</v>
      </c>
    </row>
    <row r="25" spans="1:15">
      <c r="A25" s="325"/>
      <c r="B25" s="270" t="s">
        <v>141</v>
      </c>
      <c r="C25" s="326"/>
      <c r="D25" s="326"/>
      <c r="E25" s="293">
        <v>2</v>
      </c>
      <c r="F25" s="277">
        <v>0</v>
      </c>
      <c r="G25" s="130">
        <v>0</v>
      </c>
      <c r="H25" s="130">
        <v>0</v>
      </c>
      <c r="I25" s="130">
        <v>0</v>
      </c>
      <c r="J25" s="130">
        <v>0</v>
      </c>
      <c r="K25" s="278">
        <f t="shared" si="2"/>
        <v>0</v>
      </c>
      <c r="L25" s="278">
        <f t="shared" si="2"/>
        <v>0</v>
      </c>
      <c r="M25" s="278">
        <f t="shared" si="2"/>
        <v>0</v>
      </c>
      <c r="N25" s="278">
        <f t="shared" si="2"/>
        <v>0</v>
      </c>
      <c r="O25" s="279">
        <f t="shared" si="2"/>
        <v>0</v>
      </c>
    </row>
    <row r="26" spans="1:15">
      <c r="A26" s="325"/>
      <c r="B26" s="270" t="s">
        <v>140</v>
      </c>
      <c r="C26" s="326"/>
      <c r="D26" s="326"/>
      <c r="E26" s="293">
        <v>3</v>
      </c>
      <c r="F26" s="277">
        <v>0</v>
      </c>
      <c r="G26" s="130">
        <v>0</v>
      </c>
      <c r="H26" s="130">
        <v>0</v>
      </c>
      <c r="I26" s="130">
        <v>0</v>
      </c>
      <c r="J26" s="130">
        <v>0</v>
      </c>
      <c r="K26" s="278">
        <f t="shared" si="2"/>
        <v>0</v>
      </c>
      <c r="L26" s="278">
        <f t="shared" si="2"/>
        <v>0</v>
      </c>
      <c r="M26" s="278">
        <f t="shared" si="2"/>
        <v>0</v>
      </c>
      <c r="N26" s="278">
        <f t="shared" si="2"/>
        <v>0</v>
      </c>
      <c r="O26" s="279">
        <f t="shared" si="2"/>
        <v>0</v>
      </c>
    </row>
    <row r="27" spans="1:15">
      <c r="A27" s="325"/>
      <c r="B27" s="270" t="s">
        <v>142</v>
      </c>
      <c r="C27" s="326"/>
      <c r="D27" s="326"/>
      <c r="E27" s="293">
        <v>4</v>
      </c>
      <c r="F27" s="277">
        <v>0</v>
      </c>
      <c r="G27" s="130">
        <v>0</v>
      </c>
      <c r="H27" s="130">
        <v>0</v>
      </c>
      <c r="I27" s="130">
        <v>0</v>
      </c>
      <c r="J27" s="130">
        <v>0</v>
      </c>
      <c r="K27" s="278">
        <f t="shared" si="2"/>
        <v>0</v>
      </c>
      <c r="L27" s="278">
        <f t="shared" si="2"/>
        <v>0</v>
      </c>
      <c r="M27" s="278">
        <f t="shared" si="2"/>
        <v>0</v>
      </c>
      <c r="N27" s="278">
        <f t="shared" si="2"/>
        <v>0</v>
      </c>
      <c r="O27" s="279">
        <f t="shared" si="2"/>
        <v>0</v>
      </c>
    </row>
    <row r="28" spans="1:15">
      <c r="A28" s="325"/>
      <c r="B28" s="270" t="s">
        <v>143</v>
      </c>
      <c r="C28" s="326"/>
      <c r="D28" s="326"/>
      <c r="E28" s="293">
        <v>5</v>
      </c>
      <c r="F28" s="280">
        <v>0</v>
      </c>
      <c r="G28" s="284">
        <v>0</v>
      </c>
      <c r="H28" s="284">
        <v>0</v>
      </c>
      <c r="I28" s="284">
        <v>0</v>
      </c>
      <c r="J28" s="284">
        <v>0</v>
      </c>
      <c r="K28" s="281">
        <f t="shared" si="2"/>
        <v>0</v>
      </c>
      <c r="L28" s="281">
        <f t="shared" si="2"/>
        <v>0</v>
      </c>
      <c r="M28" s="281">
        <f t="shared" si="2"/>
        <v>0</v>
      </c>
      <c r="N28" s="281">
        <f t="shared" si="2"/>
        <v>0</v>
      </c>
      <c r="O28" s="282">
        <f t="shared" si="2"/>
        <v>0</v>
      </c>
    </row>
    <row r="29" spans="1:15">
      <c r="A29" s="325"/>
      <c r="B29" s="270"/>
      <c r="C29" s="326"/>
      <c r="D29" s="326"/>
      <c r="E29" s="293"/>
      <c r="F29" s="287"/>
      <c r="G29" s="287"/>
      <c r="H29" s="287"/>
      <c r="I29" s="287"/>
      <c r="J29" s="287"/>
      <c r="K29" s="287"/>
      <c r="L29" s="287"/>
      <c r="M29" s="287"/>
      <c r="N29" s="287"/>
      <c r="O29" s="287"/>
    </row>
    <row r="30" spans="1:15">
      <c r="A30" s="325"/>
      <c r="B30" s="292" t="s">
        <v>90</v>
      </c>
      <c r="C30" s="326"/>
      <c r="D30" s="326"/>
      <c r="E30" s="293"/>
      <c r="F30" s="326"/>
      <c r="G30" s="326"/>
      <c r="H30" s="326"/>
      <c r="I30" s="326"/>
      <c r="J30" s="326"/>
      <c r="K30" s="326"/>
      <c r="L30" s="326"/>
      <c r="M30" s="326"/>
      <c r="N30" s="326"/>
      <c r="O30" s="326"/>
    </row>
    <row r="31" spans="1:15">
      <c r="A31" s="325"/>
      <c r="B31" s="293" t="s">
        <v>151</v>
      </c>
      <c r="C31" s="326"/>
      <c r="D31" s="326"/>
      <c r="E31" s="293"/>
      <c r="F31" s="303">
        <f>CHOOSE(DCF!$R$5,F32,F33,F34,F35,F36)</f>
        <v>0</v>
      </c>
      <c r="G31" s="303">
        <f>CHOOSE(DCF!$R$5,G32,G33,G34,G35,G36)</f>
        <v>0</v>
      </c>
      <c r="H31" s="303">
        <f>CHOOSE(DCF!$R$5,H32,H33,H34,H35,H36)</f>
        <v>0</v>
      </c>
      <c r="I31" s="303">
        <f>CHOOSE(DCF!$R$5,I32,I33,I34,I35,I36)</f>
        <v>0</v>
      </c>
      <c r="J31" s="303">
        <f>CHOOSE(DCF!$R$5,J32,J33,J34,J35,J36)</f>
        <v>0</v>
      </c>
      <c r="K31" s="303">
        <f>CHOOSE(DCF!$R$5,K32,K33,K34,K35,K36)</f>
        <v>0</v>
      </c>
      <c r="L31" s="303">
        <f>CHOOSE(DCF!$R$5,L32,L33,L34,L35,L36)</f>
        <v>0</v>
      </c>
      <c r="M31" s="303">
        <f>CHOOSE(DCF!$R$5,M32,M33,M34,M35,M36)</f>
        <v>0</v>
      </c>
      <c r="N31" s="303">
        <f>CHOOSE(DCF!$R$5,N32,N33,N34,N35,N36)</f>
        <v>0</v>
      </c>
      <c r="O31" s="303">
        <f>CHOOSE(DCF!$R$5,O32,O33,O34,O35,O36)</f>
        <v>0</v>
      </c>
    </row>
    <row r="32" spans="1:15">
      <c r="A32" s="325"/>
      <c r="B32" s="270" t="s">
        <v>139</v>
      </c>
      <c r="C32" s="326"/>
      <c r="D32" s="326"/>
      <c r="E32" s="293">
        <v>1</v>
      </c>
      <c r="F32" s="294">
        <v>0</v>
      </c>
      <c r="G32" s="295">
        <v>0</v>
      </c>
      <c r="H32" s="295">
        <v>0</v>
      </c>
      <c r="I32" s="295">
        <v>0</v>
      </c>
      <c r="J32" s="295">
        <v>0</v>
      </c>
      <c r="K32" s="225">
        <f t="shared" ref="K32:O36" si="3">+J32</f>
        <v>0</v>
      </c>
      <c r="L32" s="225">
        <f t="shared" si="3"/>
        <v>0</v>
      </c>
      <c r="M32" s="225">
        <f t="shared" si="3"/>
        <v>0</v>
      </c>
      <c r="N32" s="225">
        <f t="shared" si="3"/>
        <v>0</v>
      </c>
      <c r="O32" s="227">
        <f t="shared" si="3"/>
        <v>0</v>
      </c>
    </row>
    <row r="33" spans="1:15">
      <c r="A33" s="325"/>
      <c r="B33" s="270" t="s">
        <v>141</v>
      </c>
      <c r="C33" s="326"/>
      <c r="D33" s="326"/>
      <c r="E33" s="293">
        <v>2</v>
      </c>
      <c r="F33" s="296">
        <v>0</v>
      </c>
      <c r="G33" s="297">
        <v>0</v>
      </c>
      <c r="H33" s="297">
        <v>0</v>
      </c>
      <c r="I33" s="297">
        <v>0</v>
      </c>
      <c r="J33" s="297">
        <v>0</v>
      </c>
      <c r="K33" s="229">
        <f t="shared" si="3"/>
        <v>0</v>
      </c>
      <c r="L33" s="229">
        <f t="shared" si="3"/>
        <v>0</v>
      </c>
      <c r="M33" s="229">
        <f t="shared" si="3"/>
        <v>0</v>
      </c>
      <c r="N33" s="229">
        <f t="shared" si="3"/>
        <v>0</v>
      </c>
      <c r="O33" s="231">
        <f t="shared" si="3"/>
        <v>0</v>
      </c>
    </row>
    <row r="34" spans="1:15">
      <c r="A34" s="325"/>
      <c r="B34" s="270" t="s">
        <v>140</v>
      </c>
      <c r="C34" s="326"/>
      <c r="D34" s="326"/>
      <c r="E34" s="293">
        <v>3</v>
      </c>
      <c r="F34" s="296">
        <v>0</v>
      </c>
      <c r="G34" s="297">
        <v>0</v>
      </c>
      <c r="H34" s="297">
        <v>0</v>
      </c>
      <c r="I34" s="297">
        <v>0</v>
      </c>
      <c r="J34" s="297">
        <v>0</v>
      </c>
      <c r="K34" s="229">
        <f t="shared" si="3"/>
        <v>0</v>
      </c>
      <c r="L34" s="229">
        <f t="shared" si="3"/>
        <v>0</v>
      </c>
      <c r="M34" s="229">
        <f t="shared" si="3"/>
        <v>0</v>
      </c>
      <c r="N34" s="229">
        <f t="shared" si="3"/>
        <v>0</v>
      </c>
      <c r="O34" s="231">
        <f t="shared" si="3"/>
        <v>0</v>
      </c>
    </row>
    <row r="35" spans="1:15">
      <c r="A35" s="325"/>
      <c r="B35" s="270" t="s">
        <v>142</v>
      </c>
      <c r="C35" s="326"/>
      <c r="D35" s="326"/>
      <c r="E35" s="293">
        <v>4</v>
      </c>
      <c r="F35" s="296">
        <v>0</v>
      </c>
      <c r="G35" s="297">
        <v>0</v>
      </c>
      <c r="H35" s="297">
        <v>0</v>
      </c>
      <c r="I35" s="297">
        <v>0</v>
      </c>
      <c r="J35" s="297">
        <v>0</v>
      </c>
      <c r="K35" s="229">
        <f t="shared" si="3"/>
        <v>0</v>
      </c>
      <c r="L35" s="229">
        <f t="shared" si="3"/>
        <v>0</v>
      </c>
      <c r="M35" s="229">
        <f t="shared" si="3"/>
        <v>0</v>
      </c>
      <c r="N35" s="229">
        <f t="shared" si="3"/>
        <v>0</v>
      </c>
      <c r="O35" s="231">
        <f t="shared" si="3"/>
        <v>0</v>
      </c>
    </row>
    <row r="36" spans="1:15">
      <c r="A36" s="325"/>
      <c r="B36" s="270" t="s">
        <v>143</v>
      </c>
      <c r="C36" s="326"/>
      <c r="D36" s="326"/>
      <c r="E36" s="293">
        <v>5</v>
      </c>
      <c r="F36" s="298">
        <v>0</v>
      </c>
      <c r="G36" s="299">
        <v>0</v>
      </c>
      <c r="H36" s="299">
        <v>0</v>
      </c>
      <c r="I36" s="299">
        <v>0</v>
      </c>
      <c r="J36" s="299">
        <v>0</v>
      </c>
      <c r="K36" s="300">
        <f t="shared" si="3"/>
        <v>0</v>
      </c>
      <c r="L36" s="300">
        <f t="shared" si="3"/>
        <v>0</v>
      </c>
      <c r="M36" s="300">
        <f t="shared" si="3"/>
        <v>0</v>
      </c>
      <c r="N36" s="300">
        <f t="shared" si="3"/>
        <v>0</v>
      </c>
      <c r="O36" s="301">
        <f t="shared" si="3"/>
        <v>0</v>
      </c>
    </row>
    <row r="37" spans="1:15">
      <c r="A37" s="325"/>
      <c r="B37" s="270"/>
      <c r="C37" s="326"/>
      <c r="D37" s="326"/>
      <c r="E37" s="293"/>
      <c r="F37" s="287"/>
      <c r="G37" s="287"/>
      <c r="H37" s="287"/>
      <c r="I37" s="287"/>
      <c r="J37" s="287"/>
      <c r="K37" s="287"/>
      <c r="L37" s="287"/>
      <c r="M37" s="287"/>
      <c r="N37" s="287"/>
      <c r="O37" s="287"/>
    </row>
    <row r="38" spans="1:15">
      <c r="A38" s="325"/>
      <c r="B38" s="293" t="s">
        <v>101</v>
      </c>
      <c r="C38" s="326"/>
      <c r="D38" s="326"/>
      <c r="E38" s="293"/>
      <c r="F38" s="275">
        <f>CHOOSE(DCF!$R$5,F39,F40,F41,F42,F43)</f>
        <v>0</v>
      </c>
      <c r="G38" s="275">
        <f>CHOOSE(DCF!$R$5,G39,G40,G41,G42,G43)</f>
        <v>0</v>
      </c>
      <c r="H38" s="275">
        <f>CHOOSE(DCF!$R$5,H39,H40,H41,H42,H43)</f>
        <v>0</v>
      </c>
      <c r="I38" s="275">
        <f>CHOOSE(DCF!$R$5,I39,I40,I41,I42,I43)</f>
        <v>0</v>
      </c>
      <c r="J38" s="275">
        <f>CHOOSE(DCF!$R$5,J39,J40,J41,J42,J43)</f>
        <v>0</v>
      </c>
      <c r="K38" s="276">
        <f>CHOOSE(DCF!$R$5,K39,K40,K41,K42,K43)</f>
        <v>0</v>
      </c>
      <c r="L38" s="276">
        <f>CHOOSE(DCF!$R$5,L39,L40,L41,L42,L43)</f>
        <v>0</v>
      </c>
      <c r="M38" s="276">
        <f>CHOOSE(DCF!$R$5,M39,M40,M41,M42,M43)</f>
        <v>0</v>
      </c>
      <c r="N38" s="276">
        <f>CHOOSE(DCF!$R$5,N39,N40,N41,N42,N43)</f>
        <v>0</v>
      </c>
      <c r="O38" s="276">
        <f>CHOOSE(DCF!$R$5,O39,O40,O41,O42,O43)</f>
        <v>0</v>
      </c>
    </row>
    <row r="39" spans="1:15">
      <c r="A39" s="325"/>
      <c r="B39" s="270" t="s">
        <v>139</v>
      </c>
      <c r="C39" s="326"/>
      <c r="D39" s="326"/>
      <c r="E39" s="293">
        <v>1</v>
      </c>
      <c r="F39" s="277">
        <v>0</v>
      </c>
      <c r="G39" s="130">
        <v>0</v>
      </c>
      <c r="H39" s="130">
        <v>0</v>
      </c>
      <c r="I39" s="130">
        <v>0</v>
      </c>
      <c r="J39" s="130">
        <v>0</v>
      </c>
      <c r="K39" s="278">
        <f t="shared" ref="K39:O43" si="4">+J39</f>
        <v>0</v>
      </c>
      <c r="L39" s="278">
        <f t="shared" si="4"/>
        <v>0</v>
      </c>
      <c r="M39" s="278">
        <f t="shared" si="4"/>
        <v>0</v>
      </c>
      <c r="N39" s="278">
        <f t="shared" si="4"/>
        <v>0</v>
      </c>
      <c r="O39" s="279">
        <f t="shared" si="4"/>
        <v>0</v>
      </c>
    </row>
    <row r="40" spans="1:15">
      <c r="A40" s="325"/>
      <c r="B40" s="270" t="s">
        <v>141</v>
      </c>
      <c r="C40" s="326"/>
      <c r="D40" s="326"/>
      <c r="E40" s="293">
        <v>2</v>
      </c>
      <c r="F40" s="277">
        <v>0</v>
      </c>
      <c r="G40" s="130">
        <v>0</v>
      </c>
      <c r="H40" s="130">
        <v>0</v>
      </c>
      <c r="I40" s="130">
        <v>0</v>
      </c>
      <c r="J40" s="130">
        <v>0</v>
      </c>
      <c r="K40" s="278">
        <f t="shared" si="4"/>
        <v>0</v>
      </c>
      <c r="L40" s="278">
        <f t="shared" si="4"/>
        <v>0</v>
      </c>
      <c r="M40" s="278">
        <f t="shared" si="4"/>
        <v>0</v>
      </c>
      <c r="N40" s="278">
        <f t="shared" si="4"/>
        <v>0</v>
      </c>
      <c r="O40" s="279">
        <f t="shared" si="4"/>
        <v>0</v>
      </c>
    </row>
    <row r="41" spans="1:15">
      <c r="A41" s="325"/>
      <c r="B41" s="270" t="s">
        <v>140</v>
      </c>
      <c r="C41" s="326"/>
      <c r="D41" s="326"/>
      <c r="E41" s="293">
        <v>3</v>
      </c>
      <c r="F41" s="277">
        <v>0</v>
      </c>
      <c r="G41" s="130">
        <v>0</v>
      </c>
      <c r="H41" s="130">
        <v>0</v>
      </c>
      <c r="I41" s="130">
        <v>0</v>
      </c>
      <c r="J41" s="130">
        <v>0</v>
      </c>
      <c r="K41" s="278">
        <f t="shared" si="4"/>
        <v>0</v>
      </c>
      <c r="L41" s="278">
        <f t="shared" si="4"/>
        <v>0</v>
      </c>
      <c r="M41" s="278">
        <f t="shared" si="4"/>
        <v>0</v>
      </c>
      <c r="N41" s="278">
        <f t="shared" si="4"/>
        <v>0</v>
      </c>
      <c r="O41" s="279">
        <f t="shared" si="4"/>
        <v>0</v>
      </c>
    </row>
    <row r="42" spans="1:15">
      <c r="A42" s="325"/>
      <c r="B42" s="270" t="s">
        <v>142</v>
      </c>
      <c r="C42" s="326"/>
      <c r="D42" s="326"/>
      <c r="E42" s="293">
        <v>4</v>
      </c>
      <c r="F42" s="277">
        <v>0</v>
      </c>
      <c r="G42" s="130">
        <v>0</v>
      </c>
      <c r="H42" s="130">
        <v>0</v>
      </c>
      <c r="I42" s="130">
        <v>0</v>
      </c>
      <c r="J42" s="130">
        <v>0</v>
      </c>
      <c r="K42" s="278">
        <f t="shared" si="4"/>
        <v>0</v>
      </c>
      <c r="L42" s="278">
        <f t="shared" si="4"/>
        <v>0</v>
      </c>
      <c r="M42" s="278">
        <f t="shared" si="4"/>
        <v>0</v>
      </c>
      <c r="N42" s="278">
        <f t="shared" si="4"/>
        <v>0</v>
      </c>
      <c r="O42" s="279">
        <f t="shared" si="4"/>
        <v>0</v>
      </c>
    </row>
    <row r="43" spans="1:15">
      <c r="A43" s="325"/>
      <c r="B43" s="270" t="s">
        <v>143</v>
      </c>
      <c r="C43" s="326"/>
      <c r="D43" s="326"/>
      <c r="E43" s="293">
        <v>5</v>
      </c>
      <c r="F43" s="280">
        <v>0</v>
      </c>
      <c r="G43" s="284">
        <v>0</v>
      </c>
      <c r="H43" s="284">
        <v>0</v>
      </c>
      <c r="I43" s="284">
        <v>0</v>
      </c>
      <c r="J43" s="284">
        <v>0</v>
      </c>
      <c r="K43" s="281">
        <f t="shared" si="4"/>
        <v>0</v>
      </c>
      <c r="L43" s="281">
        <f t="shared" si="4"/>
        <v>0</v>
      </c>
      <c r="M43" s="281">
        <f t="shared" si="4"/>
        <v>0</v>
      </c>
      <c r="N43" s="281">
        <f t="shared" si="4"/>
        <v>0</v>
      </c>
      <c r="O43" s="282">
        <f t="shared" si="4"/>
        <v>0</v>
      </c>
    </row>
    <row r="44" spans="1:15">
      <c r="A44" s="328"/>
      <c r="B44" s="270"/>
      <c r="C44" s="326"/>
      <c r="D44" s="326"/>
      <c r="E44" s="293"/>
      <c r="F44" s="304"/>
      <c r="G44" s="304"/>
      <c r="H44" s="304"/>
      <c r="I44" s="304"/>
      <c r="J44" s="304"/>
      <c r="K44" s="304"/>
      <c r="L44" s="304"/>
      <c r="M44" s="304"/>
      <c r="N44" s="304"/>
      <c r="O44" s="304"/>
    </row>
    <row r="45" spans="1:15">
      <c r="A45" s="325"/>
      <c r="B45" s="293" t="s">
        <v>102</v>
      </c>
      <c r="C45" s="326"/>
      <c r="D45" s="326"/>
      <c r="E45" s="293"/>
      <c r="F45" s="275">
        <f>CHOOSE(DCF!$R$5,F46,F47,F48,F49,F50)</f>
        <v>0</v>
      </c>
      <c r="G45" s="275">
        <f>CHOOSE(DCF!$R$5,G46,G47,G48,G49,G50)</f>
        <v>0</v>
      </c>
      <c r="H45" s="275">
        <f>CHOOSE(DCF!$R$5,H46,H47,H48,H49,H50)</f>
        <v>0</v>
      </c>
      <c r="I45" s="275">
        <f>CHOOSE(DCF!$R$5,I46,I47,I48,I49,I50)</f>
        <v>0</v>
      </c>
      <c r="J45" s="275">
        <f>CHOOSE(DCF!$R$5,J46,J47,J48,J49,J50)</f>
        <v>0</v>
      </c>
      <c r="K45" s="276">
        <f>CHOOSE(DCF!$R$5,K46,K47,K48,K49,K50)</f>
        <v>0</v>
      </c>
      <c r="L45" s="276">
        <f>CHOOSE(DCF!$R$5,L46,L47,L48,L49,L50)</f>
        <v>0</v>
      </c>
      <c r="M45" s="276">
        <f>CHOOSE(DCF!$R$5,M46,M47,M48,M49,M50)</f>
        <v>0</v>
      </c>
      <c r="N45" s="276">
        <f>CHOOSE(DCF!$R$5,N46,N47,N48,N49,N50)</f>
        <v>0</v>
      </c>
      <c r="O45" s="276">
        <f>CHOOSE(DCF!$R$5,O46,O47,O48,O49,O50)</f>
        <v>0</v>
      </c>
    </row>
    <row r="46" spans="1:15">
      <c r="A46" s="325"/>
      <c r="B46" s="270" t="s">
        <v>139</v>
      </c>
      <c r="C46" s="326"/>
      <c r="D46" s="326"/>
      <c r="E46" s="293">
        <v>1</v>
      </c>
      <c r="F46" s="277">
        <v>0</v>
      </c>
      <c r="G46" s="130">
        <v>0</v>
      </c>
      <c r="H46" s="130">
        <v>0</v>
      </c>
      <c r="I46" s="130">
        <v>0</v>
      </c>
      <c r="J46" s="130">
        <v>0</v>
      </c>
      <c r="K46" s="278">
        <f t="shared" ref="K46:O50" si="5">+J46</f>
        <v>0</v>
      </c>
      <c r="L46" s="278">
        <f t="shared" si="5"/>
        <v>0</v>
      </c>
      <c r="M46" s="278">
        <f t="shared" si="5"/>
        <v>0</v>
      </c>
      <c r="N46" s="278">
        <f t="shared" si="5"/>
        <v>0</v>
      </c>
      <c r="O46" s="279">
        <f t="shared" si="5"/>
        <v>0</v>
      </c>
    </row>
    <row r="47" spans="1:15">
      <c r="A47" s="325"/>
      <c r="B47" s="270" t="s">
        <v>141</v>
      </c>
      <c r="C47" s="326"/>
      <c r="D47" s="326"/>
      <c r="E47" s="293">
        <v>2</v>
      </c>
      <c r="F47" s="277">
        <v>0</v>
      </c>
      <c r="G47" s="130">
        <v>0</v>
      </c>
      <c r="H47" s="130">
        <v>0</v>
      </c>
      <c r="I47" s="130">
        <v>0</v>
      </c>
      <c r="J47" s="130">
        <v>0</v>
      </c>
      <c r="K47" s="278">
        <f t="shared" si="5"/>
        <v>0</v>
      </c>
      <c r="L47" s="278">
        <f t="shared" si="5"/>
        <v>0</v>
      </c>
      <c r="M47" s="278">
        <f t="shared" si="5"/>
        <v>0</v>
      </c>
      <c r="N47" s="278">
        <f t="shared" si="5"/>
        <v>0</v>
      </c>
      <c r="O47" s="279">
        <f t="shared" si="5"/>
        <v>0</v>
      </c>
    </row>
    <row r="48" spans="1:15">
      <c r="A48" s="325"/>
      <c r="B48" s="270" t="s">
        <v>140</v>
      </c>
      <c r="C48" s="326"/>
      <c r="D48" s="326"/>
      <c r="E48" s="293">
        <v>3</v>
      </c>
      <c r="F48" s="277">
        <v>0</v>
      </c>
      <c r="G48" s="130">
        <v>0</v>
      </c>
      <c r="H48" s="130">
        <v>0</v>
      </c>
      <c r="I48" s="130">
        <v>0</v>
      </c>
      <c r="J48" s="130">
        <v>0</v>
      </c>
      <c r="K48" s="278">
        <f t="shared" si="5"/>
        <v>0</v>
      </c>
      <c r="L48" s="278">
        <f t="shared" si="5"/>
        <v>0</v>
      </c>
      <c r="M48" s="278">
        <f t="shared" si="5"/>
        <v>0</v>
      </c>
      <c r="N48" s="278">
        <f t="shared" si="5"/>
        <v>0</v>
      </c>
      <c r="O48" s="279">
        <f t="shared" si="5"/>
        <v>0</v>
      </c>
    </row>
    <row r="49" spans="1:15">
      <c r="A49" s="325"/>
      <c r="B49" s="270" t="s">
        <v>142</v>
      </c>
      <c r="C49" s="326"/>
      <c r="D49" s="326"/>
      <c r="E49" s="293">
        <v>4</v>
      </c>
      <c r="F49" s="277">
        <v>0</v>
      </c>
      <c r="G49" s="130">
        <v>0</v>
      </c>
      <c r="H49" s="130">
        <v>0</v>
      </c>
      <c r="I49" s="130">
        <v>0</v>
      </c>
      <c r="J49" s="130">
        <v>0</v>
      </c>
      <c r="K49" s="278">
        <f t="shared" si="5"/>
        <v>0</v>
      </c>
      <c r="L49" s="278">
        <f t="shared" si="5"/>
        <v>0</v>
      </c>
      <c r="M49" s="278">
        <f t="shared" si="5"/>
        <v>0</v>
      </c>
      <c r="N49" s="278">
        <f t="shared" si="5"/>
        <v>0</v>
      </c>
      <c r="O49" s="279">
        <f t="shared" si="5"/>
        <v>0</v>
      </c>
    </row>
    <row r="50" spans="1:15">
      <c r="A50" s="325"/>
      <c r="B50" s="270" t="s">
        <v>143</v>
      </c>
      <c r="C50" s="326"/>
      <c r="D50" s="326"/>
      <c r="E50" s="293">
        <v>5</v>
      </c>
      <c r="F50" s="280">
        <v>0</v>
      </c>
      <c r="G50" s="284">
        <v>0</v>
      </c>
      <c r="H50" s="284">
        <v>0</v>
      </c>
      <c r="I50" s="284">
        <v>0</v>
      </c>
      <c r="J50" s="284">
        <v>0</v>
      </c>
      <c r="K50" s="281">
        <f t="shared" si="5"/>
        <v>0</v>
      </c>
      <c r="L50" s="281">
        <f t="shared" si="5"/>
        <v>0</v>
      </c>
      <c r="M50" s="281">
        <f t="shared" si="5"/>
        <v>0</v>
      </c>
      <c r="N50" s="281">
        <f t="shared" si="5"/>
        <v>0</v>
      </c>
      <c r="O50" s="282">
        <f t="shared" si="5"/>
        <v>0</v>
      </c>
    </row>
    <row r="51" spans="1:15">
      <c r="B51" s="270"/>
      <c r="C51" s="274"/>
      <c r="D51" s="274"/>
      <c r="E51" s="274"/>
      <c r="F51" s="272"/>
      <c r="G51" s="272"/>
      <c r="H51" s="272"/>
      <c r="I51" s="272"/>
      <c r="J51" s="272"/>
      <c r="K51" s="272"/>
      <c r="L51" s="272"/>
      <c r="M51" s="272"/>
      <c r="N51" s="272"/>
      <c r="O51" s="272"/>
    </row>
  </sheetData>
  <mergeCells count="1">
    <mergeCell ref="B2:O2"/>
  </mergeCells>
  <phoneticPr fontId="37" type="noConversion"/>
  <pageMargins left="0.75" right="0.75" top="1" bottom="1" header="0.5" footer="0.5"/>
  <pageSetup scale="7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6"/>
  <sheetViews>
    <sheetView showGridLines="0" zoomScale="75" workbookViewId="0">
      <selection activeCell="I8" sqref="I8"/>
    </sheetView>
  </sheetViews>
  <sheetFormatPr baseColWidth="10" defaultColWidth="8.83203125" defaultRowHeight="16" outlineLevelCol="1"/>
  <cols>
    <col min="1" max="1" width="2.6640625" style="409" customWidth="1"/>
    <col min="2" max="2" width="26.6640625" style="409" customWidth="1"/>
    <col min="3" max="3" width="10.1640625" style="409" customWidth="1" outlineLevel="1"/>
    <col min="4" max="4" width="20" style="409" customWidth="1"/>
    <col min="5" max="8" width="15.33203125" style="409" hidden="1" customWidth="1" outlineLevel="1"/>
    <col min="9" max="9" width="20" style="409" customWidth="1" collapsed="1"/>
    <col min="10" max="15" width="16.1640625" style="409" customWidth="1"/>
    <col min="16" max="20" width="12.6640625" style="409" customWidth="1"/>
    <col min="21" max="21" width="2.6640625" style="409" customWidth="1"/>
    <col min="22" max="16384" width="8.83203125" style="409"/>
  </cols>
  <sheetData>
    <row r="1" spans="1:20">
      <c r="A1" s="408"/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</row>
    <row r="2" spans="1:20">
      <c r="A2" s="408"/>
      <c r="B2" s="410" t="s">
        <v>168</v>
      </c>
      <c r="C2" s="411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3"/>
      <c r="Q2" s="408"/>
      <c r="R2" s="408"/>
      <c r="S2" s="408"/>
      <c r="T2" s="408"/>
    </row>
    <row r="3" spans="1:20">
      <c r="A3" s="408"/>
      <c r="B3" s="408" t="s">
        <v>169</v>
      </c>
      <c r="C3" s="408"/>
      <c r="D3" s="408"/>
      <c r="E3" s="408"/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</row>
    <row r="4" spans="1:20">
      <c r="A4" s="408"/>
      <c r="B4" s="414"/>
      <c r="C4" s="408"/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08"/>
      <c r="Q4" s="408"/>
      <c r="R4" s="408"/>
      <c r="S4" s="408"/>
      <c r="T4" s="408"/>
    </row>
    <row r="5" spans="1:20">
      <c r="A5" s="408"/>
      <c r="B5" s="415" t="s">
        <v>170</v>
      </c>
      <c r="C5" s="416"/>
      <c r="D5" s="417" t="s">
        <v>171</v>
      </c>
      <c r="E5" s="417"/>
      <c r="F5" s="417"/>
      <c r="G5" s="417"/>
      <c r="H5" s="417"/>
      <c r="I5" s="418"/>
      <c r="J5" s="419"/>
      <c r="K5" s="419"/>
      <c r="L5" s="419"/>
      <c r="M5" s="419"/>
      <c r="N5" s="419"/>
      <c r="O5" s="419"/>
      <c r="P5" s="420" t="s">
        <v>172</v>
      </c>
      <c r="Q5" s="420" t="s">
        <v>172</v>
      </c>
      <c r="R5" s="417"/>
      <c r="S5" s="417"/>
      <c r="T5" s="421"/>
    </row>
    <row r="6" spans="1:20">
      <c r="A6" s="408"/>
      <c r="B6" s="419"/>
      <c r="C6" s="419"/>
      <c r="D6" s="420" t="s">
        <v>116</v>
      </c>
      <c r="E6" s="420"/>
      <c r="F6" s="420"/>
      <c r="G6" s="420" t="s">
        <v>173</v>
      </c>
      <c r="H6" s="420" t="s">
        <v>174</v>
      </c>
      <c r="I6" s="420" t="s">
        <v>175</v>
      </c>
      <c r="J6" s="417"/>
      <c r="K6" s="417"/>
      <c r="L6" s="417"/>
      <c r="M6" s="417"/>
      <c r="N6" s="417"/>
      <c r="O6" s="417"/>
      <c r="P6" s="420" t="s">
        <v>176</v>
      </c>
      <c r="Q6" s="420" t="s">
        <v>20</v>
      </c>
      <c r="R6" s="417" t="s">
        <v>177</v>
      </c>
      <c r="S6" s="417"/>
      <c r="T6" s="417"/>
    </row>
    <row r="7" spans="1:20">
      <c r="A7" s="408"/>
      <c r="B7" s="422" t="s">
        <v>178</v>
      </c>
      <c r="C7" s="422" t="s">
        <v>179</v>
      </c>
      <c r="D7" s="423" t="s">
        <v>180</v>
      </c>
      <c r="E7" s="423" t="s">
        <v>181</v>
      </c>
      <c r="F7" s="423" t="s">
        <v>182</v>
      </c>
      <c r="G7" s="423" t="s">
        <v>183</v>
      </c>
      <c r="H7" s="423" t="s">
        <v>184</v>
      </c>
      <c r="I7" s="423" t="s">
        <v>180</v>
      </c>
      <c r="J7" s="424">
        <f>EOMONTH(Hist_Year,12)</f>
        <v>42735</v>
      </c>
      <c r="K7" s="424">
        <f>EOMONTH(J7,12)</f>
        <v>43100</v>
      </c>
      <c r="L7" s="424">
        <f>+$J$7</f>
        <v>42735</v>
      </c>
      <c r="M7" s="424">
        <f>+$K$7</f>
        <v>43100</v>
      </c>
      <c r="N7" s="424">
        <f>+$J$7</f>
        <v>42735</v>
      </c>
      <c r="O7" s="424">
        <f>+$K$7</f>
        <v>43100</v>
      </c>
      <c r="P7" s="423" t="s">
        <v>185</v>
      </c>
      <c r="Q7" s="423" t="s">
        <v>185</v>
      </c>
      <c r="R7" s="425" t="e">
        <f>#REF!</f>
        <v>#REF!</v>
      </c>
      <c r="S7" s="424">
        <f>+$J$7</f>
        <v>42735</v>
      </c>
      <c r="T7" s="424">
        <f>+$K$7</f>
        <v>43100</v>
      </c>
    </row>
    <row r="8" spans="1:20">
      <c r="A8" s="408"/>
      <c r="B8" s="409" t="s">
        <v>202</v>
      </c>
      <c r="C8" s="408" t="s">
        <v>186</v>
      </c>
      <c r="D8" s="427">
        <v>540877.4228287501</v>
      </c>
      <c r="E8" s="428">
        <v>-820</v>
      </c>
      <c r="F8" s="428">
        <v>3140</v>
      </c>
      <c r="G8" s="428">
        <v>0</v>
      </c>
      <c r="H8" s="428">
        <v>1</v>
      </c>
      <c r="I8" s="409">
        <v>559753.4228287501</v>
      </c>
      <c r="J8" s="428">
        <v>10545.15</v>
      </c>
      <c r="K8" s="428">
        <v>11231.27</v>
      </c>
      <c r="L8" s="428">
        <v>675</v>
      </c>
      <c r="M8" s="428">
        <v>921.38</v>
      </c>
      <c r="N8" s="428">
        <v>-74.89</v>
      </c>
      <c r="O8" s="428">
        <v>333.75</v>
      </c>
      <c r="P8" s="429">
        <f t="shared" ref="P8:P13" si="0">IFERROR(+K8/J8-1,"N/A")</f>
        <v>6.5064982480097511E-2</v>
      </c>
      <c r="Q8" s="429">
        <f t="shared" ref="Q8:Q13" si="1">IFERROR(+M8/L8-1,"N/A")</f>
        <v>0.36500740740740745</v>
      </c>
      <c r="R8" s="429" t="e">
        <f>#REF!/#REF!</f>
        <v>#REF!</v>
      </c>
      <c r="S8" s="429">
        <f t="shared" ref="S8:T13" si="2">L8/J8</f>
        <v>6.4010469267862483E-2</v>
      </c>
      <c r="T8" s="429">
        <f t="shared" si="2"/>
        <v>8.2037026979139491E-2</v>
      </c>
    </row>
    <row r="9" spans="1:20">
      <c r="A9" s="408"/>
      <c r="B9" s="409" t="s">
        <v>203</v>
      </c>
      <c r="C9" s="408" t="s">
        <v>187</v>
      </c>
      <c r="D9" s="427">
        <v>478858.19877319399</v>
      </c>
      <c r="E9" s="426">
        <v>-2331.15</v>
      </c>
      <c r="F9" s="426">
        <v>4357.5119999999997</v>
      </c>
      <c r="G9" s="426">
        <v>0</v>
      </c>
      <c r="H9" s="426">
        <v>346.94600000000003</v>
      </c>
      <c r="I9" s="409">
        <v>469740.05079809262</v>
      </c>
      <c r="J9" s="426">
        <v>16684.82</v>
      </c>
      <c r="K9" s="426">
        <v>16937.09</v>
      </c>
      <c r="L9" s="426">
        <v>2291.4</v>
      </c>
      <c r="M9" s="426">
        <v>2539.62</v>
      </c>
      <c r="N9" s="426">
        <v>818.31</v>
      </c>
      <c r="O9" s="426">
        <v>1000.96</v>
      </c>
      <c r="P9" s="429">
        <f t="shared" si="0"/>
        <v>1.5119731588354002E-2</v>
      </c>
      <c r="Q9" s="429">
        <f t="shared" si="1"/>
        <v>0.10832678711704635</v>
      </c>
      <c r="R9" s="429" t="e">
        <f>#REF!/#REF!</f>
        <v>#REF!</v>
      </c>
      <c r="S9" s="429">
        <f t="shared" si="2"/>
        <v>0.13733441535479557</v>
      </c>
      <c r="T9" s="429">
        <f t="shared" si="2"/>
        <v>0.14994429385449329</v>
      </c>
    </row>
    <row r="10" spans="1:20">
      <c r="A10" s="408"/>
      <c r="B10" s="409" t="s">
        <v>204</v>
      </c>
      <c r="C10" s="408" t="s">
        <v>188</v>
      </c>
      <c r="D10" s="427">
        <v>4965.6335443971839</v>
      </c>
      <c r="E10" s="426">
        <v>-483.85500000000002</v>
      </c>
      <c r="F10" s="426">
        <v>1079.95</v>
      </c>
      <c r="G10" s="426">
        <v>0</v>
      </c>
      <c r="H10" s="426">
        <v>0.16</v>
      </c>
      <c r="I10" s="409">
        <v>4950.9008723006891</v>
      </c>
      <c r="J10" s="426">
        <v>4683.9466666666667</v>
      </c>
      <c r="K10" s="426">
        <v>4780.1033333333326</v>
      </c>
      <c r="L10" s="426">
        <v>367.42999999999995</v>
      </c>
      <c r="M10" s="426">
        <v>423.11333333333334</v>
      </c>
      <c r="N10" s="426">
        <v>127.40666666666665</v>
      </c>
      <c r="O10" s="426">
        <v>171.48666666666665</v>
      </c>
      <c r="P10" s="429">
        <f t="shared" si="0"/>
        <v>2.0528984104572601E-2</v>
      </c>
      <c r="Q10" s="429">
        <f t="shared" si="1"/>
        <v>0.15154814068892963</v>
      </c>
      <c r="R10" s="429" t="e">
        <f>#REF!/#REF!</f>
        <v>#REF!</v>
      </c>
      <c r="S10" s="429">
        <f t="shared" si="2"/>
        <v>7.8444531107669871E-2</v>
      </c>
      <c r="T10" s="429">
        <f t="shared" si="2"/>
        <v>8.85155202363129E-2</v>
      </c>
    </row>
    <row r="11" spans="1:20">
      <c r="A11" s="408"/>
      <c r="B11" s="409" t="s">
        <v>205</v>
      </c>
      <c r="C11" s="408" t="s">
        <v>189</v>
      </c>
      <c r="D11" s="427">
        <v>55505.845552669998</v>
      </c>
      <c r="E11" s="426">
        <v>-56.2</v>
      </c>
      <c r="F11" s="426">
        <v>2078.1</v>
      </c>
      <c r="G11" s="426">
        <v>0</v>
      </c>
      <c r="H11" s="426">
        <v>379.6</v>
      </c>
      <c r="I11" s="409">
        <v>53941.782050282745</v>
      </c>
      <c r="J11" s="426">
        <v>5991.83</v>
      </c>
      <c r="K11" s="426">
        <v>6108.22</v>
      </c>
      <c r="L11" s="426">
        <v>469.23</v>
      </c>
      <c r="M11" s="426">
        <v>580.9</v>
      </c>
      <c r="N11" s="426">
        <v>57.29</v>
      </c>
      <c r="O11" s="426">
        <v>128.85</v>
      </c>
      <c r="P11" s="429">
        <f t="shared" si="0"/>
        <v>1.9424783413414692E-2</v>
      </c>
      <c r="Q11" s="429">
        <f t="shared" si="1"/>
        <v>0.23798563604202627</v>
      </c>
      <c r="R11" s="429" t="e">
        <f>#REF!/#REF!</f>
        <v>#REF!</v>
      </c>
      <c r="S11" s="429">
        <f t="shared" si="2"/>
        <v>7.8311634342095829E-2</v>
      </c>
      <c r="T11" s="429">
        <f t="shared" si="2"/>
        <v>9.5101355222961842E-2</v>
      </c>
    </row>
    <row r="12" spans="1:20">
      <c r="A12" s="408"/>
      <c r="B12" s="409" t="s">
        <v>206</v>
      </c>
      <c r="C12" s="408" t="s">
        <v>190</v>
      </c>
      <c r="D12" s="427">
        <v>39098.297807629999</v>
      </c>
      <c r="E12" s="426">
        <v>-84.188000000000002</v>
      </c>
      <c r="F12" s="426">
        <v>583.96</v>
      </c>
      <c r="G12" s="426">
        <v>0</v>
      </c>
      <c r="H12" s="426">
        <v>126.48</v>
      </c>
      <c r="I12" s="409">
        <v>43066.297807629999</v>
      </c>
      <c r="J12" s="426">
        <v>2891.3158333333331</v>
      </c>
      <c r="K12" s="426">
        <v>2971.38</v>
      </c>
      <c r="L12" s="426">
        <v>281.52666666666664</v>
      </c>
      <c r="M12" s="426">
        <v>324.07000000000005</v>
      </c>
      <c r="N12" s="426">
        <v>177.35250000000002</v>
      </c>
      <c r="O12" s="426">
        <v>220.33083333333335</v>
      </c>
      <c r="P12" s="429">
        <f t="shared" si="0"/>
        <v>2.7691255913181445E-2</v>
      </c>
      <c r="Q12" s="429">
        <f t="shared" si="1"/>
        <v>0.15111653129366109</v>
      </c>
      <c r="R12" s="429" t="e">
        <f>#REF!/#REF!</f>
        <v>#REF!</v>
      </c>
      <c r="S12" s="429">
        <f t="shared" si="2"/>
        <v>9.7369738518707893E-2</v>
      </c>
      <c r="T12" s="429">
        <f t="shared" si="2"/>
        <v>0.10906380200445585</v>
      </c>
    </row>
    <row r="13" spans="1:20">
      <c r="A13" s="408"/>
      <c r="B13" s="409" t="s">
        <v>208</v>
      </c>
      <c r="C13" s="408" t="s">
        <v>191</v>
      </c>
      <c r="D13" s="427">
        <v>11897.76015616</v>
      </c>
      <c r="E13" s="426">
        <v>-116.5</v>
      </c>
      <c r="F13" s="426">
        <v>2169.4</v>
      </c>
      <c r="G13" s="426">
        <v>0</v>
      </c>
      <c r="H13" s="426">
        <v>28.6</v>
      </c>
      <c r="I13" s="409">
        <v>11595.54215616</v>
      </c>
      <c r="J13" s="426">
        <v>8890.36</v>
      </c>
      <c r="K13" s="426">
        <v>9303.56</v>
      </c>
      <c r="L13" s="426">
        <v>850.74</v>
      </c>
      <c r="M13" s="426">
        <v>928.7</v>
      </c>
      <c r="N13" s="426">
        <v>390.23</v>
      </c>
      <c r="O13" s="426">
        <v>441.55</v>
      </c>
      <c r="P13" s="429">
        <f t="shared" si="0"/>
        <v>4.6477308005524964E-2</v>
      </c>
      <c r="Q13" s="429">
        <f t="shared" si="1"/>
        <v>9.1637868208853446E-2</v>
      </c>
      <c r="R13" s="429" t="e">
        <f>#REF!/#REF!</f>
        <v>#REF!</v>
      </c>
      <c r="S13" s="429">
        <f t="shared" si="2"/>
        <v>9.5692412905664104E-2</v>
      </c>
      <c r="T13" s="429">
        <f t="shared" si="2"/>
        <v>9.9822003620119615E-2</v>
      </c>
    </row>
    <row r="14" spans="1:20">
      <c r="A14" s="408"/>
      <c r="B14" s="409" t="s">
        <v>207</v>
      </c>
      <c r="C14" s="408"/>
      <c r="D14" s="427">
        <v>87104.449157700001</v>
      </c>
      <c r="E14" s="426"/>
      <c r="F14" s="426"/>
      <c r="G14" s="426"/>
      <c r="H14" s="426"/>
      <c r="I14" s="409">
        <v>90246.763157699999</v>
      </c>
      <c r="J14" s="426"/>
      <c r="K14" s="426"/>
      <c r="L14" s="426"/>
      <c r="M14" s="426"/>
      <c r="N14" s="426"/>
      <c r="O14" s="426"/>
      <c r="P14" s="429"/>
      <c r="Q14" s="429"/>
      <c r="R14" s="429"/>
      <c r="S14" s="429"/>
      <c r="T14" s="429"/>
    </row>
    <row r="15" spans="1:20">
      <c r="A15" s="408"/>
      <c r="B15" s="409" t="s">
        <v>209</v>
      </c>
      <c r="C15" s="408"/>
      <c r="D15" s="427">
        <v>266473.32256381499</v>
      </c>
      <c r="E15" s="426"/>
      <c r="F15" s="426"/>
      <c r="G15" s="426"/>
      <c r="H15" s="426"/>
      <c r="I15" s="409">
        <v>305860.32256381499</v>
      </c>
      <c r="J15" s="426"/>
      <c r="K15" s="426"/>
      <c r="L15" s="426"/>
      <c r="M15" s="426"/>
      <c r="N15" s="426"/>
      <c r="O15" s="426"/>
      <c r="P15" s="429"/>
      <c r="Q15" s="429"/>
      <c r="R15" s="429"/>
      <c r="S15" s="429"/>
      <c r="T15" s="429"/>
    </row>
    <row r="16" spans="1:20">
      <c r="A16" s="408"/>
      <c r="B16" s="409" t="s">
        <v>210</v>
      </c>
      <c r="C16" s="408"/>
      <c r="D16" s="427">
        <v>16930.85492948</v>
      </c>
      <c r="E16" s="426"/>
      <c r="F16" s="426"/>
      <c r="G16" s="426"/>
      <c r="H16" s="426"/>
      <c r="I16" s="409">
        <v>14794.85492948</v>
      </c>
      <c r="J16" s="426"/>
      <c r="K16" s="426"/>
      <c r="L16" s="426"/>
      <c r="M16" s="426"/>
      <c r="N16" s="426"/>
      <c r="O16" s="426"/>
      <c r="P16" s="429"/>
      <c r="Q16" s="429"/>
      <c r="R16" s="429"/>
      <c r="S16" s="429"/>
      <c r="T16" s="429"/>
    </row>
    <row r="17" spans="1:20">
      <c r="A17" s="408"/>
      <c r="B17" s="409" t="s">
        <v>211</v>
      </c>
      <c r="C17" s="408"/>
      <c r="D17" s="427">
        <v>13566.6580925</v>
      </c>
      <c r="E17" s="426"/>
      <c r="F17" s="426"/>
      <c r="G17" s="426"/>
      <c r="H17" s="426"/>
      <c r="I17" s="409">
        <v>12716.358092500001</v>
      </c>
      <c r="J17" s="426"/>
      <c r="K17" s="426"/>
      <c r="L17" s="426"/>
      <c r="M17" s="426"/>
      <c r="N17" s="426"/>
      <c r="O17" s="426"/>
      <c r="P17" s="429"/>
      <c r="Q17" s="429"/>
      <c r="R17" s="429"/>
      <c r="S17" s="429"/>
      <c r="T17" s="429"/>
    </row>
    <row r="18" spans="1:20">
      <c r="A18" s="408"/>
      <c r="B18" s="409" t="s">
        <v>212</v>
      </c>
      <c r="C18" s="408"/>
      <c r="D18" s="427">
        <v>14831.556034821473</v>
      </c>
      <c r="E18" s="426"/>
      <c r="F18" s="426"/>
      <c r="G18" s="426"/>
      <c r="H18" s="426"/>
      <c r="I18" s="409">
        <v>2230.7643432649365</v>
      </c>
      <c r="J18" s="426"/>
      <c r="K18" s="426"/>
      <c r="L18" s="426"/>
      <c r="M18" s="426"/>
      <c r="N18" s="426"/>
      <c r="O18" s="426"/>
      <c r="P18" s="429"/>
      <c r="Q18" s="429"/>
      <c r="R18" s="429"/>
      <c r="S18" s="429"/>
      <c r="T18" s="429"/>
    </row>
    <row r="19" spans="1:20">
      <c r="A19" s="408"/>
      <c r="B19" s="409" t="s">
        <v>213</v>
      </c>
      <c r="C19" s="408"/>
      <c r="D19" s="427">
        <v>139877.81930202001</v>
      </c>
      <c r="E19" s="426"/>
      <c r="F19" s="426"/>
      <c r="G19" s="426"/>
      <c r="H19" s="426"/>
      <c r="I19" s="409">
        <v>174118.81930202001</v>
      </c>
      <c r="J19" s="426"/>
      <c r="K19" s="426"/>
      <c r="L19" s="426"/>
      <c r="M19" s="426"/>
      <c r="N19" s="426"/>
      <c r="O19" s="426"/>
      <c r="P19" s="429"/>
      <c r="Q19" s="429"/>
      <c r="R19" s="429"/>
      <c r="S19" s="429"/>
      <c r="T19" s="429"/>
    </row>
    <row r="20" spans="1:20">
      <c r="A20" s="408"/>
      <c r="B20" s="409" t="s">
        <v>214</v>
      </c>
      <c r="C20" s="408"/>
      <c r="D20" s="427">
        <v>70366.610472159999</v>
      </c>
      <c r="E20" s="426"/>
      <c r="F20" s="426"/>
      <c r="G20" s="426"/>
      <c r="H20" s="426"/>
      <c r="I20" s="409">
        <v>93600.610472159999</v>
      </c>
      <c r="J20" s="426"/>
      <c r="K20" s="426"/>
      <c r="L20" s="426"/>
      <c r="M20" s="426"/>
      <c r="N20" s="426"/>
      <c r="O20" s="426"/>
      <c r="P20" s="429"/>
      <c r="Q20" s="429"/>
      <c r="R20" s="429"/>
      <c r="S20" s="429"/>
      <c r="T20" s="429"/>
    </row>
    <row r="21" spans="1:20">
      <c r="A21" s="408"/>
      <c r="B21" s="408"/>
      <c r="C21" s="408"/>
      <c r="D21" s="408"/>
      <c r="E21" s="408"/>
      <c r="F21" s="408"/>
      <c r="G21" s="408"/>
      <c r="H21" s="408"/>
      <c r="I21" s="408"/>
      <c r="J21" s="408"/>
      <c r="K21" s="408"/>
      <c r="L21" s="408"/>
      <c r="M21" s="408"/>
      <c r="N21" s="408"/>
      <c r="O21" s="408"/>
      <c r="P21" s="408"/>
      <c r="Q21" s="408"/>
      <c r="R21" s="408"/>
      <c r="S21" s="408"/>
      <c r="T21" s="408"/>
    </row>
    <row r="22" spans="1:20">
      <c r="A22" s="408"/>
      <c r="B22" s="430" t="s">
        <v>192</v>
      </c>
      <c r="C22" s="431"/>
      <c r="D22" s="432">
        <f t="shared" ref="D22:T22" si="3">MAX(D8:D13)</f>
        <v>540877.4228287501</v>
      </c>
      <c r="E22" s="432"/>
      <c r="F22" s="432"/>
      <c r="G22" s="432"/>
      <c r="H22" s="432"/>
      <c r="I22" s="432">
        <f t="shared" si="3"/>
        <v>559753.4228287501</v>
      </c>
      <c r="J22" s="432">
        <f t="shared" si="3"/>
        <v>16684.82</v>
      </c>
      <c r="K22" s="432">
        <f t="shared" si="3"/>
        <v>16937.09</v>
      </c>
      <c r="L22" s="432">
        <f t="shared" si="3"/>
        <v>2291.4</v>
      </c>
      <c r="M22" s="432">
        <f t="shared" si="3"/>
        <v>2539.62</v>
      </c>
      <c r="N22" s="432">
        <f t="shared" si="3"/>
        <v>818.31</v>
      </c>
      <c r="O22" s="432">
        <f t="shared" si="3"/>
        <v>1000.96</v>
      </c>
      <c r="P22" s="433">
        <f t="shared" si="3"/>
        <v>6.5064982480097511E-2</v>
      </c>
      <c r="Q22" s="433">
        <f t="shared" si="3"/>
        <v>0.36500740740740745</v>
      </c>
      <c r="R22" s="433" t="e">
        <f t="shared" si="3"/>
        <v>#REF!</v>
      </c>
      <c r="S22" s="433">
        <f t="shared" si="3"/>
        <v>0.13733441535479557</v>
      </c>
      <c r="T22" s="434">
        <f t="shared" si="3"/>
        <v>0.14994429385449329</v>
      </c>
    </row>
    <row r="23" spans="1:20">
      <c r="A23" s="408"/>
      <c r="B23" s="435" t="s">
        <v>193</v>
      </c>
      <c r="C23" s="436"/>
      <c r="D23" s="437">
        <f t="shared" ref="D23:T23" si="4">QUARTILE(D8:D13,3)</f>
        <v>373020.11046806298</v>
      </c>
      <c r="E23" s="437"/>
      <c r="F23" s="437"/>
      <c r="G23" s="437"/>
      <c r="H23" s="437"/>
      <c r="I23" s="437">
        <f t="shared" si="4"/>
        <v>365790.48361114017</v>
      </c>
      <c r="J23" s="437">
        <f t="shared" si="4"/>
        <v>10131.452499999999</v>
      </c>
      <c r="K23" s="437">
        <f t="shared" si="4"/>
        <v>10749.342500000001</v>
      </c>
      <c r="L23" s="437">
        <f t="shared" si="4"/>
        <v>806.80500000000006</v>
      </c>
      <c r="M23" s="437">
        <f t="shared" si="4"/>
        <v>926.87</v>
      </c>
      <c r="N23" s="437">
        <f t="shared" si="4"/>
        <v>337.010625</v>
      </c>
      <c r="O23" s="437">
        <f t="shared" si="4"/>
        <v>414.6</v>
      </c>
      <c r="P23" s="429">
        <f t="shared" si="4"/>
        <v>4.1780794982439085E-2</v>
      </c>
      <c r="Q23" s="429">
        <f t="shared" si="4"/>
        <v>0.21637626220375211</v>
      </c>
      <c r="R23" s="429" t="e">
        <f t="shared" si="4"/>
        <v>#REF!</v>
      </c>
      <c r="S23" s="429">
        <f t="shared" si="4"/>
        <v>9.6950407115446946E-2</v>
      </c>
      <c r="T23" s="438">
        <f t="shared" si="4"/>
        <v>0.10675335240837179</v>
      </c>
    </row>
    <row r="24" spans="1:20">
      <c r="A24" s="408"/>
      <c r="B24" s="439" t="s">
        <v>122</v>
      </c>
      <c r="C24" s="440"/>
      <c r="D24" s="441">
        <f t="shared" ref="D24:T24" si="5">MEDIAN(D8:D13)</f>
        <v>47302.071680149995</v>
      </c>
      <c r="E24" s="441"/>
      <c r="F24" s="441"/>
      <c r="G24" s="441"/>
      <c r="H24" s="441"/>
      <c r="I24" s="441">
        <f t="shared" si="5"/>
        <v>48504.039928956372</v>
      </c>
      <c r="J24" s="441">
        <f t="shared" si="5"/>
        <v>7441.0950000000003</v>
      </c>
      <c r="K24" s="441">
        <f t="shared" si="5"/>
        <v>7705.8899999999994</v>
      </c>
      <c r="L24" s="441">
        <f t="shared" si="5"/>
        <v>572.11500000000001</v>
      </c>
      <c r="M24" s="441">
        <f t="shared" si="5"/>
        <v>751.14</v>
      </c>
      <c r="N24" s="441">
        <f t="shared" si="5"/>
        <v>152.37958333333333</v>
      </c>
      <c r="O24" s="441">
        <f t="shared" si="5"/>
        <v>277.04041666666666</v>
      </c>
      <c r="P24" s="442">
        <f t="shared" si="5"/>
        <v>2.4110120008877023E-2</v>
      </c>
      <c r="Q24" s="442">
        <f t="shared" si="5"/>
        <v>0.15133233599129536</v>
      </c>
      <c r="R24" s="442" t="e">
        <f t="shared" si="5"/>
        <v>#REF!</v>
      </c>
      <c r="S24" s="442">
        <f t="shared" si="5"/>
        <v>8.706847200666698E-2</v>
      </c>
      <c r="T24" s="443">
        <f t="shared" si="5"/>
        <v>9.7461679421540728E-2</v>
      </c>
    </row>
    <row r="25" spans="1:20">
      <c r="A25" s="408"/>
      <c r="B25" s="435" t="s">
        <v>194</v>
      </c>
      <c r="C25" s="444"/>
      <c r="D25" s="437">
        <f t="shared" ref="D25:T25" si="6">QUARTILE(D8:D13,1)</f>
        <v>18697.8945690275</v>
      </c>
      <c r="E25" s="437"/>
      <c r="F25" s="437"/>
      <c r="G25" s="437"/>
      <c r="H25" s="437"/>
      <c r="I25" s="437">
        <f t="shared" si="6"/>
        <v>19463.231069027497</v>
      </c>
      <c r="J25" s="437">
        <f t="shared" si="6"/>
        <v>5010.9174999999996</v>
      </c>
      <c r="K25" s="437">
        <f t="shared" si="6"/>
        <v>5112.1324999999997</v>
      </c>
      <c r="L25" s="437">
        <f t="shared" si="6"/>
        <v>392.88</v>
      </c>
      <c r="M25" s="437">
        <f t="shared" si="6"/>
        <v>462.56</v>
      </c>
      <c r="N25" s="437">
        <f t="shared" si="6"/>
        <v>74.819166666666661</v>
      </c>
      <c r="O25" s="437">
        <f t="shared" si="6"/>
        <v>183.69770833333331</v>
      </c>
      <c r="P25" s="429">
        <f t="shared" si="6"/>
        <v>1.9700833586204169E-2</v>
      </c>
      <c r="Q25" s="429">
        <f t="shared" si="6"/>
        <v>0.11902422316120004</v>
      </c>
      <c r="R25" s="429" t="e">
        <f t="shared" si="6"/>
        <v>#REF!</v>
      </c>
      <c r="S25" s="429">
        <f t="shared" si="6"/>
        <v>7.8344858533489339E-2</v>
      </c>
      <c r="T25" s="438">
        <f t="shared" si="6"/>
        <v>9.0161978982975136E-2</v>
      </c>
    </row>
    <row r="26" spans="1:20">
      <c r="A26" s="408"/>
      <c r="B26" s="445" t="s">
        <v>195</v>
      </c>
      <c r="C26" s="446"/>
      <c r="D26" s="447">
        <f t="shared" ref="D26:T26" si="7">MIN(D8:D13)</f>
        <v>4965.6335443971839</v>
      </c>
      <c r="E26" s="447"/>
      <c r="F26" s="447"/>
      <c r="G26" s="447"/>
      <c r="H26" s="447"/>
      <c r="I26" s="447">
        <f t="shared" si="7"/>
        <v>4950.9008723006891</v>
      </c>
      <c r="J26" s="447">
        <f t="shared" si="7"/>
        <v>2891.3158333333331</v>
      </c>
      <c r="K26" s="447">
        <f t="shared" si="7"/>
        <v>2971.38</v>
      </c>
      <c r="L26" s="447">
        <f t="shared" si="7"/>
        <v>281.52666666666664</v>
      </c>
      <c r="M26" s="447">
        <f t="shared" si="7"/>
        <v>324.07000000000005</v>
      </c>
      <c r="N26" s="447">
        <f t="shared" si="7"/>
        <v>-74.89</v>
      </c>
      <c r="O26" s="447">
        <f t="shared" si="7"/>
        <v>128.85</v>
      </c>
      <c r="P26" s="448">
        <f t="shared" si="7"/>
        <v>1.5119731588354002E-2</v>
      </c>
      <c r="Q26" s="448">
        <f t="shared" si="7"/>
        <v>9.1637868208853446E-2</v>
      </c>
      <c r="R26" s="448" t="e">
        <f t="shared" si="7"/>
        <v>#REF!</v>
      </c>
      <c r="S26" s="448">
        <f t="shared" si="7"/>
        <v>6.4010469267862483E-2</v>
      </c>
      <c r="T26" s="449">
        <f t="shared" si="7"/>
        <v>8.2037026979139491E-2</v>
      </c>
    </row>
    <row r="27" spans="1:20">
      <c r="A27" s="408"/>
      <c r="B27" s="408"/>
      <c r="C27" s="408"/>
      <c r="D27" s="408"/>
      <c r="E27" s="408"/>
      <c r="F27" s="408"/>
      <c r="G27" s="408"/>
      <c r="H27" s="408"/>
      <c r="I27" s="408"/>
      <c r="J27" s="408"/>
      <c r="K27" s="408"/>
      <c r="L27" s="408"/>
      <c r="M27" s="408"/>
      <c r="N27" s="408"/>
      <c r="O27" s="408"/>
      <c r="P27" s="408"/>
      <c r="Q27" s="408"/>
      <c r="R27" s="408"/>
      <c r="S27" s="408"/>
      <c r="T27" s="408"/>
    </row>
    <row r="28" spans="1:20">
      <c r="A28" s="408"/>
      <c r="B28" s="450" t="str">
        <f>Company_Name</f>
        <v>Steel Dynamics Inc.</v>
      </c>
      <c r="C28" s="451" t="str">
        <f>Ticker</f>
        <v>STLD</v>
      </c>
      <c r="D28" s="452">
        <f>Equity_Value</f>
        <v>6043.1644899999992</v>
      </c>
      <c r="E28" s="452">
        <f>+'[1]STLD-DCF'!F22+'[1]STLD-DCF'!F23+'[1]STLD-DCF'!F24+'[1]STLD-DCF'!F25</f>
        <v>-1122.1139999999998</v>
      </c>
      <c r="F28" s="452">
        <f>+'[1]STLD-DCF'!F26</f>
        <v>2591.2330000000002</v>
      </c>
      <c r="G28" s="452">
        <f>+'[1]STLD-DCF'!F27</f>
        <v>0</v>
      </c>
      <c r="H28" s="452">
        <f>+'[1]STLD-DCF'!F28+'[1]STLD-DCF'!F29+'[1]STLD-DCF'!F30+'[1]STLD-DCF'!F31</f>
        <v>-11.230999999999995</v>
      </c>
      <c r="I28" s="452">
        <f>Enterprise_Value</f>
        <v>7501.0524899999991</v>
      </c>
      <c r="J28" s="452">
        <f>'[1]STLD-DCF'!J86</f>
        <v>7716.0163775469155</v>
      </c>
      <c r="K28" s="452">
        <f>'[1]STLD-DCF'!K86</f>
        <v>8406.1512406317233</v>
      </c>
      <c r="L28" s="452">
        <f>'[1]STLD-DCF'!J126</f>
        <v>626.35222174379942</v>
      </c>
      <c r="M28" s="452">
        <f>'[1]STLD-DCF'!K126</f>
        <v>730.23721367378289</v>
      </c>
      <c r="N28" s="452">
        <v>170.74786394803417</v>
      </c>
      <c r="O28" s="452">
        <v>205.77268399210544</v>
      </c>
      <c r="P28" s="453">
        <f>IFERROR(+K28/J28-1,"N/A")</f>
        <v>8.9441860840660414E-2</v>
      </c>
      <c r="Q28" s="453">
        <f>IFERROR(+M28/L28-1,"N/A")</f>
        <v>0.16585714606513546</v>
      </c>
      <c r="R28" s="453" t="e">
        <f>#REF!/#REF!</f>
        <v>#REF!</v>
      </c>
      <c r="S28" s="453">
        <f>L28/J28</f>
        <v>8.1175595164162936E-2</v>
      </c>
      <c r="T28" s="453">
        <f>M28/K28</f>
        <v>8.6869387995796452E-2</v>
      </c>
    </row>
    <row r="29" spans="1:20">
      <c r="A29" s="408"/>
      <c r="B29" s="408"/>
      <c r="C29" s="408"/>
      <c r="D29" s="408"/>
      <c r="E29" s="408"/>
      <c r="F29" s="408"/>
      <c r="G29" s="408"/>
      <c r="H29" s="408"/>
      <c r="I29" s="408"/>
      <c r="J29" s="408"/>
      <c r="K29" s="408"/>
      <c r="L29" s="408"/>
      <c r="M29" s="408"/>
      <c r="N29" s="408"/>
      <c r="O29" s="408"/>
      <c r="P29" s="408"/>
      <c r="Q29" s="408"/>
      <c r="R29" s="408"/>
      <c r="S29" s="408"/>
      <c r="T29" s="408"/>
    </row>
    <row r="30" spans="1:20" ht="16" customHeight="1">
      <c r="A30" s="408"/>
      <c r="B30" s="416" t="s">
        <v>215</v>
      </c>
      <c r="C30" s="416"/>
      <c r="D30" s="579" t="s">
        <v>196</v>
      </c>
      <c r="E30" s="579"/>
      <c r="F30" s="579"/>
      <c r="G30" s="579"/>
      <c r="H30" s="579"/>
      <c r="I30" s="580"/>
      <c r="J30" s="581" t="s">
        <v>198</v>
      </c>
      <c r="K30" s="582"/>
      <c r="L30" s="581" t="s">
        <v>197</v>
      </c>
      <c r="M30" s="582"/>
      <c r="N30" s="581" t="s">
        <v>199</v>
      </c>
      <c r="O30" s="582"/>
      <c r="P30" s="408"/>
      <c r="Q30" s="408"/>
      <c r="R30" s="408"/>
      <c r="S30" s="408"/>
      <c r="T30" s="408"/>
    </row>
    <row r="31" spans="1:20" ht="16" customHeight="1">
      <c r="A31" s="408"/>
      <c r="B31" s="419"/>
      <c r="C31" s="419"/>
      <c r="D31" s="467" t="s">
        <v>116</v>
      </c>
      <c r="E31" s="420"/>
      <c r="F31" s="420"/>
      <c r="G31" s="420"/>
      <c r="H31" s="420"/>
      <c r="I31" s="454" t="s">
        <v>175</v>
      </c>
      <c r="J31" s="583"/>
      <c r="K31" s="584"/>
      <c r="L31" s="583"/>
      <c r="M31" s="584"/>
      <c r="N31" s="583"/>
      <c r="O31" s="584"/>
      <c r="P31" s="455"/>
      <c r="Q31" s="455"/>
      <c r="R31" s="455"/>
      <c r="S31" s="455"/>
      <c r="T31" s="408"/>
    </row>
    <row r="32" spans="1:20" ht="21" customHeight="1">
      <c r="A32" s="408"/>
      <c r="B32" s="422" t="s">
        <v>178</v>
      </c>
      <c r="C32" s="422"/>
      <c r="D32" s="468" t="s">
        <v>180</v>
      </c>
      <c r="E32" s="423"/>
      <c r="F32" s="423"/>
      <c r="G32" s="423"/>
      <c r="H32" s="423"/>
      <c r="I32" s="456" t="s">
        <v>180</v>
      </c>
      <c r="J32" s="457" t="s">
        <v>200</v>
      </c>
      <c r="K32" s="457" t="s">
        <v>201</v>
      </c>
      <c r="L32" s="458" t="s">
        <v>200</v>
      </c>
      <c r="M32" s="459" t="s">
        <v>201</v>
      </c>
      <c r="N32" s="459" t="s">
        <v>200</v>
      </c>
      <c r="O32" s="458" t="s">
        <v>201</v>
      </c>
      <c r="P32" s="460"/>
      <c r="Q32" s="460"/>
      <c r="R32" s="460"/>
      <c r="S32" s="460"/>
      <c r="T32" s="408"/>
    </row>
    <row r="33" spans="1:20" s="475" customFormat="1" ht="5" customHeight="1">
      <c r="A33" s="473"/>
      <c r="B33" s="476"/>
      <c r="C33" s="476"/>
      <c r="D33" s="477"/>
      <c r="E33" s="478"/>
      <c r="F33" s="478"/>
      <c r="G33" s="478"/>
      <c r="H33" s="478"/>
      <c r="I33" s="478"/>
      <c r="J33" s="479"/>
      <c r="K33" s="479"/>
      <c r="L33" s="479"/>
      <c r="M33" s="479"/>
      <c r="N33" s="479"/>
      <c r="O33" s="479"/>
      <c r="P33" s="474"/>
      <c r="Q33" s="474"/>
      <c r="R33" s="474"/>
      <c r="S33" s="474"/>
      <c r="T33" s="473"/>
    </row>
    <row r="34" spans="1:20">
      <c r="A34" s="408"/>
      <c r="B34" s="480" t="str">
        <f t="shared" ref="B34:B46" si="8">+B8</f>
        <v>Amazon</v>
      </c>
      <c r="C34" s="481"/>
      <c r="D34" s="482">
        <v>540877.4228287501</v>
      </c>
      <c r="E34" s="483"/>
      <c r="F34" s="483"/>
      <c r="G34" s="483"/>
      <c r="H34" s="483"/>
      <c r="I34" s="484">
        <v>559753.4228287501</v>
      </c>
      <c r="J34" s="486">
        <f t="shared" ref="J34:J39" si="9">IFERROR(IF(OR(+$I8/J8&lt;0,+$I8/J8&gt;=100),"NM",+$I8/J8),"N/A")</f>
        <v>53.081598917867467</v>
      </c>
      <c r="K34" s="485">
        <v>2.4545663439408543</v>
      </c>
      <c r="L34" s="486">
        <v>29.411712743180441</v>
      </c>
      <c r="M34" s="486">
        <v>21.581007951198579</v>
      </c>
      <c r="N34" s="486">
        <v>88.510557529889837</v>
      </c>
      <c r="O34" s="485" t="str">
        <f t="shared" ref="O34:O39" si="10">IFERROR(IF(OR(+$D8/O8&lt;0,+$D8/O8&gt;=100),"NM",+$D8/O8),"N/A")</f>
        <v>NM</v>
      </c>
      <c r="P34" s="408"/>
      <c r="Q34" s="408"/>
      <c r="R34" s="408"/>
      <c r="S34" s="408"/>
      <c r="T34" s="408"/>
    </row>
    <row r="35" spans="1:20">
      <c r="A35" s="408"/>
      <c r="B35" s="480" t="str">
        <f t="shared" si="8"/>
        <v>Alibaba</v>
      </c>
      <c r="C35" s="481"/>
      <c r="D35" s="482">
        <v>478858.19877319399</v>
      </c>
      <c r="E35" s="483"/>
      <c r="F35" s="483"/>
      <c r="G35" s="483"/>
      <c r="H35" s="483"/>
      <c r="I35" s="484">
        <v>469740.05079809262</v>
      </c>
      <c r="J35" s="486">
        <f t="shared" si="9"/>
        <v>28.153737996459814</v>
      </c>
      <c r="K35" s="485">
        <v>9.4808981726676844</v>
      </c>
      <c r="L35" s="486">
        <v>28.677821155724732</v>
      </c>
      <c r="M35" s="486">
        <v>21.446421405830009</v>
      </c>
      <c r="N35" s="486">
        <v>28.683361133071092</v>
      </c>
      <c r="O35" s="485" t="str">
        <f t="shared" si="10"/>
        <v>NM</v>
      </c>
      <c r="P35" s="408"/>
      <c r="Q35" s="408"/>
      <c r="R35" s="408"/>
      <c r="S35" s="408"/>
      <c r="T35" s="408"/>
    </row>
    <row r="36" spans="1:20">
      <c r="A36" s="408"/>
      <c r="B36" s="480" t="str">
        <f t="shared" si="8"/>
        <v>VIPShop</v>
      </c>
      <c r="C36" s="481"/>
      <c r="D36" s="482">
        <v>4965.6335443971839</v>
      </c>
      <c r="E36" s="483"/>
      <c r="F36" s="483"/>
      <c r="G36" s="483"/>
      <c r="H36" s="483"/>
      <c r="I36" s="484">
        <v>4950.9008723006891</v>
      </c>
      <c r="J36" s="486">
        <f t="shared" si="9"/>
        <v>1.0569934340913409</v>
      </c>
      <c r="K36" s="485">
        <v>0.3824902897506971</v>
      </c>
      <c r="L36" s="486">
        <v>8.7865911561468817</v>
      </c>
      <c r="M36" s="486">
        <v>7.194337432262218</v>
      </c>
      <c r="N36" s="486">
        <v>9.9115906231345363</v>
      </c>
      <c r="O36" s="485">
        <f t="shared" si="10"/>
        <v>28.956382679297814</v>
      </c>
      <c r="P36" s="408"/>
      <c r="Q36" s="408"/>
      <c r="R36" s="408"/>
      <c r="S36" s="408"/>
      <c r="T36" s="408"/>
    </row>
    <row r="37" spans="1:20">
      <c r="A37" s="408"/>
      <c r="B37" s="480" t="str">
        <f t="shared" si="8"/>
        <v>JD.com</v>
      </c>
      <c r="C37" s="481"/>
      <c r="D37" s="482">
        <v>55505.845552669998</v>
      </c>
      <c r="E37" s="483"/>
      <c r="F37" s="483"/>
      <c r="G37" s="483"/>
      <c r="H37" s="483"/>
      <c r="I37" s="484">
        <v>53941.782050282745</v>
      </c>
      <c r="J37" s="486">
        <f t="shared" si="9"/>
        <v>9.0025554881034253</v>
      </c>
      <c r="K37" s="485">
        <v>0.76553808180269012</v>
      </c>
      <c r="L37" s="486">
        <v>78.370887389544308</v>
      </c>
      <c r="M37" s="486">
        <v>35.715226240802863</v>
      </c>
      <c r="N37" s="486">
        <v>57.762033792667729</v>
      </c>
      <c r="O37" s="485" t="str">
        <f t="shared" si="10"/>
        <v>NM</v>
      </c>
      <c r="P37" s="408"/>
      <c r="Q37" s="408"/>
      <c r="R37" s="408"/>
      <c r="S37" s="408"/>
      <c r="T37" s="408"/>
    </row>
    <row r="38" spans="1:20">
      <c r="A38" s="408"/>
      <c r="B38" s="480" t="str">
        <f t="shared" si="8"/>
        <v>EBAY</v>
      </c>
      <c r="C38" s="481"/>
      <c r="D38" s="482">
        <v>39098.297807629999</v>
      </c>
      <c r="E38" s="483"/>
      <c r="F38" s="483"/>
      <c r="G38" s="483"/>
      <c r="H38" s="483"/>
      <c r="I38" s="484">
        <v>43066.297807629999</v>
      </c>
      <c r="J38" s="486">
        <f t="shared" si="9"/>
        <v>14.895051350367293</v>
      </c>
      <c r="K38" s="485">
        <v>4.2054997087174995</v>
      </c>
      <c r="L38" s="486">
        <v>12.410772164406291</v>
      </c>
      <c r="M38" s="486">
        <v>11.629438052359383</v>
      </c>
      <c r="N38" s="486">
        <v>14.448316010066716</v>
      </c>
      <c r="O38" s="485" t="str">
        <f t="shared" si="10"/>
        <v>NM</v>
      </c>
      <c r="P38" s="408"/>
      <c r="Q38" s="408"/>
      <c r="R38" s="408"/>
      <c r="S38" s="408"/>
      <c r="T38" s="408"/>
    </row>
    <row r="39" spans="1:20">
      <c r="A39" s="408"/>
      <c r="B39" s="480" t="str">
        <f t="shared" si="8"/>
        <v>Mercadolibre</v>
      </c>
      <c r="C39" s="481"/>
      <c r="D39" s="482">
        <v>11897.76015616</v>
      </c>
      <c r="E39" s="483"/>
      <c r="F39" s="483"/>
      <c r="G39" s="483"/>
      <c r="H39" s="483"/>
      <c r="I39" s="484">
        <v>11595.54215616</v>
      </c>
      <c r="J39" s="486">
        <f t="shared" si="9"/>
        <v>1.3042826337921072</v>
      </c>
      <c r="K39" s="485">
        <v>6.059860024123334</v>
      </c>
      <c r="L39" s="486">
        <v>57.338104228135151</v>
      </c>
      <c r="M39" s="486">
        <v>50.415400678956523</v>
      </c>
      <c r="N39" s="486">
        <v>69.116530900767728</v>
      </c>
      <c r="O39" s="485">
        <f t="shared" si="10"/>
        <v>26.945442545940438</v>
      </c>
      <c r="P39" s="408"/>
      <c r="Q39" s="408"/>
      <c r="R39" s="408"/>
      <c r="S39" s="408"/>
      <c r="T39" s="408"/>
    </row>
    <row r="40" spans="1:20">
      <c r="A40" s="408"/>
      <c r="B40" s="480" t="str">
        <f t="shared" si="8"/>
        <v>Netflix</v>
      </c>
      <c r="C40" s="481"/>
      <c r="D40" s="482">
        <v>87104.449157700001</v>
      </c>
      <c r="E40" s="483"/>
      <c r="F40" s="483"/>
      <c r="G40" s="483"/>
      <c r="H40" s="483"/>
      <c r="I40" s="484">
        <v>90246.763157699999</v>
      </c>
      <c r="J40" s="485"/>
      <c r="K40" s="485">
        <v>6.0481026141942831</v>
      </c>
      <c r="L40" s="486">
        <v>83.713509718721781</v>
      </c>
      <c r="M40" s="486">
        <v>47.057859600225882</v>
      </c>
      <c r="N40" s="486">
        <v>57.288620045515138</v>
      </c>
      <c r="O40" s="485"/>
      <c r="P40" s="408"/>
      <c r="Q40" s="408"/>
      <c r="R40" s="408"/>
      <c r="S40" s="408"/>
      <c r="T40" s="408"/>
    </row>
    <row r="41" spans="1:20">
      <c r="A41" s="408"/>
      <c r="B41" s="480" t="str">
        <f t="shared" si="8"/>
        <v>Wal-Mart</v>
      </c>
      <c r="C41" s="481"/>
      <c r="D41" s="482">
        <v>266473.32256381499</v>
      </c>
      <c r="E41" s="483"/>
      <c r="F41" s="483"/>
      <c r="G41" s="483"/>
      <c r="H41" s="483"/>
      <c r="I41" s="484">
        <v>305860.32256381499</v>
      </c>
      <c r="J41" s="485"/>
      <c r="K41" s="485">
        <v>0.60143332891526624</v>
      </c>
      <c r="L41" s="486">
        <v>9.2369071995861116</v>
      </c>
      <c r="M41" s="486">
        <v>9.0509399229275651</v>
      </c>
      <c r="N41" s="486">
        <v>13.249442633097823</v>
      </c>
      <c r="O41" s="485"/>
      <c r="P41" s="408"/>
      <c r="Q41" s="408"/>
      <c r="R41" s="408"/>
      <c r="S41" s="408"/>
      <c r="T41" s="408"/>
    </row>
    <row r="42" spans="1:20">
      <c r="A42" s="408"/>
      <c r="B42" s="480" t="str">
        <f t="shared" si="8"/>
        <v>Best Buy</v>
      </c>
      <c r="C42" s="481"/>
      <c r="D42" s="482">
        <v>16930.85492948</v>
      </c>
      <c r="E42" s="483"/>
      <c r="F42" s="483"/>
      <c r="G42" s="483"/>
      <c r="H42" s="483"/>
      <c r="I42" s="484">
        <v>14794.85492948</v>
      </c>
      <c r="J42" s="485"/>
      <c r="K42" s="485">
        <v>0.36261737581170594</v>
      </c>
      <c r="L42" s="486">
        <v>5.6758662751565723</v>
      </c>
      <c r="M42" s="486">
        <v>5.7173034967208745</v>
      </c>
      <c r="N42" s="486">
        <v>7.6966341159994798</v>
      </c>
      <c r="O42" s="485"/>
      <c r="P42" s="408"/>
      <c r="Q42" s="408"/>
      <c r="R42" s="408"/>
      <c r="S42" s="408"/>
      <c r="T42" s="408"/>
    </row>
    <row r="43" spans="1:20">
      <c r="A43" s="408"/>
      <c r="B43" s="480" t="str">
        <f t="shared" si="8"/>
        <v>Palo Alto Networks</v>
      </c>
      <c r="C43" s="481"/>
      <c r="D43" s="482">
        <v>13566.6580925</v>
      </c>
      <c r="E43" s="483"/>
      <c r="F43" s="483"/>
      <c r="G43" s="483"/>
      <c r="H43" s="483"/>
      <c r="I43" s="484">
        <v>12716.358092500001</v>
      </c>
      <c r="J43" s="485"/>
      <c r="K43" s="485">
        <v>4.9586110713589395</v>
      </c>
      <c r="L43" s="486">
        <v>23.952048453689805</v>
      </c>
      <c r="M43" s="486">
        <v>18.690219500275585</v>
      </c>
      <c r="N43" s="486">
        <v>21.220455723821445</v>
      </c>
      <c r="O43" s="485"/>
      <c r="P43" s="408"/>
      <c r="Q43" s="408"/>
      <c r="R43" s="408"/>
      <c r="S43" s="408"/>
      <c r="T43" s="408"/>
    </row>
    <row r="44" spans="1:20">
      <c r="A44" s="408"/>
      <c r="B44" s="480" t="str">
        <f t="shared" si="8"/>
        <v>Rakuten</v>
      </c>
      <c r="C44" s="481"/>
      <c r="D44" s="482">
        <v>14831.556034821473</v>
      </c>
      <c r="E44" s="483"/>
      <c r="F44" s="483"/>
      <c r="G44" s="483"/>
      <c r="H44" s="483"/>
      <c r="I44" s="484">
        <v>2230.7643432649365</v>
      </c>
      <c r="J44" s="485"/>
      <c r="K44" s="485">
        <v>0.27487547027765674</v>
      </c>
      <c r="L44" s="486">
        <v>1.5772057072291756</v>
      </c>
      <c r="M44" s="486">
        <v>1.4558357249925089</v>
      </c>
      <c r="N44" s="486">
        <v>2.1720873662278448</v>
      </c>
      <c r="O44" s="485"/>
      <c r="P44" s="408"/>
      <c r="Q44" s="408"/>
      <c r="R44" s="408"/>
      <c r="S44" s="408"/>
      <c r="T44" s="408"/>
    </row>
    <row r="45" spans="1:20">
      <c r="A45" s="408"/>
      <c r="B45" s="480" t="str">
        <f t="shared" si="8"/>
        <v>IBM</v>
      </c>
      <c r="C45" s="481"/>
      <c r="D45" s="482">
        <v>139877.81930202001</v>
      </c>
      <c r="E45" s="483"/>
      <c r="F45" s="483"/>
      <c r="G45" s="483"/>
      <c r="H45" s="483"/>
      <c r="I45" s="484">
        <v>174118.81930202001</v>
      </c>
      <c r="J45" s="485"/>
      <c r="K45" s="485">
        <v>2.2167410368299789</v>
      </c>
      <c r="L45" s="486">
        <v>9.0523636048022773</v>
      </c>
      <c r="M45" s="486">
        <v>8.6786574357872439</v>
      </c>
      <c r="N45" s="486">
        <v>11.893768182111412</v>
      </c>
      <c r="O45" s="485"/>
      <c r="P45" s="408"/>
      <c r="Q45" s="408"/>
      <c r="R45" s="408"/>
      <c r="S45" s="408"/>
      <c r="T45" s="408"/>
    </row>
    <row r="46" spans="1:20">
      <c r="A46" s="408"/>
      <c r="B46" s="480" t="str">
        <f t="shared" si="8"/>
        <v xml:space="preserve">CVS Health </v>
      </c>
      <c r="C46" s="481"/>
      <c r="D46" s="482">
        <v>70366.610472159999</v>
      </c>
      <c r="E46" s="483"/>
      <c r="F46" s="483"/>
      <c r="G46" s="483"/>
      <c r="H46" s="483"/>
      <c r="I46" s="484">
        <v>93600.610472159999</v>
      </c>
      <c r="J46" s="485"/>
      <c r="K46" s="485">
        <v>0.48567515139337497</v>
      </c>
      <c r="L46" s="486">
        <v>7.4613075116510421</v>
      </c>
      <c r="M46" s="486">
        <v>7.2006302104439692</v>
      </c>
      <c r="N46" s="486">
        <v>8.8603379848693677</v>
      </c>
      <c r="O46" s="485"/>
      <c r="P46" s="408"/>
      <c r="Q46" s="408"/>
      <c r="R46" s="408"/>
      <c r="S46" s="408"/>
      <c r="T46" s="408"/>
    </row>
    <row r="47" spans="1:20" ht="5" customHeight="1">
      <c r="A47" s="408"/>
      <c r="B47" s="481"/>
      <c r="C47" s="481"/>
      <c r="D47" s="481"/>
      <c r="E47" s="481"/>
      <c r="F47" s="481"/>
      <c r="G47" s="481"/>
      <c r="H47" s="481"/>
      <c r="I47" s="481"/>
      <c r="J47" s="481"/>
      <c r="K47" s="481"/>
      <c r="L47" s="481"/>
      <c r="M47" s="481"/>
      <c r="N47" s="481"/>
      <c r="O47" s="481"/>
      <c r="P47" s="408"/>
      <c r="Q47" s="408"/>
      <c r="R47" s="408"/>
      <c r="S47" s="408"/>
      <c r="T47" s="408"/>
    </row>
    <row r="48" spans="1:20" ht="16" customHeight="1">
      <c r="A48" s="408"/>
      <c r="B48" s="430" t="s">
        <v>192</v>
      </c>
      <c r="C48" s="431"/>
      <c r="D48" s="461">
        <f>MAX(D34:D46)</f>
        <v>540877.4228287501</v>
      </c>
      <c r="E48" s="461"/>
      <c r="F48" s="461"/>
      <c r="G48" s="461"/>
      <c r="H48" s="461"/>
      <c r="I48" s="461">
        <f>MAX(I34:I46)</f>
        <v>559753.4228287501</v>
      </c>
      <c r="J48" s="462">
        <f t="shared" ref="J48:K48" si="11">MAX(J34:J39)</f>
        <v>53.081598917867467</v>
      </c>
      <c r="K48" s="462">
        <f t="shared" si="11"/>
        <v>9.4808981726676844</v>
      </c>
      <c r="L48" s="462">
        <f>MAX(L34:L46)</f>
        <v>83.713509718721781</v>
      </c>
      <c r="M48" s="462">
        <f>MAX(M34:M46)</f>
        <v>50.415400678956523</v>
      </c>
      <c r="N48" s="462">
        <f>MAX(N34:N46)</f>
        <v>88.510557529889837</v>
      </c>
      <c r="O48" s="463">
        <f>MAX(O34:O46)</f>
        <v>28.956382679297814</v>
      </c>
      <c r="P48" s="408"/>
      <c r="Q48" s="408"/>
      <c r="R48" s="408"/>
      <c r="S48" s="408"/>
      <c r="T48" s="408"/>
    </row>
    <row r="49" spans="1:20" ht="16" customHeight="1">
      <c r="A49" s="408"/>
      <c r="B49" s="435" t="s">
        <v>193</v>
      </c>
      <c r="C49" s="436"/>
      <c r="D49" s="487">
        <f>QUARTILE(D34:D46,3)</f>
        <v>139877.81930202001</v>
      </c>
      <c r="E49" s="487"/>
      <c r="F49" s="487"/>
      <c r="G49" s="487"/>
      <c r="H49" s="487"/>
      <c r="I49" s="487">
        <f>QUARTILE(I34:I46,3)</f>
        <v>174118.81930202001</v>
      </c>
      <c r="J49" s="485">
        <f t="shared" ref="J49:K49" si="12">QUARTILE(J34:J39,3)</f>
        <v>24.839066334936682</v>
      </c>
      <c r="K49" s="485">
        <f t="shared" si="12"/>
        <v>5.5962699452718754</v>
      </c>
      <c r="L49" s="485">
        <f>QUARTILE(L34:L46,3)</f>
        <v>29.411712743180441</v>
      </c>
      <c r="M49" s="485">
        <f>QUARTILE(M34:M46,3)</f>
        <v>21.581007951198579</v>
      </c>
      <c r="N49" s="485">
        <f>QUARTILE(N34:N46,3)</f>
        <v>57.288620045515138</v>
      </c>
      <c r="O49" s="488">
        <f>QUARTILE(O34:O46,3)</f>
        <v>28.453647645958469</v>
      </c>
      <c r="P49" s="408"/>
      <c r="Q49" s="408"/>
      <c r="R49" s="408"/>
      <c r="S49" s="408"/>
      <c r="T49" s="408"/>
    </row>
    <row r="50" spans="1:20" ht="16" customHeight="1">
      <c r="A50" s="408"/>
      <c r="B50" s="439" t="s">
        <v>122</v>
      </c>
      <c r="C50" s="440"/>
      <c r="D50" s="464">
        <f>MEDIAN(D34:D46)</f>
        <v>55505.845552669998</v>
      </c>
      <c r="E50" s="464"/>
      <c r="F50" s="464"/>
      <c r="G50" s="464"/>
      <c r="H50" s="464"/>
      <c r="I50" s="464">
        <f>MEDIAN(I34:I46)</f>
        <v>53941.782050282745</v>
      </c>
      <c r="J50" s="465">
        <f t="shared" ref="J50:K50" si="13">MEDIAN(J34:J39)</f>
        <v>11.948803419235359</v>
      </c>
      <c r="K50" s="465">
        <f t="shared" si="13"/>
        <v>3.3300330263291769</v>
      </c>
      <c r="L50" s="465">
        <f>MEDIAN(L34:L46)</f>
        <v>12.410772164406291</v>
      </c>
      <c r="M50" s="465">
        <f>MEDIAN(M34:M46)</f>
        <v>11.629438052359383</v>
      </c>
      <c r="N50" s="465">
        <f>MEDIAN(N34:N46)</f>
        <v>14.448316010066716</v>
      </c>
      <c r="O50" s="466">
        <f>MEDIAN(O34:O46)</f>
        <v>27.950912612619128</v>
      </c>
      <c r="P50" s="408"/>
      <c r="Q50" s="408"/>
      <c r="R50" s="408"/>
      <c r="S50" s="408"/>
      <c r="T50" s="408"/>
    </row>
    <row r="51" spans="1:20" ht="16" customHeight="1">
      <c r="A51" s="408"/>
      <c r="B51" s="435" t="s">
        <v>194</v>
      </c>
      <c r="C51" s="444"/>
      <c r="D51" s="487">
        <f>QUARTILE(D34:D46,1)</f>
        <v>14831.556034821473</v>
      </c>
      <c r="E51" s="487"/>
      <c r="F51" s="487"/>
      <c r="G51" s="487"/>
      <c r="H51" s="487"/>
      <c r="I51" s="487">
        <f>QUARTILE(I34:I46,1)</f>
        <v>12716.358092500001</v>
      </c>
      <c r="J51" s="485">
        <f t="shared" ref="J51:K51" si="14">QUARTILE(J34:J39,1)</f>
        <v>3.2288508473699364</v>
      </c>
      <c r="K51" s="485">
        <f t="shared" si="14"/>
        <v>1.1877951473372312</v>
      </c>
      <c r="L51" s="485">
        <f>QUARTILE(L34:L46,1)</f>
        <v>8.7865911561468817</v>
      </c>
      <c r="M51" s="485">
        <f>QUARTILE(M34:M46,1)</f>
        <v>7.2006302104439692</v>
      </c>
      <c r="N51" s="485">
        <f>QUARTILE(N34:N46,1)</f>
        <v>9.9115906231345363</v>
      </c>
      <c r="O51" s="488">
        <f>QUARTILE(O34:O46,1)</f>
        <v>27.448177579279783</v>
      </c>
      <c r="P51" s="408"/>
      <c r="Q51" s="408"/>
      <c r="R51" s="408"/>
      <c r="S51" s="408"/>
      <c r="T51" s="408"/>
    </row>
    <row r="52" spans="1:20" ht="16" customHeight="1">
      <c r="A52" s="408"/>
      <c r="B52" s="445" t="s">
        <v>195</v>
      </c>
      <c r="C52" s="446"/>
      <c r="D52" s="489">
        <f>MIN(D34:D46)</f>
        <v>4965.6335443971839</v>
      </c>
      <c r="E52" s="489"/>
      <c r="F52" s="489"/>
      <c r="G52" s="489"/>
      <c r="H52" s="489"/>
      <c r="I52" s="489">
        <f>MIN(I34:I46)</f>
        <v>2230.7643432649365</v>
      </c>
      <c r="J52" s="490">
        <f t="shared" ref="J52:K52" si="15">MIN(J34:J39)</f>
        <v>1.0569934340913409</v>
      </c>
      <c r="K52" s="490">
        <f t="shared" si="15"/>
        <v>0.3824902897506971</v>
      </c>
      <c r="L52" s="490">
        <f>MIN(L34:L46)</f>
        <v>1.5772057072291756</v>
      </c>
      <c r="M52" s="490">
        <f>MIN(M34:M46)</f>
        <v>1.4558357249925089</v>
      </c>
      <c r="N52" s="490">
        <f>MIN(N34:N46)</f>
        <v>2.1720873662278448</v>
      </c>
      <c r="O52" s="491">
        <f>MIN(O34:O46)</f>
        <v>26.945442545940438</v>
      </c>
      <c r="P52" s="408"/>
      <c r="Q52" s="408"/>
      <c r="R52" s="408"/>
      <c r="S52" s="408"/>
      <c r="T52" s="408"/>
    </row>
    <row r="53" spans="1:20" s="475" customFormat="1" ht="5" customHeight="1">
      <c r="A53" s="473"/>
      <c r="B53" s="492"/>
      <c r="C53" s="492"/>
      <c r="D53" s="492"/>
      <c r="E53" s="492"/>
      <c r="F53" s="492"/>
      <c r="G53" s="492"/>
      <c r="H53" s="492"/>
      <c r="I53" s="492"/>
      <c r="J53" s="492"/>
      <c r="K53" s="492"/>
      <c r="L53" s="492"/>
      <c r="M53" s="492"/>
      <c r="N53" s="492"/>
      <c r="O53" s="492"/>
      <c r="P53" s="473"/>
      <c r="Q53" s="473"/>
      <c r="R53" s="473"/>
      <c r="S53" s="473"/>
      <c r="T53" s="473"/>
    </row>
    <row r="54" spans="1:20">
      <c r="A54" s="408"/>
      <c r="B54" s="469" t="s">
        <v>202</v>
      </c>
      <c r="C54" s="470"/>
      <c r="D54" s="471">
        <f>D34</f>
        <v>540877.4228287501</v>
      </c>
      <c r="E54" s="471"/>
      <c r="F54" s="471"/>
      <c r="G54" s="471"/>
      <c r="H54" s="471"/>
      <c r="I54" s="471">
        <f>I34</f>
        <v>559753.4228287501</v>
      </c>
      <c r="J54" s="472">
        <f>J50</f>
        <v>11.948803419235359</v>
      </c>
      <c r="K54" s="472">
        <f t="shared" ref="K54:O54" si="16">K50</f>
        <v>3.3300330263291769</v>
      </c>
      <c r="L54" s="472">
        <f t="shared" si="16"/>
        <v>12.410772164406291</v>
      </c>
      <c r="M54" s="472">
        <f t="shared" si="16"/>
        <v>11.629438052359383</v>
      </c>
      <c r="N54" s="472">
        <f t="shared" si="16"/>
        <v>14.448316010066716</v>
      </c>
      <c r="O54" s="472">
        <f t="shared" si="16"/>
        <v>27.950912612619128</v>
      </c>
      <c r="P54" s="408"/>
      <c r="Q54" s="408"/>
      <c r="R54" s="408"/>
      <c r="S54" s="408"/>
      <c r="T54" s="408"/>
    </row>
    <row r="55" spans="1:20">
      <c r="A55" s="408"/>
      <c r="B55" s="408"/>
      <c r="C55" s="408"/>
      <c r="D55" s="408"/>
      <c r="E55" s="408"/>
      <c r="F55" s="408"/>
      <c r="G55" s="408"/>
      <c r="H55" s="408"/>
      <c r="I55" s="408"/>
      <c r="J55" s="408"/>
      <c r="K55" s="408"/>
      <c r="L55" s="408"/>
      <c r="M55" s="408"/>
      <c r="N55" s="408"/>
      <c r="O55" s="408"/>
      <c r="P55" s="408"/>
      <c r="Q55" s="408"/>
      <c r="R55" s="408"/>
      <c r="S55" s="408"/>
      <c r="T55" s="408"/>
    </row>
    <row r="56" spans="1:20">
      <c r="A56" s="408"/>
      <c r="B56" s="408"/>
      <c r="C56" s="408"/>
      <c r="D56" s="408"/>
      <c r="E56" s="408"/>
      <c r="F56" s="408"/>
      <c r="G56" s="408"/>
      <c r="H56" s="408"/>
      <c r="I56" s="408"/>
      <c r="J56" s="408"/>
      <c r="K56" s="408"/>
      <c r="L56" s="408"/>
      <c r="M56" s="408"/>
      <c r="N56" s="408"/>
      <c r="O56" s="408"/>
      <c r="P56" s="408"/>
      <c r="Q56" s="408"/>
      <c r="R56" s="408"/>
      <c r="S56" s="408"/>
      <c r="T56" s="408"/>
    </row>
  </sheetData>
  <mergeCells count="4">
    <mergeCell ref="D30:I30"/>
    <mergeCell ref="J30:K31"/>
    <mergeCell ref="L30:M31"/>
    <mergeCell ref="N30:O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DCF</vt:lpstr>
      <vt:lpstr>Important Findings_Assumptions</vt:lpstr>
      <vt:lpstr>NWC</vt:lpstr>
      <vt:lpstr>WACC</vt:lpstr>
      <vt:lpstr>A1</vt:lpstr>
      <vt:lpstr>A2</vt:lpstr>
      <vt:lpstr>Multiples</vt:lpstr>
      <vt:lpstr>DCF!Área_de_impresión</vt:lpstr>
      <vt:lpstr>NWC!Área_de_impresión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Mansolillo, Chris</dc:creator>
  <cp:lastModifiedBy>Lazaro Sanz, Albert</cp:lastModifiedBy>
  <cp:lastPrinted>2009-02-21T17:15:23Z</cp:lastPrinted>
  <dcterms:created xsi:type="dcterms:W3CDTF">2008-11-28T23:18:52Z</dcterms:created>
  <dcterms:modified xsi:type="dcterms:W3CDTF">2019-10-27T00:14:09Z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SMenuDocLevelBtnStates">
    <vt:lpwstr>&lt;btnStates&gt;&lt;btn tag="1001" state="UP"/&gt;&lt;/btnStates&gt;_x000d_
</vt:lpwstr>
  </property>
</Properties>
</file>